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Jorge Sechague\Desktop\CORTOLIMA 2022\PALMA 2022\BORRADORES\"/>
    </mc:Choice>
  </mc:AlternateContent>
  <xr:revisionPtr revIDLastSave="0" documentId="8_{398E24EF-6303-401B-BE3B-75D25CE9CC42}" xr6:coauthVersionLast="47" xr6:coauthVersionMax="47" xr10:uidLastSave="{00000000-0000-0000-0000-000000000000}"/>
  <bookViews>
    <workbookView xWindow="-120" yWindow="-120" windowWidth="20730" windowHeight="11040" tabRatio="734" firstSheet="1" activeTab="5" xr2:uid="{00000000-000D-0000-FFFF-FFFF00000000}"/>
  </bookViews>
  <sheets>
    <sheet name="Estudio de Mercado" sheetId="1" state="hidden" r:id="rId1"/>
    <sheet name="Establecimiento" sheetId="2" r:id="rId2"/>
    <sheet name="Aislamiento" sheetId="3" r:id="rId3"/>
    <sheet name="Mantenimiento" sheetId="4" state="hidden" r:id="rId4"/>
    <sheet name="Enriquecimiento" sheetId="6" state="hidden" r:id="rId5"/>
    <sheet name="Mantenimientos" sheetId="11" r:id="rId6"/>
    <sheet name="Administracion  Aislamiento" sheetId="9" state="hidden" r:id="rId7"/>
    <sheet name="Administracion  Establecimiento" sheetId="10" state="hidden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_123Graph_A" localSheetId="5">#REF!</definedName>
    <definedName name="__123Graph_A">#REF!</definedName>
    <definedName name="__123Graph_AGraph2" localSheetId="5">#REF!</definedName>
    <definedName name="__123Graph_AGraph2">#REF!</definedName>
    <definedName name="__123Graph_X" localSheetId="5">#REF!</definedName>
    <definedName name="__123Graph_X">#REF!</definedName>
    <definedName name="_Fill">#REF!</definedName>
    <definedName name="_Key1">#REF!</definedName>
    <definedName name="_scenchg1">#REF!</definedName>
    <definedName name="_Sort">#REF!</definedName>
    <definedName name="_X">#REF!</definedName>
    <definedName name="_X_10">#REF!</definedName>
    <definedName name="_X_3">#REF!</definedName>
    <definedName name="_X_4">#REF!</definedName>
    <definedName name="_X_5">#REF!</definedName>
    <definedName name="_X_6">#REF!</definedName>
    <definedName name="_X_7">#REF!</definedName>
    <definedName name="_X_8">#REF!</definedName>
    <definedName name="_X_9">#REF!</definedName>
    <definedName name="_Z">#REF!</definedName>
    <definedName name="_Z_10">#REF!</definedName>
    <definedName name="_Z_3">#REF!</definedName>
    <definedName name="_Z_4">#REF!</definedName>
    <definedName name="_Z_5">#REF!</definedName>
    <definedName name="_Z_6">#REF!</definedName>
    <definedName name="_Z_7">#REF!</definedName>
    <definedName name="_Z_8">#REF!</definedName>
    <definedName name="_Z_9">#REF!</definedName>
    <definedName name="A_ARCINIEGAS">#REF!</definedName>
    <definedName name="A_impresión_IM">#REF!</definedName>
    <definedName name="AAA_10">#REF!</definedName>
    <definedName name="AAA_3">#REF!</definedName>
    <definedName name="AAA_4">#REF!</definedName>
    <definedName name="AAA_5">#REF!</definedName>
    <definedName name="AAA_6">#REF!</definedName>
    <definedName name="AAA_7">#REF!</definedName>
    <definedName name="AAA_8">#REF!</definedName>
    <definedName name="AAA_9">#REF!</definedName>
    <definedName name="aas">#REF!</definedName>
    <definedName name="ACTA1">#REF!</definedName>
    <definedName name="ACTA2">#REF!</definedName>
    <definedName name="ads">#REF!</definedName>
    <definedName name="AIU">#REF!</definedName>
    <definedName name="_xlnm.Print_Area" localSheetId="3">Mantenimiento!$B$3:$G$70</definedName>
    <definedName name="_xlnm.Print_Area" localSheetId="5">Mantenimientos!$B$3:$G$73</definedName>
    <definedName name="asdda" localSheetId="5">#REF!</definedName>
    <definedName name="asdda">#REF!</definedName>
    <definedName name="asdf" localSheetId="5">#REF!</definedName>
    <definedName name="asdf">#REF!</definedName>
    <definedName name="asdfds" localSheetId="5">#REF!</definedName>
    <definedName name="asdfds">#REF!</definedName>
    <definedName name="asdflkjh">#REF!</definedName>
    <definedName name="Base_datos_IM">#REF!</definedName>
    <definedName name="BOX__">#REF!</definedName>
    <definedName name="Buscar">#REF!</definedName>
    <definedName name="CANTIDAD">#REF!</definedName>
    <definedName name="CARRO">#REF!</definedName>
    <definedName name="CINCUENTA">#REF!</definedName>
    <definedName name="COSTODIRECTO">#REF!</definedName>
    <definedName name="Criterios_IM">#REF!</definedName>
    <definedName name="CUAL_10">#REF!</definedName>
    <definedName name="CUAL_3">#REF!</definedName>
    <definedName name="CUAL_4">#REF!</definedName>
    <definedName name="CUAL_5">#REF!</definedName>
    <definedName name="CUAL_6">#REF!</definedName>
    <definedName name="CUAL_7">#REF!</definedName>
    <definedName name="CUAL_8">#REF!</definedName>
    <definedName name="CUAL_9">#REF!</definedName>
    <definedName name="dd_10">#REF!</definedName>
    <definedName name="dd_3">#REF!</definedName>
    <definedName name="dd_4">#REF!</definedName>
    <definedName name="dd_5">#REF!</definedName>
    <definedName name="dd_6">#REF!</definedName>
    <definedName name="dd_7">#REF!</definedName>
    <definedName name="dd_8">#REF!</definedName>
    <definedName name="dd_9">#REF!</definedName>
    <definedName name="dedicacion">#REF!</definedName>
    <definedName name="dfasd">#REF!</definedName>
    <definedName name="DFGDFG">#REF!</definedName>
    <definedName name="dfsds">#REF!</definedName>
    <definedName name="drg">#REF!</definedName>
    <definedName name="dzfc">#REF!</definedName>
    <definedName name="EDICAR">#REF!</definedName>
    <definedName name="EEE">#REF!</definedName>
    <definedName name="EMPRESA">#REF!</definedName>
    <definedName name="ERTERT">#REF!</definedName>
    <definedName name="Excel_BuiltIn_Print_Titles_2">#REF!</definedName>
    <definedName name="Extracción_IM">#REF!</definedName>
    <definedName name="f.s">#REF!</definedName>
    <definedName name="factor">#REF!</definedName>
    <definedName name="FAHESA">#REF!</definedName>
    <definedName name="FD">#REF!</definedName>
    <definedName name="fsdfdf">#REF!</definedName>
    <definedName name="fsdsad">#REF!</definedName>
    <definedName name="G_MURILLO">#REF!</definedName>
    <definedName name="GLOBAL">#REF!</definedName>
    <definedName name="H_DELGADO">#REF!</definedName>
    <definedName name="HERNAN_DUARTE">#REF!</definedName>
    <definedName name="HJKHJ">#REF!</definedName>
    <definedName name="HONORARIOS">#REF!</definedName>
    <definedName name="inf">#REF!</definedName>
    <definedName name="Israel">#REF!</definedName>
    <definedName name="J_GARCIA_P">#REF!</definedName>
    <definedName name="K">#REF!</definedName>
    <definedName name="KBKL">#REF!</definedName>
    <definedName name="lidsa">#REF!</definedName>
    <definedName name="M.R.SOLARTE">#REF!</definedName>
    <definedName name="MACO">#REF!</definedName>
    <definedName name="MES">#REF!</definedName>
    <definedName name="NANCY_POLO">#REF!</definedName>
    <definedName name="Nocal2m">#REF!</definedName>
    <definedName name="nocall2n">#REF!</definedName>
    <definedName name="NORTE">#REF!</definedName>
    <definedName name="NOVENTA">#REF!</definedName>
    <definedName name="ñpl">#REF!</definedName>
    <definedName name="OCHENTA">#REF!</definedName>
    <definedName name="OLE_LINK1_6">#REF!</definedName>
    <definedName name="OLE_LINK2_6">#REF!</definedName>
    <definedName name="ORDENAR">#REF!</definedName>
    <definedName name="PAPEL">#REF!</definedName>
    <definedName name="personal">#REF!</definedName>
    <definedName name="POZOS">#REF!</definedName>
    <definedName name="PR">#REF!</definedName>
    <definedName name="PRESUPUESTO">#REF!</definedName>
    <definedName name="PROY">#REF!</definedName>
    <definedName name="q">#REF!</definedName>
    <definedName name="RICARDO">#REF!</definedName>
    <definedName name="rpld">#REF!</definedName>
    <definedName name="SADFSDFTGDS">#REF!</definedName>
    <definedName name="SbtPpto">#REF!</definedName>
    <definedName name="scen_change">#REF!</definedName>
    <definedName name="SDFGD">#REF!</definedName>
    <definedName name="SDFGDG">#REF!</definedName>
    <definedName name="SDFGHFDH">#REF!</definedName>
    <definedName name="SESENTA">#REF!</definedName>
    <definedName name="SETENTA">#REF!</definedName>
    <definedName name="SHARED_FORMULA_0">#REF!</definedName>
    <definedName name="SHARED_FORMULA_1">#REF!</definedName>
    <definedName name="SHARED_FORMULA_2">#REF!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TOTAL">#REF!</definedName>
    <definedName name="TREINTA">#REF!</definedName>
    <definedName name="u_TEMPORAL_VILLAREAL">#REF!</definedName>
    <definedName name="UNION_TEMPORAL">#REF!</definedName>
    <definedName name="vect.raster.1000">#REF!</definedName>
    <definedName name="vect.raster.10001">#REF!</definedName>
    <definedName name="vect.raster.2000">#REF!</definedName>
    <definedName name="VEINTE">#REF!</definedName>
    <definedName name="VIA">#REF!</definedName>
    <definedName name="w">#REF!</definedName>
    <definedName name="W.A.C.C.">#REF!</definedName>
    <definedName name="wrn.HyCal._.I._.Mixing.">#REF!</definedName>
    <definedName name="wrn.Hycal._.II.">#REF!</definedName>
    <definedName name="wrn.HyCal._.II._.Blending.">#REF!</definedName>
    <definedName name="wrn.HyCal._.III.">#REF!</definedName>
    <definedName name="wrn.NoCal._.I._.Mixing.">#REF!</definedName>
    <definedName name="wrn.NoCal._.II._.Mixing.">#REF!</definedName>
    <definedName name="wrn.Resumen.">#REF!</definedName>
    <definedName name="YUIYU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5" i="3" l="1"/>
  <c r="G45" i="3" s="1"/>
  <c r="F36" i="3"/>
  <c r="G36" i="3" s="1"/>
  <c r="D49" i="11" l="1"/>
  <c r="B10" i="11"/>
  <c r="I29" i="11"/>
  <c r="J29" i="11"/>
  <c r="I32" i="11"/>
  <c r="D38" i="11"/>
  <c r="I38" i="11"/>
  <c r="D39" i="11"/>
  <c r="I39" i="11"/>
  <c r="D40" i="11"/>
  <c r="F40" i="11" s="1"/>
  <c r="G40" i="11" s="1"/>
  <c r="I40" i="11"/>
  <c r="D41" i="11"/>
  <c r="I41" i="11"/>
  <c r="D42" i="11"/>
  <c r="I42" i="11"/>
  <c r="D43" i="11"/>
  <c r="I43" i="11"/>
  <c r="F44" i="11"/>
  <c r="G44" i="11" s="1"/>
  <c r="I44" i="11"/>
  <c r="I45" i="11"/>
  <c r="D48" i="11"/>
  <c r="D55" i="11" s="1"/>
  <c r="H48" i="11"/>
  <c r="I48" i="11"/>
  <c r="D50" i="11"/>
  <c r="F50" i="11" s="1"/>
  <c r="G50" i="11" s="1"/>
  <c r="H50" i="11"/>
  <c r="I50" i="11"/>
  <c r="H51" i="11"/>
  <c r="I51" i="11"/>
  <c r="D52" i="11"/>
  <c r="B53" i="11"/>
  <c r="D53" i="11"/>
  <c r="F53" i="11" s="1"/>
  <c r="G53" i="11" s="1"/>
  <c r="H53" i="11"/>
  <c r="I53" i="11"/>
  <c r="B54" i="11"/>
  <c r="H54" i="11"/>
  <c r="I54" i="11"/>
  <c r="B55" i="11"/>
  <c r="H55" i="11"/>
  <c r="I55" i="11"/>
  <c r="G66" i="11"/>
  <c r="G67" i="11" s="1"/>
  <c r="I68" i="11"/>
  <c r="F39" i="11" l="1"/>
  <c r="G39" i="11" s="1"/>
  <c r="F38" i="11"/>
  <c r="G38" i="11" s="1"/>
  <c r="F42" i="11"/>
  <c r="G42" i="11" s="1"/>
  <c r="F52" i="11"/>
  <c r="G52" i="11" s="1"/>
  <c r="I46" i="11"/>
  <c r="F41" i="11"/>
  <c r="G41" i="11" s="1"/>
  <c r="F55" i="11"/>
  <c r="G55" i="11" s="1"/>
  <c r="I56" i="11"/>
  <c r="D51" i="11"/>
  <c r="F51" i="11" s="1"/>
  <c r="G51" i="11" s="1"/>
  <c r="D54" i="11"/>
  <c r="F54" i="11" s="1"/>
  <c r="G54" i="11" s="1"/>
  <c r="F43" i="11"/>
  <c r="G43" i="11" s="1"/>
  <c r="G47" i="9"/>
  <c r="G46" i="11" l="1"/>
  <c r="F46" i="11"/>
  <c r="E10" i="11"/>
  <c r="F48" i="11" s="1"/>
  <c r="G48" i="11" s="1"/>
  <c r="J48" i="1"/>
  <c r="F60" i="11" l="1"/>
  <c r="G60" i="11" s="1"/>
  <c r="F59" i="11"/>
  <c r="J50" i="1"/>
  <c r="D53" i="2"/>
  <c r="F53" i="2" l="1"/>
  <c r="G53" i="2" s="1"/>
  <c r="E11" i="11"/>
  <c r="F49" i="11" s="1"/>
  <c r="G59" i="11"/>
  <c r="J87" i="1"/>
  <c r="J86" i="1"/>
  <c r="J85" i="1"/>
  <c r="J84" i="1"/>
  <c r="J78" i="1"/>
  <c r="J53" i="1"/>
  <c r="J45" i="1"/>
  <c r="J44" i="1"/>
  <c r="J37" i="1"/>
  <c r="J38" i="1"/>
  <c r="J39" i="1"/>
  <c r="J40" i="1"/>
  <c r="J41" i="1"/>
  <c r="J42" i="1"/>
  <c r="J36" i="1"/>
  <c r="J25" i="1"/>
  <c r="J24" i="1"/>
  <c r="J26" i="1"/>
  <c r="J27" i="1"/>
  <c r="J28" i="1"/>
  <c r="J29" i="1"/>
  <c r="J30" i="1"/>
  <c r="J31" i="1"/>
  <c r="J32" i="1"/>
  <c r="J33" i="1"/>
  <c r="J34" i="1"/>
  <c r="J23" i="1"/>
  <c r="J20" i="1"/>
  <c r="J19" i="1"/>
  <c r="J17" i="1"/>
  <c r="J14" i="1"/>
  <c r="J13" i="1"/>
  <c r="J18" i="1"/>
  <c r="J16" i="1"/>
  <c r="J15" i="1"/>
  <c r="J12" i="1"/>
  <c r="J11" i="1"/>
  <c r="J10" i="1"/>
  <c r="J9" i="1"/>
  <c r="J8" i="1"/>
  <c r="J7" i="1"/>
  <c r="J6" i="1"/>
  <c r="J5" i="1"/>
  <c r="J4" i="1"/>
  <c r="G49" i="11" l="1"/>
  <c r="G56" i="11" s="1"/>
  <c r="F56" i="11"/>
  <c r="H31" i="4"/>
  <c r="F61" i="11" l="1"/>
  <c r="F57" i="11"/>
  <c r="G57" i="11" s="1"/>
  <c r="G48" i="10"/>
  <c r="G47" i="10"/>
  <c r="G46" i="10"/>
  <c r="G45" i="10"/>
  <c r="G44" i="10"/>
  <c r="G43" i="10"/>
  <c r="I42" i="10"/>
  <c r="G41" i="10"/>
  <c r="H41" i="10" s="1"/>
  <c r="G40" i="10"/>
  <c r="G39" i="10"/>
  <c r="H39" i="10" s="1"/>
  <c r="G38" i="10"/>
  <c r="H38" i="10" s="1"/>
  <c r="G37" i="10"/>
  <c r="H37" i="10" s="1"/>
  <c r="G36" i="10"/>
  <c r="H32" i="10"/>
  <c r="H34" i="10" s="1"/>
  <c r="H30" i="10"/>
  <c r="F17" i="10"/>
  <c r="H17" i="10" s="1"/>
  <c r="F16" i="10"/>
  <c r="H16" i="10" s="1"/>
  <c r="F15" i="10"/>
  <c r="H15" i="10" s="1"/>
  <c r="F14" i="10"/>
  <c r="H14" i="10" s="1"/>
  <c r="F11" i="10"/>
  <c r="H11" i="10" s="1"/>
  <c r="F10" i="10"/>
  <c r="H10" i="10" s="1"/>
  <c r="F9" i="10"/>
  <c r="H9" i="10" s="1"/>
  <c r="F8" i="10"/>
  <c r="H8" i="10" s="1"/>
  <c r="F7" i="10"/>
  <c r="H7" i="10" s="1"/>
  <c r="F6" i="10"/>
  <c r="H6" i="10" s="1"/>
  <c r="G50" i="9"/>
  <c r="G49" i="9"/>
  <c r="G48" i="9"/>
  <c r="G46" i="9"/>
  <c r="G45" i="9"/>
  <c r="I44" i="9"/>
  <c r="G43" i="9"/>
  <c r="H43" i="9" s="1"/>
  <c r="G42" i="9"/>
  <c r="G41" i="9"/>
  <c r="H41" i="9" s="1"/>
  <c r="G40" i="9"/>
  <c r="H40" i="9" s="1"/>
  <c r="G39" i="9"/>
  <c r="H39" i="9" s="1"/>
  <c r="G38" i="9"/>
  <c r="H34" i="9"/>
  <c r="H36" i="9" s="1"/>
  <c r="H32" i="9"/>
  <c r="H33" i="9" s="1"/>
  <c r="I28" i="9" s="1"/>
  <c r="F19" i="9"/>
  <c r="H19" i="9" s="1"/>
  <c r="F18" i="9"/>
  <c r="H18" i="9" s="1"/>
  <c r="F17" i="9"/>
  <c r="H17" i="9" s="1"/>
  <c r="F16" i="9"/>
  <c r="H16" i="9" s="1"/>
  <c r="F13" i="9"/>
  <c r="H13" i="9" s="1"/>
  <c r="F12" i="9"/>
  <c r="H12" i="9" s="1"/>
  <c r="F11" i="9"/>
  <c r="H11" i="9" s="1"/>
  <c r="F10" i="9"/>
  <c r="H10" i="9" s="1"/>
  <c r="F9" i="9"/>
  <c r="H9" i="9" s="1"/>
  <c r="F8" i="9"/>
  <c r="H8" i="9" s="1"/>
  <c r="F7" i="9"/>
  <c r="H7" i="9" s="1"/>
  <c r="F6" i="9"/>
  <c r="H6" i="9" s="1"/>
  <c r="G61" i="11" l="1"/>
  <c r="G62" i="11" s="1"/>
  <c r="G63" i="11" s="1"/>
  <c r="G68" i="11" s="1"/>
  <c r="F62" i="11"/>
  <c r="F63" i="11" s="1"/>
  <c r="F68" i="11" s="1"/>
  <c r="H18" i="10"/>
  <c r="I35" i="10"/>
  <c r="H31" i="10"/>
  <c r="I26" i="10" s="1"/>
  <c r="H20" i="9"/>
  <c r="I37" i="9"/>
  <c r="I57" i="9" s="1"/>
  <c r="G71" i="2"/>
  <c r="F69" i="11" l="1"/>
  <c r="F70" i="11"/>
  <c r="G70" i="11" s="1"/>
  <c r="F71" i="11"/>
  <c r="I55" i="10"/>
  <c r="G25" i="10"/>
  <c r="G27" i="9"/>
  <c r="G28" i="9" s="1"/>
  <c r="I59" i="9" s="1"/>
  <c r="F72" i="11" l="1"/>
  <c r="G72" i="11" s="1"/>
  <c r="G71" i="11"/>
  <c r="G69" i="11"/>
  <c r="G26" i="10"/>
  <c r="H32" i="6"/>
  <c r="F63" i="4"/>
  <c r="G63" i="4" s="1"/>
  <c r="F70" i="6"/>
  <c r="G70" i="6" s="1"/>
  <c r="E88" i="1"/>
  <c r="E89" i="1" s="1"/>
  <c r="D88" i="1"/>
  <c r="J28" i="4"/>
  <c r="I28" i="4"/>
  <c r="F73" i="11" l="1"/>
  <c r="J68" i="11" s="1"/>
  <c r="G73" i="11"/>
  <c r="I57" i="10"/>
  <c r="G61" i="3"/>
  <c r="J88" i="1"/>
  <c r="I31" i="4"/>
  <c r="J70" i="11" l="1"/>
  <c r="H73" i="11"/>
  <c r="J69" i="11"/>
  <c r="J71" i="11"/>
  <c r="I65" i="4"/>
  <c r="J79" i="1" l="1"/>
  <c r="J80" i="1"/>
  <c r="J81" i="1"/>
  <c r="E10" i="6" l="1"/>
  <c r="E10" i="4" l="1"/>
  <c r="D52" i="6"/>
  <c r="C77" i="6"/>
  <c r="J53" i="6" l="1"/>
  <c r="J54" i="6"/>
  <c r="J55" i="6"/>
  <c r="J56" i="6"/>
  <c r="J57" i="6"/>
  <c r="J58" i="6"/>
  <c r="J59" i="6"/>
  <c r="J52" i="6"/>
  <c r="K53" i="6"/>
  <c r="K54" i="6"/>
  <c r="K55" i="6"/>
  <c r="K56" i="6"/>
  <c r="K57" i="6"/>
  <c r="K58" i="6"/>
  <c r="K59" i="6"/>
  <c r="K52" i="6"/>
  <c r="F71" i="6"/>
  <c r="J70" i="6"/>
  <c r="M70" i="6" s="1"/>
  <c r="K60" i="6" l="1"/>
  <c r="D60" i="2"/>
  <c r="D59" i="2"/>
  <c r="D58" i="2"/>
  <c r="D56" i="2"/>
  <c r="D55" i="2"/>
  <c r="D54" i="2"/>
  <c r="K38" i="6"/>
  <c r="K39" i="6"/>
  <c r="K40" i="6"/>
  <c r="K41" i="6"/>
  <c r="K42" i="6"/>
  <c r="K43" i="6"/>
  <c r="K44" i="6"/>
  <c r="K45" i="6"/>
  <c r="K46" i="6"/>
  <c r="K47" i="6"/>
  <c r="K48" i="6"/>
  <c r="K49" i="6"/>
  <c r="J39" i="6"/>
  <c r="J40" i="6"/>
  <c r="J41" i="6"/>
  <c r="J42" i="6"/>
  <c r="J43" i="6"/>
  <c r="J44" i="6"/>
  <c r="J45" i="6"/>
  <c r="J46" i="6"/>
  <c r="J47" i="6"/>
  <c r="J48" i="6"/>
  <c r="J49" i="6"/>
  <c r="J38" i="6"/>
  <c r="I39" i="6"/>
  <c r="I40" i="6"/>
  <c r="I41" i="6"/>
  <c r="I42" i="6"/>
  <c r="I43" i="6"/>
  <c r="I44" i="6"/>
  <c r="I45" i="6"/>
  <c r="I46" i="6"/>
  <c r="I47" i="6"/>
  <c r="I48" i="6"/>
  <c r="I49" i="6"/>
  <c r="I38" i="6"/>
  <c r="B77" i="6"/>
  <c r="B76" i="6"/>
  <c r="C76" i="6"/>
  <c r="B75" i="6"/>
  <c r="B74" i="6"/>
  <c r="C74" i="6"/>
  <c r="B73" i="6"/>
  <c r="L63" i="4"/>
  <c r="I53" i="4"/>
  <c r="H53" i="4"/>
  <c r="H52" i="4"/>
  <c r="H51" i="4"/>
  <c r="H49" i="4"/>
  <c r="H48" i="4"/>
  <c r="H47" i="4"/>
  <c r="I52" i="4"/>
  <c r="I51" i="4"/>
  <c r="I48" i="4"/>
  <c r="D47" i="4"/>
  <c r="D49" i="4" s="1"/>
  <c r="I47" i="4"/>
  <c r="I44" i="4"/>
  <c r="I43" i="4"/>
  <c r="I42" i="4"/>
  <c r="I41" i="4"/>
  <c r="I40" i="4"/>
  <c r="I39" i="4"/>
  <c r="I38" i="4"/>
  <c r="I37" i="4"/>
  <c r="C67" i="3"/>
  <c r="C65" i="3"/>
  <c r="C66" i="3"/>
  <c r="C64" i="3"/>
  <c r="F108" i="3"/>
  <c r="F107" i="3"/>
  <c r="F106" i="3"/>
  <c r="F104" i="3"/>
  <c r="F103" i="3"/>
  <c r="F64" i="4" l="1"/>
  <c r="I45" i="4"/>
  <c r="K50" i="6"/>
  <c r="I49" i="4" l="1"/>
  <c r="I54" i="4" s="1"/>
  <c r="D52" i="2" l="1"/>
  <c r="D45" i="2"/>
  <c r="D27" i="4"/>
  <c r="D28" i="6" s="1"/>
  <c r="C69" i="1"/>
  <c r="C68" i="1"/>
  <c r="C67" i="1"/>
  <c r="C66" i="1"/>
  <c r="C63" i="1"/>
  <c r="C62" i="1"/>
  <c r="C61" i="1"/>
  <c r="C60" i="1"/>
  <c r="C58" i="1"/>
  <c r="C57" i="1"/>
  <c r="B69" i="1"/>
  <c r="B61" i="1"/>
  <c r="C59" i="1" l="1"/>
  <c r="C64" i="1" s="1"/>
  <c r="C70" i="1"/>
  <c r="K6" i="1"/>
  <c r="K5" i="1"/>
  <c r="N53" i="1"/>
  <c r="N51" i="1"/>
  <c r="O51" i="1" s="1"/>
  <c r="N50" i="1"/>
  <c r="O50" i="1" s="1"/>
  <c r="N48" i="1"/>
  <c r="O48" i="1" s="1"/>
  <c r="N45" i="1"/>
  <c r="N44" i="1"/>
  <c r="N37" i="1"/>
  <c r="N38" i="1"/>
  <c r="N39" i="1"/>
  <c r="N40" i="1"/>
  <c r="N41" i="1"/>
  <c r="N42" i="1"/>
  <c r="N36" i="1"/>
  <c r="N24" i="1"/>
  <c r="N25" i="1"/>
  <c r="N26" i="1"/>
  <c r="N27" i="1"/>
  <c r="N28" i="1"/>
  <c r="N29" i="1"/>
  <c r="N30" i="1"/>
  <c r="N31" i="1"/>
  <c r="N32" i="1"/>
  <c r="N33" i="1"/>
  <c r="N34" i="1"/>
  <c r="N23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O4" i="1" l="1"/>
  <c r="C71" i="1"/>
  <c r="O7" i="1"/>
  <c r="O5" i="1"/>
  <c r="N52" i="1"/>
  <c r="O52" i="1" s="1"/>
  <c r="O6" i="1"/>
  <c r="Q6" i="1"/>
  <c r="O8" i="1"/>
  <c r="Q9" i="1"/>
  <c r="Q10" i="1"/>
  <c r="Q11" i="1"/>
  <c r="Q12" i="1"/>
  <c r="Q13" i="1"/>
  <c r="Q14" i="1"/>
  <c r="Q16" i="1"/>
  <c r="Q17" i="1"/>
  <c r="K4" i="1"/>
  <c r="Q4" i="1" s="1"/>
  <c r="E17" i="6" l="1"/>
  <c r="E55" i="6" s="1"/>
  <c r="E16" i="4"/>
  <c r="F90" i="6"/>
  <c r="G71" i="6"/>
  <c r="D59" i="6"/>
  <c r="B59" i="6"/>
  <c r="D58" i="6"/>
  <c r="B58" i="6"/>
  <c r="D57" i="6"/>
  <c r="D56" i="6"/>
  <c r="D55" i="6"/>
  <c r="D54" i="6"/>
  <c r="D53" i="6"/>
  <c r="D47" i="6"/>
  <c r="D46" i="6"/>
  <c r="D45" i="6"/>
  <c r="E44" i="6"/>
  <c r="D44" i="6"/>
  <c r="D43" i="6"/>
  <c r="D42" i="6"/>
  <c r="D41" i="6"/>
  <c r="D40" i="6"/>
  <c r="D39" i="6"/>
  <c r="D29" i="6"/>
  <c r="B12" i="6"/>
  <c r="B10" i="6"/>
  <c r="O53" i="1"/>
  <c r="E52" i="6"/>
  <c r="O45" i="1"/>
  <c r="O44" i="1"/>
  <c r="O42" i="1"/>
  <c r="O41" i="1"/>
  <c r="O40" i="1"/>
  <c r="O39" i="1"/>
  <c r="O38" i="1"/>
  <c r="O37" i="1"/>
  <c r="O33" i="1"/>
  <c r="O32" i="1"/>
  <c r="O31" i="1"/>
  <c r="O30" i="1"/>
  <c r="O29" i="1"/>
  <c r="O28" i="1"/>
  <c r="O27" i="1"/>
  <c r="O26" i="1"/>
  <c r="O25" i="1"/>
  <c r="O24" i="1"/>
  <c r="O23" i="1"/>
  <c r="O20" i="1"/>
  <c r="O19" i="1"/>
  <c r="O18" i="1"/>
  <c r="O15" i="1"/>
  <c r="O14" i="1"/>
  <c r="O36" i="1"/>
  <c r="O34" i="1"/>
  <c r="O17" i="1"/>
  <c r="D39" i="4"/>
  <c r="E21" i="6" l="1"/>
  <c r="E20" i="4"/>
  <c r="O13" i="1"/>
  <c r="E20" i="6"/>
  <c r="O12" i="1"/>
  <c r="E24" i="6"/>
  <c r="E59" i="6" s="1"/>
  <c r="F59" i="6" s="1"/>
  <c r="G59" i="6" s="1"/>
  <c r="O16" i="1"/>
  <c r="E19" i="6"/>
  <c r="E56" i="6" s="1"/>
  <c r="F56" i="6" s="1"/>
  <c r="G56" i="6" s="1"/>
  <c r="O9" i="1"/>
  <c r="E22" i="6"/>
  <c r="E57" i="6" s="1"/>
  <c r="F57" i="6" s="1"/>
  <c r="G57" i="6" s="1"/>
  <c r="O10" i="1"/>
  <c r="E18" i="6"/>
  <c r="O11" i="1"/>
  <c r="F44" i="6"/>
  <c r="G44" i="6" s="1"/>
  <c r="F55" i="6"/>
  <c r="G55" i="6" s="1"/>
  <c r="F52" i="2"/>
  <c r="F52" i="6"/>
  <c r="G52" i="6" s="1"/>
  <c r="F49" i="3"/>
  <c r="G49" i="3" s="1"/>
  <c r="D47" i="3"/>
  <c r="D46" i="3"/>
  <c r="D39" i="2"/>
  <c r="B59" i="1"/>
  <c r="B60" i="1"/>
  <c r="B62" i="1"/>
  <c r="B63" i="1"/>
  <c r="D40" i="2"/>
  <c r="D41" i="2"/>
  <c r="D42" i="2"/>
  <c r="D43" i="2"/>
  <c r="D46" i="2"/>
  <c r="D44" i="2"/>
  <c r="K15" i="1"/>
  <c r="K8" i="1"/>
  <c r="K7" i="1"/>
  <c r="F50" i="3"/>
  <c r="G50" i="3" s="1"/>
  <c r="K18" i="1"/>
  <c r="Q18" i="1" s="1"/>
  <c r="G64" i="4"/>
  <c r="D52" i="4"/>
  <c r="B53" i="4"/>
  <c r="B52" i="4"/>
  <c r="D51" i="4"/>
  <c r="B51" i="4"/>
  <c r="D50" i="4"/>
  <c r="D48" i="4"/>
  <c r="D42" i="4"/>
  <c r="D41" i="4"/>
  <c r="D40" i="4"/>
  <c r="E38" i="4"/>
  <c r="D38" i="4"/>
  <c r="D37" i="4"/>
  <c r="B12" i="4"/>
  <c r="B10" i="4"/>
  <c r="C96" i="3"/>
  <c r="C91" i="3"/>
  <c r="D91" i="3" s="1"/>
  <c r="C89" i="3"/>
  <c r="G62" i="3"/>
  <c r="D48" i="3"/>
  <c r="D44" i="3"/>
  <c r="C42" i="3"/>
  <c r="G72" i="2"/>
  <c r="B60" i="2"/>
  <c r="B59" i="2"/>
  <c r="D57" i="2"/>
  <c r="B12" i="2"/>
  <c r="B10" i="2"/>
  <c r="C98" i="3" l="1"/>
  <c r="F60" i="2"/>
  <c r="G60" i="2" s="1"/>
  <c r="Q5" i="1"/>
  <c r="E15" i="6"/>
  <c r="E53" i="6" s="1"/>
  <c r="F53" i="6" s="1"/>
  <c r="G53" i="6" s="1"/>
  <c r="E17" i="4"/>
  <c r="E48" i="4" s="1"/>
  <c r="F48" i="4" s="1"/>
  <c r="G48" i="4" s="1"/>
  <c r="E23" i="6"/>
  <c r="E58" i="6" s="1"/>
  <c r="F58" i="6" s="1"/>
  <c r="G58" i="6" s="1"/>
  <c r="E22" i="4"/>
  <c r="E52" i="4" s="1"/>
  <c r="F52" i="4" s="1"/>
  <c r="G52" i="4" s="1"/>
  <c r="F59" i="2"/>
  <c r="G59" i="2" s="1"/>
  <c r="B66" i="1"/>
  <c r="B64" i="1"/>
  <c r="B72" i="1" s="1"/>
  <c r="B67" i="1"/>
  <c r="B68" i="1" s="1"/>
  <c r="F38" i="4"/>
  <c r="G38" i="4" s="1"/>
  <c r="F38" i="3"/>
  <c r="G38" i="3" s="1"/>
  <c r="F44" i="2"/>
  <c r="G44" i="2" s="1"/>
  <c r="E16" i="6"/>
  <c r="Q8" i="1"/>
  <c r="E14" i="6"/>
  <c r="E54" i="6" s="1"/>
  <c r="F54" i="6" s="1"/>
  <c r="G54" i="6" s="1"/>
  <c r="Q7" i="1"/>
  <c r="Q15" i="1"/>
  <c r="F47" i="3"/>
  <c r="G47" i="3" s="1"/>
  <c r="F57" i="2"/>
  <c r="G57" i="2" s="1"/>
  <c r="E14" i="4"/>
  <c r="F44" i="3"/>
  <c r="G44" i="3" s="1"/>
  <c r="D53" i="4"/>
  <c r="E19" i="4"/>
  <c r="E50" i="4" s="1"/>
  <c r="F50" i="4" s="1"/>
  <c r="G50" i="4" s="1"/>
  <c r="E47" i="4"/>
  <c r="E23" i="4"/>
  <c r="E53" i="4" s="1"/>
  <c r="C99" i="3"/>
  <c r="E15" i="4"/>
  <c r="F56" i="2"/>
  <c r="G56" i="2" s="1"/>
  <c r="E49" i="4"/>
  <c r="E21" i="4"/>
  <c r="E51" i="4" s="1"/>
  <c r="F51" i="4" s="1"/>
  <c r="G51" i="4" s="1"/>
  <c r="F58" i="2"/>
  <c r="G58" i="2" s="1"/>
  <c r="F48" i="3"/>
  <c r="G48" i="3" s="1"/>
  <c r="D47" i="2"/>
  <c r="F46" i="3" l="1"/>
  <c r="G46" i="3" s="1"/>
  <c r="G51" i="3" s="1"/>
  <c r="F54" i="2"/>
  <c r="F55" i="2"/>
  <c r="G55" i="2" s="1"/>
  <c r="F53" i="4"/>
  <c r="G53" i="4" s="1"/>
  <c r="F47" i="4"/>
  <c r="G47" i="4" s="1"/>
  <c r="G60" i="6"/>
  <c r="F60" i="6"/>
  <c r="F49" i="4"/>
  <c r="G49" i="4" s="1"/>
  <c r="B70" i="1"/>
  <c r="G52" i="2"/>
  <c r="F51" i="3" l="1"/>
  <c r="F56" i="3" s="1"/>
  <c r="G56" i="3" s="1"/>
  <c r="F61" i="2"/>
  <c r="F66" i="2" s="1"/>
  <c r="G66" i="2" s="1"/>
  <c r="G54" i="2"/>
  <c r="G61" i="2" s="1"/>
  <c r="F65" i="6"/>
  <c r="G65" i="6" s="1"/>
  <c r="B71" i="1"/>
  <c r="B73" i="1" s="1"/>
  <c r="F54" i="4"/>
  <c r="G54" i="4"/>
  <c r="F38" i="2" l="1"/>
  <c r="G38" i="2" s="1"/>
  <c r="F59" i="4"/>
  <c r="G59" i="4" s="1"/>
  <c r="F43" i="2"/>
  <c r="G43" i="2" s="1"/>
  <c r="E24" i="4"/>
  <c r="E43" i="4" s="1"/>
  <c r="F43" i="4" s="1"/>
  <c r="G43" i="4" s="1"/>
  <c r="E25" i="6"/>
  <c r="E38" i="6" s="1"/>
  <c r="E39" i="4" l="1"/>
  <c r="F39" i="4" s="1"/>
  <c r="G39" i="4" s="1"/>
  <c r="E37" i="4"/>
  <c r="F37" i="4" s="1"/>
  <c r="G37" i="4" s="1"/>
  <c r="E40" i="4"/>
  <c r="F40" i="4" s="1"/>
  <c r="G40" i="4" s="1"/>
  <c r="E41" i="4"/>
  <c r="F41" i="4" s="1"/>
  <c r="G41" i="4" s="1"/>
  <c r="E42" i="4"/>
  <c r="F42" i="4" s="1"/>
  <c r="G42" i="4" s="1"/>
  <c r="F35" i="3"/>
  <c r="G35" i="3" s="1"/>
  <c r="F39" i="3"/>
  <c r="G39" i="3" s="1"/>
  <c r="F41" i="3"/>
  <c r="G41" i="3" s="1"/>
  <c r="F39" i="2"/>
  <c r="F46" i="2"/>
  <c r="G46" i="2" s="1"/>
  <c r="F45" i="2"/>
  <c r="G45" i="2" s="1"/>
  <c r="F41" i="2"/>
  <c r="G41" i="2" s="1"/>
  <c r="F48" i="2"/>
  <c r="G48" i="2" s="1"/>
  <c r="F42" i="2"/>
  <c r="G42" i="2" s="1"/>
  <c r="F49" i="2"/>
  <c r="G49" i="2" s="1"/>
  <c r="F40" i="2"/>
  <c r="G40" i="2" s="1"/>
  <c r="F47" i="2"/>
  <c r="G47" i="2" s="1"/>
  <c r="E39" i="6"/>
  <c r="F39" i="6" s="1"/>
  <c r="G39" i="6" s="1"/>
  <c r="E40" i="6"/>
  <c r="F40" i="6" s="1"/>
  <c r="G40" i="6" s="1"/>
  <c r="E42" i="6"/>
  <c r="F42" i="6" s="1"/>
  <c r="G42" i="6" s="1"/>
  <c r="E47" i="6"/>
  <c r="F47" i="6" s="1"/>
  <c r="G47" i="6" s="1"/>
  <c r="E45" i="6"/>
  <c r="F45" i="6" s="1"/>
  <c r="G45" i="6" s="1"/>
  <c r="E46" i="6"/>
  <c r="F46" i="6" s="1"/>
  <c r="G46" i="6" s="1"/>
  <c r="F38" i="6"/>
  <c r="E43" i="6"/>
  <c r="F43" i="6" s="1"/>
  <c r="G43" i="6" s="1"/>
  <c r="E49" i="6"/>
  <c r="F49" i="6" s="1"/>
  <c r="G49" i="6" s="1"/>
  <c r="E48" i="6"/>
  <c r="F48" i="6" s="1"/>
  <c r="G48" i="6" s="1"/>
  <c r="E41" i="6"/>
  <c r="F41" i="6" s="1"/>
  <c r="G41" i="6" s="1"/>
  <c r="G45" i="4" l="1"/>
  <c r="F45" i="4"/>
  <c r="F55" i="4" s="1"/>
  <c r="F37" i="3"/>
  <c r="G37" i="3" s="1"/>
  <c r="F40" i="3"/>
  <c r="G40" i="3" s="1"/>
  <c r="G39" i="2"/>
  <c r="G50" i="2" s="1"/>
  <c r="F50" i="2"/>
  <c r="G38" i="6"/>
  <c r="G50" i="6" s="1"/>
  <c r="F50" i="6"/>
  <c r="F63" i="6" s="1"/>
  <c r="F65" i="2" l="1"/>
  <c r="G65" i="2" s="1"/>
  <c r="F64" i="2"/>
  <c r="G64" i="2" s="1"/>
  <c r="F58" i="4"/>
  <c r="G58" i="4" s="1"/>
  <c r="F57" i="4"/>
  <c r="F64" i="6"/>
  <c r="G64" i="6" s="1"/>
  <c r="F61" i="6"/>
  <c r="G61" i="6" s="1"/>
  <c r="F42" i="3"/>
  <c r="G42" i="3"/>
  <c r="G52" i="3" s="1"/>
  <c r="F62" i="2"/>
  <c r="G62" i="2" s="1"/>
  <c r="G55" i="4"/>
  <c r="F55" i="3" l="1"/>
  <c r="G55" i="3" s="1"/>
  <c r="F54" i="3"/>
  <c r="G54" i="3" s="1"/>
  <c r="F60" i="4"/>
  <c r="F61" i="4" s="1"/>
  <c r="F65" i="4" s="1"/>
  <c r="F66" i="6"/>
  <c r="F67" i="6" s="1"/>
  <c r="F72" i="6" s="1"/>
  <c r="G57" i="4"/>
  <c r="G60" i="4" s="1"/>
  <c r="G61" i="4" s="1"/>
  <c r="G65" i="4" s="1"/>
  <c r="F52" i="3"/>
  <c r="F67" i="2"/>
  <c r="F68" i="2" s="1"/>
  <c r="F73" i="2" s="1"/>
  <c r="G63" i="6"/>
  <c r="G66" i="6" s="1"/>
  <c r="G67" i="6" s="1"/>
  <c r="G72" i="6" s="1"/>
  <c r="G67" i="2" l="1"/>
  <c r="G68" i="2" s="1"/>
  <c r="G73" i="2" s="1"/>
  <c r="F67" i="4"/>
  <c r="F68" i="4"/>
  <c r="F69" i="4" s="1"/>
  <c r="F66" i="4"/>
  <c r="G67" i="4"/>
  <c r="G68" i="4"/>
  <c r="G69" i="4" s="1"/>
  <c r="G66" i="4"/>
  <c r="F73" i="6"/>
  <c r="G73" i="6" s="1"/>
  <c r="F74" i="6"/>
  <c r="G74" i="6" s="1"/>
  <c r="F75" i="6"/>
  <c r="F76" i="6" s="1"/>
  <c r="F77" i="6"/>
  <c r="G57" i="3"/>
  <c r="G58" i="3" s="1"/>
  <c r="G63" i="3" s="1"/>
  <c r="F57" i="3"/>
  <c r="F58" i="3" s="1"/>
  <c r="F63" i="3" s="1"/>
  <c r="G78" i="2"/>
  <c r="G77" i="6"/>
  <c r="F74" i="2" l="1"/>
  <c r="G74" i="2" s="1"/>
  <c r="F75" i="2"/>
  <c r="G75" i="2" s="1"/>
  <c r="F76" i="2"/>
  <c r="G76" i="2" s="1"/>
  <c r="F77" i="2" s="1"/>
  <c r="G77" i="2" s="1"/>
  <c r="F78" i="6"/>
  <c r="F66" i="3"/>
  <c r="F65" i="3"/>
  <c r="G65" i="3" s="1"/>
  <c r="F64" i="3"/>
  <c r="G75" i="6"/>
  <c r="F68" i="3"/>
  <c r="F79" i="2" l="1"/>
  <c r="G79" i="2"/>
  <c r="F70" i="4"/>
  <c r="H70" i="4" s="1"/>
  <c r="H71" i="4" s="1"/>
  <c r="F67" i="3"/>
  <c r="F69" i="3" s="1"/>
  <c r="G66" i="3"/>
  <c r="G68" i="3"/>
  <c r="G76" i="6"/>
  <c r="G78" i="6" s="1"/>
  <c r="G64" i="3"/>
  <c r="J59" i="9" s="1"/>
  <c r="I73" i="4" l="1"/>
  <c r="G70" i="4"/>
  <c r="G67" i="3"/>
  <c r="J66" i="4" l="1"/>
  <c r="J67" i="4"/>
  <c r="J68" i="4"/>
  <c r="J65" i="4"/>
  <c r="G69" i="3"/>
  <c r="G74" i="11" s="1"/>
  <c r="G71" i="4" l="1"/>
  <c r="H72" i="4"/>
  <c r="I72" i="4" s="1"/>
  <c r="I7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MAURICIO-MOLINA</author>
  </authors>
  <commentList>
    <comment ref="B1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Arbusto de 40 a 60 cm de Alt. en Bolsa Forestal 10x18 Calibre 1.5 (Precios ajustados a la ultima compra de la Corporacion).</t>
        </r>
      </text>
    </comment>
    <comment ref="B1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5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7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8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9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0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1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3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4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5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6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7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8" authorId="0" shapeId="0" xr:uid="{00000000-0006-0000-0300-00001300000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MAURICIO-MOLINA</author>
  </authors>
  <commentList>
    <comment ref="B10" authorId="0" shapeId="0" xr:uid="{C9461FE9-23B6-478F-AC42-AB032A34E184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1" authorId="0" shapeId="0" xr:uid="{5B7EB9EF-7BC5-465F-B941-6EA2D99CEC33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Arbusto de 40 a 60 cm de Alt. en Bolsa Forestal 10x18 Calibre 1.5 (Precios ajustados a la ultima compra de la Corporacion).</t>
        </r>
      </text>
    </comment>
    <comment ref="B12" authorId="0" shapeId="0" xr:uid="{15FD8C57-87B3-469D-86FD-E7961E225B7B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3" authorId="0" shapeId="0" xr:uid="{9BAF095A-4568-4A14-9E25-8AEA054ADD90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4" authorId="0" shapeId="0" xr:uid="{CD4C3E7A-5A0E-4338-9799-A82D8ECF538C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5" authorId="0" shapeId="0" xr:uid="{0B010EC1-C414-4DB0-AFC5-B903BDF311EF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6" authorId="0" shapeId="0" xr:uid="{2C9E0B22-2722-42B9-AA19-4E50433D8269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7" authorId="0" shapeId="0" xr:uid="{E897DF17-B990-4DD1-A6F5-8A6638BA8CE5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8" authorId="0" shapeId="0" xr:uid="{A2796FF4-E977-4CDB-AF21-AE7EFE723BE9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19" authorId="0" shapeId="0" xr:uid="{8D88ED61-CAF1-4881-9DD3-C2B4C8329385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0" authorId="0" shapeId="0" xr:uid="{4B593818-F437-406F-9F02-BB9FA2896241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1" authorId="0" shapeId="0" xr:uid="{A78DE911-3D54-4FC1-8118-6BE13B715C6D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2" authorId="0" shapeId="0" xr:uid="{78C35782-A488-4CC2-91C0-971FC7C7F8D7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3" authorId="0" shapeId="0" xr:uid="{C127EA3E-DFA1-44FF-844A-0DA1527328DE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4" authorId="0" shapeId="0" xr:uid="{62282C19-2747-4AB7-B8F0-9AC6D58024D5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6" authorId="0" shapeId="0" xr:uid="{9B981890-E0C8-4AAA-A786-22EEBD685454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7" authorId="0" shapeId="0" xr:uid="{8BD02948-4F98-4958-AFC3-70FE8F6B5559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8" authorId="0" shapeId="0" xr:uid="{2BF4F532-00D2-4F4C-94C8-6A00EBD347A8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  <comment ref="B29" authorId="0" shapeId="0" xr:uid="{6F669FEC-1068-4C75-A23E-768D703B3751}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Arbol de 30 a 60 cm Alt. en Bolsa Forestal 10x18 Calibre 1.5 (Precios ajustados a la ultima compra de la Coporacion).</t>
        </r>
      </text>
    </comment>
  </commentList>
</comments>
</file>

<file path=xl/sharedStrings.xml><?xml version="1.0" encoding="utf-8"?>
<sst xmlns="http://schemas.openxmlformats.org/spreadsheetml/2006/main" count="1109" uniqueCount="462">
  <si>
    <t>ELEMENTO</t>
  </si>
  <si>
    <t>Descripcion</t>
  </si>
  <si>
    <t>Unidad</t>
  </si>
  <si>
    <t>Lombriabono</t>
  </si>
  <si>
    <t>Humus</t>
  </si>
  <si>
    <t>Bulto</t>
  </si>
  <si>
    <t>Fertilizante Quimico Compuesto</t>
  </si>
  <si>
    <t>Triple 18</t>
  </si>
  <si>
    <t>Agrimins (NPK. Em)</t>
  </si>
  <si>
    <t>Fertilizante Quimico Simple</t>
  </si>
  <si>
    <t>UREA</t>
  </si>
  <si>
    <t>Insecticida Liquido</t>
  </si>
  <si>
    <t>Lorsban 4E</t>
  </si>
  <si>
    <t>Litro</t>
  </si>
  <si>
    <t>Insecticida Granular</t>
  </si>
  <si>
    <t>Attakill</t>
  </si>
  <si>
    <t>Libra</t>
  </si>
  <si>
    <t>Correctivo</t>
  </si>
  <si>
    <t>Caldolomita</t>
  </si>
  <si>
    <t>Hidroretenedor</t>
  </si>
  <si>
    <t>Kilo</t>
  </si>
  <si>
    <t>Combo</t>
  </si>
  <si>
    <t>370 gr</t>
  </si>
  <si>
    <t>DAP</t>
  </si>
  <si>
    <t>Lima</t>
  </si>
  <si>
    <t>Triangular 6"</t>
  </si>
  <si>
    <t>Machete</t>
  </si>
  <si>
    <t>Tres Canales 20"</t>
  </si>
  <si>
    <t>Azadon</t>
  </si>
  <si>
    <t>Pachuno con Cabo</t>
  </si>
  <si>
    <t>Paladraga</t>
  </si>
  <si>
    <t>Con Mango</t>
  </si>
  <si>
    <t>Palin</t>
  </si>
  <si>
    <t>Ahoyador con Cabo</t>
  </si>
  <si>
    <t>Alambre</t>
  </si>
  <si>
    <t xml:space="preserve">Pua 12.5 x 350 Mts. </t>
  </si>
  <si>
    <t>Rollo</t>
  </si>
  <si>
    <t>Grapa</t>
  </si>
  <si>
    <t>Galvanizada 1 1/4"</t>
  </si>
  <si>
    <t>Barra Acero</t>
  </si>
  <si>
    <t>14 Lbs.</t>
  </si>
  <si>
    <t>Martillo</t>
  </si>
  <si>
    <t>Acero 27"</t>
  </si>
  <si>
    <t xml:space="preserve">Alicate </t>
  </si>
  <si>
    <t xml:space="preserve">Tipo Diablo </t>
  </si>
  <si>
    <t xml:space="preserve">Brocha </t>
  </si>
  <si>
    <t>Punta Verde 3"</t>
  </si>
  <si>
    <t>Pintura (Color Amarillo)</t>
  </si>
  <si>
    <t>Aceite</t>
  </si>
  <si>
    <t>Galon</t>
  </si>
  <si>
    <t>Disolvente</t>
  </si>
  <si>
    <t>Tiner</t>
  </si>
  <si>
    <t>Fumigadora</t>
  </si>
  <si>
    <t>Bomba espalda 20 Lts</t>
  </si>
  <si>
    <t>Poste (Cualquier color)</t>
  </si>
  <si>
    <t xml:space="preserve">Plastico Cuadrado mayor a 8x8Cm X 210 Cm. </t>
  </si>
  <si>
    <t xml:space="preserve">Poste </t>
  </si>
  <si>
    <t xml:space="preserve">Madera 10*10 Escuadria X 2.20 Mts. </t>
  </si>
  <si>
    <t>Plantula Forestal</t>
  </si>
  <si>
    <t>Arboles</t>
  </si>
  <si>
    <t>Frutal</t>
  </si>
  <si>
    <t>Bota</t>
  </si>
  <si>
    <t>Caucho Caña Alta</t>
  </si>
  <si>
    <t>Par</t>
  </si>
  <si>
    <t>Guantes</t>
  </si>
  <si>
    <t>Carnaza</t>
  </si>
  <si>
    <t>nitrilo</t>
  </si>
  <si>
    <t>par</t>
  </si>
  <si>
    <t>Tapabocas</t>
  </si>
  <si>
    <t>Desechable</t>
  </si>
  <si>
    <t>Gafas</t>
  </si>
  <si>
    <t>Seguridad</t>
  </si>
  <si>
    <t>Sombrero</t>
  </si>
  <si>
    <t>Tipo Pava</t>
  </si>
  <si>
    <t>Camiseta</t>
  </si>
  <si>
    <t>Manga Larga</t>
  </si>
  <si>
    <t>PROMEDIO</t>
  </si>
  <si>
    <t>COTIZACIONES HERRAMIENTAS E INSUMOS</t>
  </si>
  <si>
    <t>UNNIDAD</t>
  </si>
  <si>
    <t>INSUMOS AGRICOLAS</t>
  </si>
  <si>
    <t>HERRAMIENTAS AGRICOLAS</t>
  </si>
  <si>
    <t>MATERIAL VEGETAL</t>
  </si>
  <si>
    <t>POSTERIA GENERAL</t>
  </si>
  <si>
    <t>ELEMENTOS DE PROTECCION PERSONAL</t>
  </si>
  <si>
    <t>COSTO MANO DE OBRA</t>
  </si>
  <si>
    <t>&gt; 10 SMMLV</t>
  </si>
  <si>
    <t>SMLVM</t>
  </si>
  <si>
    <t>Aux. trasnporte</t>
  </si>
  <si>
    <t>DEVENGADO MENSUAL</t>
  </si>
  <si>
    <t>Salud 8.5%</t>
  </si>
  <si>
    <t>PENSION 12%</t>
  </si>
  <si>
    <t>ARL 2.436%</t>
  </si>
  <si>
    <t>Parafiscales 9%</t>
  </si>
  <si>
    <t>PRESTACIONES SOCIALES</t>
  </si>
  <si>
    <t>Primas 8.33%</t>
  </si>
  <si>
    <t>Cesantías 8.33%</t>
  </si>
  <si>
    <t>Intes/cesantías 12%</t>
  </si>
  <si>
    <t>Vacaciones 4.17%</t>
  </si>
  <si>
    <t>TOTAL PRESTACIONES</t>
  </si>
  <si>
    <t>TOTAL COSTO POR MES</t>
  </si>
  <si>
    <t>JORNALES TRABAJADOR MES</t>
  </si>
  <si>
    <t>VR. JORNAL INCLUIDA CARGA PREST.</t>
  </si>
  <si>
    <t>COSTOS  ESTABLECIMIENTO CORTOLIMA</t>
  </si>
  <si>
    <t xml:space="preserve">SISTEMA A IMPLEMENTAR: </t>
  </si>
  <si>
    <t>REFORESTACION PROTECTORA CON ESPECIES NATIVAS</t>
  </si>
  <si>
    <t xml:space="preserve">CORPORACIÓN / AAU: </t>
  </si>
  <si>
    <t>CORTOLIMA</t>
  </si>
  <si>
    <t>NOMBRE DEL PROYECTO :</t>
  </si>
  <si>
    <t>DISEÑO DE LA PLANTACIÓN</t>
  </si>
  <si>
    <t>ALEATORIO</t>
  </si>
  <si>
    <t>Costo Unitario ($)</t>
  </si>
  <si>
    <t>1. Número de Plántulas Arbustivas por Ha</t>
  </si>
  <si>
    <t>4. Insumos Agricolas.</t>
  </si>
  <si>
    <t>Cantidad Aplicación</t>
  </si>
  <si>
    <t>Costo $ / kg ó Lt</t>
  </si>
  <si>
    <t>Fertilizante Quimico Compuesto (Gr./Arb.)</t>
  </si>
  <si>
    <t>Agrimins ( NPK.Em 8-5-6)</t>
  </si>
  <si>
    <t>15-15-15</t>
  </si>
  <si>
    <t>Fertilizante Quimico Simple (Gr./Arb.)</t>
  </si>
  <si>
    <t>Lombriabono (Gr./Arb.)</t>
  </si>
  <si>
    <t>Abonaza (Gr./Arb.)</t>
  </si>
  <si>
    <t>Gallinaza - Compost</t>
  </si>
  <si>
    <t>Insecticida Liquido (Lts/Ha.)</t>
  </si>
  <si>
    <t>Insecicida Liquido (Lts/Ha.)</t>
  </si>
  <si>
    <t>Cipermetryna</t>
  </si>
  <si>
    <t>Insecticida líquido (Lts/Ha.)</t>
  </si>
  <si>
    <t>Ragen</t>
  </si>
  <si>
    <t>Insecticida Granular (Lb./Ha.)</t>
  </si>
  <si>
    <t>Correctivo (Kg/Ha.)</t>
  </si>
  <si>
    <t>Correctivo (Gr./Arb.)</t>
  </si>
  <si>
    <t>5. Costo Jornal Promedio Region (seguridad social, aportes parafiscales, prestaciones sociales)</t>
  </si>
  <si>
    <t>Jornal</t>
  </si>
  <si>
    <t>Global</t>
  </si>
  <si>
    <t>6. Herramientas (5% de la MAO)</t>
  </si>
  <si>
    <t>7. Elementos de Proteccion Personal (5% de la MO)</t>
  </si>
  <si>
    <t xml:space="preserve">8. Costo Flete Promedio Mula (Trans Interno) </t>
  </si>
  <si>
    <t>Flete</t>
  </si>
  <si>
    <t>8. Transporte Mayor Insumos (% de Insumos)</t>
  </si>
  <si>
    <t>ESTABLECIMIENTO METAS TOTALES/Has</t>
  </si>
  <si>
    <t>Duración meses</t>
  </si>
  <si>
    <t>CATEGORIA DE INVERSIÓN</t>
  </si>
  <si>
    <t>Cantidad / Ha</t>
  </si>
  <si>
    <t>Valor  Unitario                          ($)</t>
  </si>
  <si>
    <t>Valor Total/Ha                               ($)</t>
  </si>
  <si>
    <t>Valor Total Proyecto                               ($)</t>
  </si>
  <si>
    <t>1. COSTOS DIRECTOS</t>
  </si>
  <si>
    <t>1.1. MANO DE OBRA</t>
  </si>
  <si>
    <t>RENDIMIENTO</t>
  </si>
  <si>
    <t>Preparación del terreno</t>
  </si>
  <si>
    <t>Mts Cuadrados</t>
  </si>
  <si>
    <t>Trazado</t>
  </si>
  <si>
    <t xml:space="preserve">Plateo </t>
  </si>
  <si>
    <t>Plateo</t>
  </si>
  <si>
    <t>Ahoyado y Repique</t>
  </si>
  <si>
    <t>Aplicación de Correctivos</t>
  </si>
  <si>
    <t xml:space="preserve">Aplicación  de Fertilizantes  </t>
  </si>
  <si>
    <t>Transporte interno de insumos</t>
  </si>
  <si>
    <t>Plantación (siembra)</t>
  </si>
  <si>
    <t xml:space="preserve">Control fitosanitario </t>
  </si>
  <si>
    <t>Reposición (Replante)</t>
  </si>
  <si>
    <t>Limpias</t>
  </si>
  <si>
    <t>Adecuacion de Barreras Cortafuego</t>
  </si>
  <si>
    <t>Mts Lineales</t>
  </si>
  <si>
    <t>SUBTOTAL MANO DE OBRA</t>
  </si>
  <si>
    <t xml:space="preserve"> 1.2. INSUMOS </t>
  </si>
  <si>
    <t>Plántulas +10% repos.</t>
  </si>
  <si>
    <t>Plantulas</t>
  </si>
  <si>
    <t>Fertilizante químico compuesto (15-15-15)</t>
  </si>
  <si>
    <t>Kg.</t>
  </si>
  <si>
    <t>Fertilizante químico compuesto (Elementos menores 8-5-6)</t>
  </si>
  <si>
    <t>Lorban 4E</t>
  </si>
  <si>
    <t xml:space="preserve">Litro </t>
  </si>
  <si>
    <t>Insecticida granulado a base de Sulfluramida</t>
  </si>
  <si>
    <t>SUBTOTAL INSUMOS</t>
  </si>
  <si>
    <t>TOTAL COSTOS DIRECTOS ( MAO+INSUMOS)</t>
  </si>
  <si>
    <t>2. COSTOS INDIRECTOS</t>
  </si>
  <si>
    <t>Herramientas  (5% MANO DE OBRA NO CALIFICADA)</t>
  </si>
  <si>
    <t>Elementos de Proteccion Personal (5% MANO DE OBRA NO CALIFICADA)</t>
  </si>
  <si>
    <t>Transp. Insumos (15% insumos)</t>
  </si>
  <si>
    <t>TOTAL  COSTOS INDIRECTOS</t>
  </si>
  <si>
    <t xml:space="preserve">SUBTOTAL COSTO ACTIVIDADES DE ESTABLECIMIENTO </t>
  </si>
  <si>
    <t>Unidades</t>
  </si>
  <si>
    <t>Tiempo</t>
  </si>
  <si>
    <t>Duración</t>
  </si>
  <si>
    <t>Unitario</t>
  </si>
  <si>
    <t>Total Asistencia</t>
  </si>
  <si>
    <t>ASISTENCIA TECNICA</t>
  </si>
  <si>
    <t>Ingeniero Forestal</t>
  </si>
  <si>
    <t>Meses</t>
  </si>
  <si>
    <t>SUBTOTAL</t>
  </si>
  <si>
    <t>TOTAL COSTOS ACTIVIDADES DE ESTABLECIMIENTO +ASISTENCIA TECNICA</t>
  </si>
  <si>
    <t>ADMINISTRACION</t>
  </si>
  <si>
    <t>IMPREVISTOS</t>
  </si>
  <si>
    <t>UTILIDAD</t>
  </si>
  <si>
    <t>IVA</t>
  </si>
  <si>
    <t>TOTAL COSTO ESTABLECIMIENTO</t>
  </si>
  <si>
    <t>RENDIMIENTO POR HECTAREA</t>
  </si>
  <si>
    <t>DESCRIPCION ACTIVIDAD</t>
  </si>
  <si>
    <t>UNIDAD</t>
  </si>
  <si>
    <t>CANTIDAD</t>
  </si>
  <si>
    <t>Primera limpia (Preparacion del terreno)</t>
  </si>
  <si>
    <t>Ahoyado y repique</t>
  </si>
  <si>
    <t xml:space="preserve">Aplicación  de Fertilizantes </t>
  </si>
  <si>
    <t>Siembra</t>
  </si>
  <si>
    <t>Segunda Limpia</t>
  </si>
  <si>
    <t>COSTOS AISLAMIENTO</t>
  </si>
  <si>
    <t>AISLAMIENTO PARA RESTAURACION PASIVA</t>
  </si>
  <si>
    <t>META RESTAURACIÓN PASIVA (Has)</t>
  </si>
  <si>
    <t>Metros/Has</t>
  </si>
  <si>
    <t>DISEÑO DE AISLAMIENTO</t>
  </si>
  <si>
    <t>Costo Unitario $</t>
  </si>
  <si>
    <t>1. Distancia entre postes mts.</t>
  </si>
  <si>
    <t>2. Distancia pie amigos mts.</t>
  </si>
  <si>
    <t>3. Hilos alambre</t>
  </si>
  <si>
    <t>5. # Postes Piedeamigo/KM</t>
  </si>
  <si>
    <t>6. # Postes de reemplazo/ KM (Mantenimiento) (5%)</t>
  </si>
  <si>
    <t>7. Rollos alambre/KM</t>
  </si>
  <si>
    <t>8. Grapas/km en kg. (180 Grapas/Kg)</t>
  </si>
  <si>
    <t>9. Galon Pintura (Galon) (Señalizacion) / Km</t>
  </si>
  <si>
    <t>10. Disolvente THINER (Galon) (Señalizacion) / Km</t>
  </si>
  <si>
    <t>META AISLAMIENTO</t>
  </si>
  <si>
    <t>KM</t>
  </si>
  <si>
    <t>ITEM</t>
  </si>
  <si>
    <t>COSTOS / KM  (1000 ML)</t>
  </si>
  <si>
    <t>COSTO TOTAL AISLAMIENTO</t>
  </si>
  <si>
    <t>Cantidad</t>
  </si>
  <si>
    <t>Valor Unitario                $</t>
  </si>
  <si>
    <t>Valor total/Km</t>
  </si>
  <si>
    <t>1.COSTOS DIRECTOS</t>
  </si>
  <si>
    <t>1.1  Mano de obra</t>
  </si>
  <si>
    <t>ML</t>
  </si>
  <si>
    <t>Ahoyado</t>
  </si>
  <si>
    <t>Transporte menor</t>
  </si>
  <si>
    <t>Hincado</t>
  </si>
  <si>
    <t>Templado y grapado</t>
  </si>
  <si>
    <t>Pintado y Señalizado</t>
  </si>
  <si>
    <t>Subtotal mano de obra</t>
  </si>
  <si>
    <t>1.2 Insumos</t>
  </si>
  <si>
    <t>Alambre de pua (Rollo)</t>
  </si>
  <si>
    <t>Poste</t>
  </si>
  <si>
    <t>Grapa (Kgr.)</t>
  </si>
  <si>
    <t>Kg</t>
  </si>
  <si>
    <t>Pintura Aceite (Gal)</t>
  </si>
  <si>
    <t>Thinner</t>
  </si>
  <si>
    <t>Subtotal Insumos</t>
  </si>
  <si>
    <t>TOTAL COSTOS DIRECTOS</t>
  </si>
  <si>
    <t>Herramientas (5% M.O)</t>
  </si>
  <si>
    <t>Elementos de Proteccion Personal (5% M.O)</t>
  </si>
  <si>
    <t>Transporte de Insumos (15% Insumos)</t>
  </si>
  <si>
    <t>TOTAL COSTOS INDIRECTOS</t>
  </si>
  <si>
    <t>TOTAL COSTOS DIRECTOS + COSTOS INDIRECTOS</t>
  </si>
  <si>
    <t>Total Asistecnica</t>
  </si>
  <si>
    <t>3.ASISTENCIA TECNICA</t>
  </si>
  <si>
    <t>Subtotal Asistencia técnica</t>
  </si>
  <si>
    <t>TOTAL (COSTOS DIRECTOS+COSTOS INDIRECTOS+ASISTENCIAQ TECNICA)</t>
  </si>
  <si>
    <t>ESPECIFICACIONES TÉCNICAS</t>
  </si>
  <si>
    <t>Tipo de poste</t>
  </si>
  <si>
    <t>Plastico</t>
  </si>
  <si>
    <t>Número de hilos de alambre</t>
  </si>
  <si>
    <t>Dimensión (Largo m - Diámetro cm)</t>
  </si>
  <si>
    <t>2.20 m-10cm</t>
  </si>
  <si>
    <t>Distancia entre hilos (cm)</t>
  </si>
  <si>
    <t>25 cm</t>
  </si>
  <si>
    <t>Inmunización</t>
  </si>
  <si>
    <t>No</t>
  </si>
  <si>
    <t>Metros de alambre por rollo</t>
  </si>
  <si>
    <t>Distancia entre postes (m)</t>
  </si>
  <si>
    <t>Dimensión del hoyo cms. (prof. x  lados)</t>
  </si>
  <si>
    <t>50x40x40</t>
  </si>
  <si>
    <t>Distancia entre pie de amigos (m)</t>
  </si>
  <si>
    <t>Número de grapas por Poste</t>
  </si>
  <si>
    <t>Calibre alambre de púa</t>
  </si>
  <si>
    <t>Postes y Pie Amigos / KM</t>
  </si>
  <si>
    <t>Rollos de Alambre / Km</t>
  </si>
  <si>
    <t>Kilos de Grapas / KM</t>
  </si>
  <si>
    <t>Peso Poste Plastico Aprox. (Kg)</t>
  </si>
  <si>
    <t>Capacidad de Carga Transporte Mular.(Und.) (80KG)</t>
  </si>
  <si>
    <t>Valor Flete Promedio en la Zona</t>
  </si>
  <si>
    <t xml:space="preserve">Valor Total Fletes / Km </t>
  </si>
  <si>
    <t>Valor / Poste Madera</t>
  </si>
  <si>
    <t>Postes / Km</t>
  </si>
  <si>
    <t>Peso Poste Madera Aprox. (Kg)</t>
  </si>
  <si>
    <t>Valor Total Postes de Plastico + Fletes / KM</t>
  </si>
  <si>
    <t>Valor Total Postes Madera + Fletes /KM</t>
  </si>
  <si>
    <t>Pintado</t>
  </si>
  <si>
    <t>TOTAL</t>
  </si>
  <si>
    <t>COSTOS  MANTENIMIENTO CORTOLIMA</t>
  </si>
  <si>
    <t>Agrimins (NPK.Em)</t>
  </si>
  <si>
    <t>Triple 15</t>
  </si>
  <si>
    <t>Clorpirifos</t>
  </si>
  <si>
    <t>Insecicida Granular (Kg./Ha.)</t>
  </si>
  <si>
    <t>Correctivo (Bulto./Ha.)</t>
  </si>
  <si>
    <t>MANTENIMIENTO METAS TOTALES/Has</t>
  </si>
  <si>
    <t>Costos Proyectados a 2016</t>
  </si>
  <si>
    <t>Plateo (2)</t>
  </si>
  <si>
    <t>Aplicación  de Fertilizantes (2)</t>
  </si>
  <si>
    <t>Limpias (2)</t>
  </si>
  <si>
    <t>Plántulas 10% repos.</t>
  </si>
  <si>
    <t>Transp. Insumos (10% insumos)</t>
  </si>
  <si>
    <t>SUBTOTAL COSTO DIRECTOS + COSTOS INDIRECTOS</t>
  </si>
  <si>
    <t>TOTAL COSTOS (COSTOS DIRECTOS+COSTOS INDIRECTOS+ASISTENCIA TECNICA)</t>
  </si>
  <si>
    <t xml:space="preserve">TOTAL COSTO MANTENIMIENTO </t>
  </si>
  <si>
    <t>KILO</t>
  </si>
  <si>
    <t>GRAMO</t>
  </si>
  <si>
    <t>COSTOS DE ESTABLECIMIENTO VIGENCIA 2020</t>
  </si>
  <si>
    <t>Costos Proyectados a 2020</t>
  </si>
  <si>
    <t>Hormiguicida Granular</t>
  </si>
  <si>
    <t>Regent</t>
  </si>
  <si>
    <t xml:space="preserve">12. Costo por Jornal  </t>
  </si>
  <si>
    <t xml:space="preserve">13. Costo Transp. mayor (% de insumos) </t>
  </si>
  <si>
    <t>14. Herramientas  (%M.O.)</t>
  </si>
  <si>
    <t>15. Elementos de Proteccion Personal  (%M.O.)</t>
  </si>
  <si>
    <t>16. Administracion (% CD)</t>
  </si>
  <si>
    <t>11. Costos Flete Zona Promedio</t>
  </si>
  <si>
    <t>Enriquecimiento</t>
  </si>
  <si>
    <t>COMPARATIVO 2020</t>
  </si>
  <si>
    <t>BULTO</t>
  </si>
  <si>
    <t>KG</t>
  </si>
  <si>
    <t>DIFERENCIA</t>
  </si>
  <si>
    <t>NO ES EL 12% ES EL 8%</t>
  </si>
  <si>
    <t>4. # Postes/KM (plastico o medera</t>
  </si>
  <si>
    <t>IVA/UTILIDAD</t>
  </si>
  <si>
    <t>TOTAL COSTO AISLAMIENTO (AIU-- IVA/UTIL))</t>
  </si>
  <si>
    <t>IMPUESTOS GUERRA 0,5%+ ESTAMPILLAS 5%</t>
  </si>
  <si>
    <t>IMPREVISTOS 1%</t>
  </si>
  <si>
    <t>IVA/UTILIDAD 19%</t>
  </si>
  <si>
    <t>ESTABAN TOMANDO MAL EL PORCENTAJE</t>
  </si>
  <si>
    <t>HAY GRAN DIFERENCIA EN LA APLICABILIDAD</t>
  </si>
  <si>
    <t>DIFERENCIA EN LA APLICABILIDAD ESTA MAL AMARRADA LA FORMULA EL MANTENIMIENTO SE LE HACE A TODAS LAS 1221 PLANTULAS</t>
  </si>
  <si>
    <t>el porcentaje de reñosición estaba 10 solamente</t>
  </si>
  <si>
    <t>36 jornaleles</t>
  </si>
  <si>
    <t>ADMINISTRACION 10%</t>
  </si>
  <si>
    <t>UTILIDAD 5%</t>
  </si>
  <si>
    <t>Ingeniero forestal</t>
  </si>
  <si>
    <t>%</t>
  </si>
  <si>
    <t>día</t>
  </si>
  <si>
    <t>VALLAS GENERAL</t>
  </si>
  <si>
    <t>Valla 1x2</t>
  </si>
  <si>
    <t>Valla 2x2</t>
  </si>
  <si>
    <t>Valla 3x2</t>
  </si>
  <si>
    <t>Valla 3x4</t>
  </si>
  <si>
    <t>ASOGUADUA</t>
  </si>
  <si>
    <t>-</t>
  </si>
  <si>
    <t>Equipo audiovisual</t>
  </si>
  <si>
    <t>Computador, Video Beam, sonido y telar</t>
  </si>
  <si>
    <t>Refrigerios</t>
  </si>
  <si>
    <t>Pastel de pollo/sanduche en bolsa de papel, jugo de caja.</t>
  </si>
  <si>
    <t xml:space="preserve">Almuerzo </t>
  </si>
  <si>
    <t>Entrada, Plato fuerte y jugo sin utilizar icopor ni plastico</t>
  </si>
  <si>
    <t>Hidratación</t>
  </si>
  <si>
    <t>Punto de Hidratación, botellones de agua de 20 Lts</t>
  </si>
  <si>
    <t>unidad</t>
  </si>
  <si>
    <t>TALLERES</t>
  </si>
  <si>
    <t>SERVICIOS Y ASESORIAS AMBIENTALES</t>
  </si>
  <si>
    <t>Soluciones y Suministros del Tolima</t>
  </si>
  <si>
    <t>PACHITO EXPRES</t>
  </si>
  <si>
    <t>Restauración de alto valor de importancia de las zonas protectoras de fuentes hídricas y estratégicas del departamento del  Tolima</t>
  </si>
  <si>
    <t>N°</t>
  </si>
  <si>
    <t>CONCEPTO</t>
  </si>
  <si>
    <t>A</t>
  </si>
  <si>
    <t>B</t>
  </si>
  <si>
    <t>C</t>
  </si>
  <si>
    <t>D</t>
  </si>
  <si>
    <t>E</t>
  </si>
  <si>
    <t>F</t>
  </si>
  <si>
    <t>SUELDO MES BÁSICO</t>
  </si>
  <si>
    <t>% DE DEDICACIÓN</t>
  </si>
  <si>
    <t>VALOR MES (A * B * C)</t>
  </si>
  <si>
    <t>N° DE MESES</t>
  </si>
  <si>
    <t>TOTAL PARCIAL
(D * E)</t>
  </si>
  <si>
    <t>PERSONAL</t>
  </si>
  <si>
    <t>PERSONAL DE SUPERVISIÓN</t>
  </si>
  <si>
    <t>1.1.1</t>
  </si>
  <si>
    <t>Coordinador</t>
  </si>
  <si>
    <t>1.1.2</t>
  </si>
  <si>
    <t>Ingeniero Residente 1</t>
  </si>
  <si>
    <t>1.1.3</t>
  </si>
  <si>
    <t>Ingeniero Residente 2</t>
  </si>
  <si>
    <t>1.1.4</t>
  </si>
  <si>
    <t>Ingeniero Residente 3</t>
  </si>
  <si>
    <t>1.1.5</t>
  </si>
  <si>
    <t>Tecnologo Forestal</t>
  </si>
  <si>
    <t>1.1.6</t>
  </si>
  <si>
    <t>Profesional SISO</t>
  </si>
  <si>
    <t>1.1.7</t>
  </si>
  <si>
    <t>Topógrafo</t>
  </si>
  <si>
    <t>1.1.8</t>
  </si>
  <si>
    <t>Cadenero</t>
  </si>
  <si>
    <t>PERSONAL DE APOYO Y EQUIPOS</t>
  </si>
  <si>
    <t>1.3.1</t>
  </si>
  <si>
    <t>Contador</t>
  </si>
  <si>
    <t>1.3.2</t>
  </si>
  <si>
    <t>Auxiliar de oficina</t>
  </si>
  <si>
    <t>1.3.3</t>
  </si>
  <si>
    <t>Equipos de topografía</t>
  </si>
  <si>
    <t>1.3.4</t>
  </si>
  <si>
    <t>Otros</t>
  </si>
  <si>
    <t>SUBTOTAL COSTOS DE PERSONAL</t>
  </si>
  <si>
    <t>CALCULO DEL FACTOR MULTIPLICADOR</t>
  </si>
  <si>
    <t>OTROS COSTOS DIRECTOS</t>
  </si>
  <si>
    <t>NÓMINA BASE DE CÁLCULO</t>
  </si>
  <si>
    <t>Seguridad social SALUD</t>
  </si>
  <si>
    <t>Seguridad social PENSIÓN</t>
  </si>
  <si>
    <t>Seguridad social ARL</t>
  </si>
  <si>
    <t>Cesantías</t>
  </si>
  <si>
    <t>Intereses sobre cesantías</t>
  </si>
  <si>
    <t>Prima anual</t>
  </si>
  <si>
    <t>Parafiscales</t>
  </si>
  <si>
    <t>Vacaciones</t>
  </si>
  <si>
    <t>GASTOS DIRECTOS</t>
  </si>
  <si>
    <t>subtotal</t>
  </si>
  <si>
    <t>Alquiler de oficina</t>
  </si>
  <si>
    <t>Alquiler Equipos de oficina (2PC + 1 impresora)</t>
  </si>
  <si>
    <t xml:space="preserve">Alquiler mobiliario basico </t>
  </si>
  <si>
    <t>Dotacion personal (cada 6 meses)</t>
  </si>
  <si>
    <t>Servicios Públicos (energia  - acueducto)</t>
  </si>
  <si>
    <t>Gastos de viaje - viaticos</t>
  </si>
  <si>
    <t>GASTOS GENERALES</t>
  </si>
  <si>
    <t xml:space="preserve">Personal administrativo no facturado </t>
  </si>
  <si>
    <t xml:space="preserve">Utiles oficina </t>
  </si>
  <si>
    <t>Fotocopias e impresiones</t>
  </si>
  <si>
    <t>Comunicaciones (telefonía móvil e internet)</t>
  </si>
  <si>
    <t>Inducción de personal</t>
  </si>
  <si>
    <t>Asesoría legal</t>
  </si>
  <si>
    <t>Depreciación de mobiliario</t>
  </si>
  <si>
    <t>Seguros oficina del consultor</t>
  </si>
  <si>
    <t>GASTOS DE PERFECCIONAMIENTO</t>
  </si>
  <si>
    <t>HONORARIOS</t>
  </si>
  <si>
    <t>Honorarios estimados sobre el FM - según consultor</t>
  </si>
  <si>
    <t xml:space="preserve"> </t>
  </si>
  <si>
    <t>SUBTOTAL OTROS COSTOS DIRECTOS</t>
  </si>
  <si>
    <t>RESUMEN GENERAL</t>
  </si>
  <si>
    <t>SUBTOTAL COSTOS DE PRESONAL</t>
  </si>
  <si>
    <t>COSTOS DE MANTENIMIENTO VIGENCIA 2021</t>
  </si>
  <si>
    <t>COSTOS DE ESTABLECIMIENTO VIGENCIA 2022</t>
  </si>
  <si>
    <t>Costos Proyectados a 2022</t>
  </si>
  <si>
    <t xml:space="preserve"> I.A. Hernando Leguizamón Galindo</t>
  </si>
  <si>
    <t xml:space="preserve">conformada por dos columnas en madera rolliza de pino patula inmunizado de 5mt de alto con una base de 1mt, cubierta de impermeabilizante y dos travesaños de 4mt de ancho de la misma madera, las cuales llevaran talladas las estrías donde irán ancladas las tablas de las letras , estas tablas con un espesor de 2cm y con un ancho de 16.5 cm, serán en madera dura e inmunizada y a su vez machi-embradas para darle un mejor ajuste entre las mismas, las letras y logos irán tallados (vaciados) a una profundidad de 4 mm  y pintados con esmalte tipo 1, para darle mayor durabilidad, la madera se le aplicara 3 manos de barnex exterior para protegerlo del sol y la lluvia, estos avisos será anclados  a los dos huecos que tendrán un profundidad de 80 cm X 35 cm de ancho X 35 cm de largo, una vez parada la valla se le aplicara concreto de2500 psi, Para aislar la madera de la tierra y darle una mayor firmeza y durabilidad en su anclaje y buenas condiciones de la madera, en la parte inferior del hueco se instalara un piedra plana para evitar el hundimiento de la valla. </t>
  </si>
  <si>
    <t>AGROPAISAS</t>
  </si>
  <si>
    <t>CENPROFOREST</t>
  </si>
  <si>
    <t xml:space="preserve">SEV COLOMBIA </t>
  </si>
  <si>
    <t>CONCENTRADOS Y MANGUERAS SAS</t>
  </si>
  <si>
    <t>FERNEY SANCHEZ PULIDO</t>
  </si>
  <si>
    <t>1. Número de Plántulas de Palma</t>
  </si>
  <si>
    <t>Plantula de Palma</t>
  </si>
  <si>
    <t xml:space="preserve">Palma de cera  
Ceroxilum quindiuense tamaño 1,20 mtrs </t>
  </si>
  <si>
    <t>Civiforest</t>
  </si>
  <si>
    <t>BIOTA</t>
  </si>
  <si>
    <t>AGROFORESTA</t>
  </si>
  <si>
    <t xml:space="preserve">Bolsa de 15 x 30 Calibre 3 de 80 a 120 cm de Atura despues de bolsa. Forestal Nativo para clima frio  </t>
  </si>
  <si>
    <t>Poste Madera piedeamigo</t>
  </si>
  <si>
    <t>Postes Plastico o madera</t>
  </si>
  <si>
    <t>TOTAL COSTO MANTENIMIENTO RP</t>
  </si>
  <si>
    <t>COSTOS DE MANTENIMIENTO VIGENCIA 2022</t>
  </si>
  <si>
    <t xml:space="preserve">REFORESTACION PROTECTORA CON PALMA DE CERA Y ESPECIES ASOCIADAS </t>
  </si>
  <si>
    <t>Plántulas 15% repos Palma</t>
  </si>
  <si>
    <t>3. Porcentaje de reposición  10%</t>
  </si>
  <si>
    <t>3. Porcentaje de reposición  15% Palma</t>
  </si>
  <si>
    <t xml:space="preserve">	Desarrollo DE BOSQUE DE NIEBLA, ESTRATEGIA PILOTO EN EL DEPARTAMENTO DEL  TOLIMA</t>
  </si>
  <si>
    <t>Limpieza General</t>
  </si>
  <si>
    <t>Transporte</t>
  </si>
  <si>
    <t>Puntilla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</si>
</sst>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&quot;$&quot;* #,##0.00_-;\-&quot;$&quot;* #,##0.00_-;_-&quot;$&quot;* &quot;-&quot;_-;_-@_-"/>
    <numFmt numFmtId="168" formatCode="_(* #,##0.00_);_(* \(#,##0.00\);_(* &quot;-&quot;??_);_(@_)"/>
    <numFmt numFmtId="169" formatCode="0.0%"/>
    <numFmt numFmtId="170" formatCode="#,##0.0"/>
    <numFmt numFmtId="171" formatCode="_(* #,##0_);_(* \(#,##0\);_(* &quot;-&quot;??_);_(@_)"/>
    <numFmt numFmtId="172" formatCode="0.0"/>
    <numFmt numFmtId="173" formatCode="_-* #,##0.0_-;\-* #,##0.0_-;_-* &quot;-&quot;??_-;_-@_-"/>
    <numFmt numFmtId="174" formatCode="[$$-240A]\ #,##0;\-[$$-240A]\ #,##0"/>
    <numFmt numFmtId="175" formatCode="_-* #,##0.00_-;\-* #,##0.00_-;_-* &quot;-&quot;_-;_-@_-"/>
    <numFmt numFmtId="176" formatCode="#,##0.000"/>
    <numFmt numFmtId="177" formatCode="#,##0.00000000"/>
    <numFmt numFmtId="178" formatCode="_ * #,##0.00_ ;_ * \-#,##0.00_ ;_ * &quot;-&quot;??_ ;_ @_ "/>
    <numFmt numFmtId="179" formatCode="_(&quot;$&quot;\ * #,##0.00_);_(&quot;$&quot;\ * \(#,##0.00\);_(&quot;$&quot;\ * &quot;-&quot;??_);_(@_)"/>
    <numFmt numFmtId="180" formatCode="_(&quot;$&quot;\ * #,##0_);_(&quot;$&quot;\ * \(#,##0\);_(&quot;$&quot;\ * &quot;-&quot;??_);_(@_)"/>
    <numFmt numFmtId="181" formatCode="_-* #,##0.00\ &quot;€&quot;_-;\-* #,##0.00\ &quot;€&quot;_-;_-* &quot;-&quot;??\ &quot;€&quot;_-;_-@_-"/>
    <numFmt numFmtId="182" formatCode="_-&quot;$&quot;* #,##0_-;\-&quot;$&quot;* #,##0_-;_-&quot;$&quot;* &quot;-&quot;??_-;_-@_-"/>
    <numFmt numFmtId="183" formatCode="0.00000000000000E+00"/>
    <numFmt numFmtId="184" formatCode="_-&quot;$&quot;\ * #,##0_-;\-&quot;$&quot;\ * #,##0_-;_-&quot;$&quot;\ * &quot;-&quot;??_-;_-@_-"/>
    <numFmt numFmtId="185" formatCode="_(* #,##0.000_);_(* \(#,##0.000\);_(* &quot;-&quot;??_);_(@_)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i/>
      <sz val="8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9"/>
      <name val="Arial"/>
      <family val="2"/>
    </font>
    <font>
      <b/>
      <sz val="8"/>
      <name val="Arial Narrow"/>
      <family val="2"/>
    </font>
    <font>
      <sz val="8"/>
      <color theme="0"/>
      <name val="Arial Narrow"/>
      <family val="2"/>
    </font>
    <font>
      <sz val="11"/>
      <color indexed="8"/>
      <name val="Calibri"/>
      <family val="2"/>
    </font>
    <font>
      <b/>
      <sz val="8"/>
      <color theme="0"/>
      <name val="Arial Narrow"/>
      <family val="2"/>
    </font>
    <font>
      <b/>
      <sz val="8"/>
      <color indexed="8"/>
      <name val="Arial Narrow"/>
      <family val="2"/>
    </font>
    <font>
      <sz val="8"/>
      <name val="Arial Narrow"/>
      <family val="2"/>
    </font>
    <font>
      <sz val="11"/>
      <color theme="1"/>
      <name val="Arial Narrow"/>
      <family val="2"/>
    </font>
    <font>
      <sz val="8"/>
      <color indexed="8"/>
      <name val="Arial Narrow"/>
      <family val="2"/>
    </font>
    <font>
      <b/>
      <sz val="11"/>
      <color theme="1"/>
      <name val="Arial Narrow"/>
      <family val="2"/>
    </font>
    <font>
      <b/>
      <i/>
      <sz val="10"/>
      <name val="Arial Narrow"/>
      <family val="2"/>
    </font>
    <font>
      <b/>
      <sz val="11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FFFFF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42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8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/>
    <xf numFmtId="168" fontId="27" fillId="0" borderId="0" applyFont="0" applyFill="0" applyBorder="0" applyAlignment="0" applyProtection="0"/>
    <xf numFmtId="0" fontId="10" fillId="0" borderId="0" applyFont="0" applyFill="0" applyBorder="0" applyAlignment="0" applyProtection="0"/>
    <xf numFmtId="17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68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</cellStyleXfs>
  <cellXfs count="735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applyBorder="1" applyAlignment="1"/>
    <xf numFmtId="0" fontId="0" fillId="0" borderId="0" xfId="0" applyBorder="1"/>
    <xf numFmtId="44" fontId="0" fillId="0" borderId="0" xfId="0" applyNumberFormat="1" applyBorder="1"/>
    <xf numFmtId="1" fontId="0" fillId="0" borderId="0" xfId="0" applyNumberFormat="1" applyBorder="1"/>
    <xf numFmtId="9" fontId="0" fillId="0" borderId="0" xfId="0" applyNumberFormat="1" applyBorder="1"/>
    <xf numFmtId="0" fontId="5" fillId="0" borderId="0" xfId="0" applyFont="1" applyFill="1" applyBorder="1" applyAlignment="1"/>
    <xf numFmtId="0" fontId="0" fillId="0" borderId="0" xfId="0" applyFill="1" applyBorder="1"/>
    <xf numFmtId="44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10" xfId="0" applyFont="1" applyFill="1" applyBorder="1"/>
    <xf numFmtId="166" fontId="3" fillId="0" borderId="2" xfId="0" applyNumberFormat="1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7" fontId="0" fillId="0" borderId="1" xfId="1" applyNumberFormat="1" applyFont="1" applyBorder="1"/>
    <xf numFmtId="0" fontId="6" fillId="0" borderId="9" xfId="0" applyFont="1" applyBorder="1" applyAlignment="1">
      <alignment horizontal="center"/>
    </xf>
    <xf numFmtId="0" fontId="7" fillId="0" borderId="22" xfId="0" applyFont="1" applyBorder="1"/>
    <xf numFmtId="0" fontId="7" fillId="0" borderId="23" xfId="0" applyFont="1" applyBorder="1"/>
    <xf numFmtId="0" fontId="7" fillId="5" borderId="23" xfId="0" applyFont="1" applyFill="1" applyBorder="1"/>
    <xf numFmtId="0" fontId="7" fillId="0" borderId="25" xfId="0" applyFont="1" applyBorder="1"/>
    <xf numFmtId="167" fontId="7" fillId="0" borderId="22" xfId="3" applyNumberFormat="1" applyFont="1" applyBorder="1"/>
    <xf numFmtId="167" fontId="7" fillId="0" borderId="24" xfId="3" applyNumberFormat="1" applyFont="1" applyBorder="1"/>
    <xf numFmtId="167" fontId="7" fillId="4" borderId="9" xfId="3" applyNumberFormat="1" applyFont="1" applyFill="1" applyBorder="1"/>
    <xf numFmtId="167" fontId="7" fillId="0" borderId="23" xfId="3" applyNumberFormat="1" applyFont="1" applyBorder="1"/>
    <xf numFmtId="167" fontId="8" fillId="0" borderId="9" xfId="3" applyNumberFormat="1" applyFont="1" applyBorder="1"/>
    <xf numFmtId="167" fontId="7" fillId="6" borderId="25" xfId="3" applyNumberFormat="1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3" fillId="0" borderId="0" xfId="0" applyFont="1"/>
    <xf numFmtId="0" fontId="3" fillId="0" borderId="0" xfId="0" applyFont="1" applyFill="1"/>
    <xf numFmtId="0" fontId="11" fillId="9" borderId="26" xfId="4" applyFont="1" applyFill="1" applyBorder="1" applyAlignment="1" applyProtection="1">
      <alignment vertical="center" wrapText="1"/>
    </xf>
    <xf numFmtId="0" fontId="11" fillId="9" borderId="27" xfId="4" applyFont="1" applyFill="1" applyBorder="1" applyAlignment="1" applyProtection="1">
      <alignment vertical="center" wrapText="1"/>
    </xf>
    <xf numFmtId="3" fontId="12" fillId="0" borderId="1" xfId="4" applyNumberFormat="1" applyFont="1" applyFill="1" applyBorder="1" applyAlignment="1" applyProtection="1">
      <alignment horizontal="center" vertical="center" wrapText="1"/>
      <protection locked="0"/>
    </xf>
    <xf numFmtId="166" fontId="12" fillId="0" borderId="27" xfId="4" applyNumberFormat="1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9" fontId="12" fillId="0" borderId="1" xfId="5" applyFont="1" applyFill="1" applyBorder="1" applyAlignment="1" applyProtection="1">
      <alignment horizontal="center" vertical="center" wrapText="1"/>
    </xf>
    <xf numFmtId="0" fontId="11" fillId="9" borderId="1" xfId="4" applyFont="1" applyFill="1" applyBorder="1" applyAlignment="1" applyProtection="1">
      <alignment horizontal="center" vertical="center" wrapText="1"/>
    </xf>
    <xf numFmtId="9" fontId="11" fillId="9" borderId="1" xfId="5" applyFont="1" applyFill="1" applyBorder="1" applyAlignment="1" applyProtection="1">
      <alignment horizontal="center" vertical="center" wrapText="1"/>
    </xf>
    <xf numFmtId="3" fontId="11" fillId="9" borderId="27" xfId="4" applyNumberFormat="1" applyFont="1" applyFill="1" applyBorder="1" applyAlignment="1" applyProtection="1">
      <alignment horizontal="center" vertical="center" wrapText="1"/>
    </xf>
    <xf numFmtId="0" fontId="12" fillId="0" borderId="1" xfId="4" applyFont="1" applyFill="1" applyBorder="1" applyAlignment="1" applyProtection="1">
      <alignment horizontal="center" vertical="center" wrapText="1"/>
    </xf>
    <xf numFmtId="4" fontId="12" fillId="0" borderId="1" xfId="4" applyNumberFormat="1" applyFont="1" applyFill="1" applyBorder="1" applyAlignment="1" applyProtection="1">
      <alignment horizontal="center" vertical="center" wrapText="1"/>
      <protection locked="0"/>
    </xf>
    <xf numFmtId="166" fontId="12" fillId="0" borderId="27" xfId="6" applyNumberFormat="1" applyFont="1" applyBorder="1" applyAlignment="1" applyProtection="1">
      <alignment horizontal="center" vertical="center" wrapText="1"/>
      <protection locked="0"/>
    </xf>
    <xf numFmtId="166" fontId="12" fillId="0" borderId="27" xfId="6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/>
    <xf numFmtId="169" fontId="12" fillId="0" borderId="1" xfId="5" applyNumberFormat="1" applyFont="1" applyFill="1" applyBorder="1" applyAlignment="1" applyProtection="1">
      <alignment horizontal="center" vertical="center" wrapText="1"/>
    </xf>
    <xf numFmtId="3" fontId="12" fillId="0" borderId="0" xfId="4" applyNumberFormat="1" applyFont="1" applyFill="1" applyBorder="1" applyAlignment="1" applyProtection="1">
      <alignment vertical="center" wrapText="1"/>
    </xf>
    <xf numFmtId="166" fontId="12" fillId="0" borderId="1" xfId="6" applyNumberFormat="1" applyFont="1" applyFill="1" applyBorder="1" applyAlignment="1" applyProtection="1">
      <alignment horizontal="center" vertical="center" wrapText="1"/>
      <protection locked="0"/>
    </xf>
    <xf numFmtId="9" fontId="12" fillId="0" borderId="1" xfId="5" applyFont="1" applyFill="1" applyBorder="1" applyAlignment="1" applyProtection="1">
      <alignment horizontal="center" vertical="center" wrapText="1"/>
      <protection locked="0"/>
    </xf>
    <xf numFmtId="0" fontId="11" fillId="0" borderId="0" xfId="4" applyFont="1" applyFill="1" applyBorder="1" applyAlignment="1" applyProtection="1">
      <alignment vertical="center" wrapText="1"/>
    </xf>
    <xf numFmtId="0" fontId="3" fillId="0" borderId="0" xfId="0" applyFont="1" applyBorder="1"/>
    <xf numFmtId="9" fontId="3" fillId="0" borderId="0" xfId="0" applyNumberFormat="1" applyFont="1" applyBorder="1"/>
    <xf numFmtId="0" fontId="2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10" xfId="0" applyFont="1" applyBorder="1"/>
    <xf numFmtId="0" fontId="3" fillId="0" borderId="11" xfId="0" applyFont="1" applyBorder="1"/>
    <xf numFmtId="0" fontId="15" fillId="0" borderId="10" xfId="0" applyFont="1" applyFill="1" applyBorder="1"/>
    <xf numFmtId="0" fontId="3" fillId="0" borderId="11" xfId="0" applyFont="1" applyFill="1" applyBorder="1"/>
    <xf numFmtId="0" fontId="11" fillId="10" borderId="10" xfId="4" applyFont="1" applyFill="1" applyBorder="1" applyAlignment="1" applyProtection="1">
      <alignment horizontal="center" vertical="center" wrapText="1"/>
    </xf>
    <xf numFmtId="0" fontId="11" fillId="10" borderId="1" xfId="4" applyFont="1" applyFill="1" applyBorder="1" applyAlignment="1" applyProtection="1">
      <alignment horizontal="center" vertical="center" wrapText="1"/>
    </xf>
    <xf numFmtId="3" fontId="11" fillId="10" borderId="1" xfId="4" applyNumberFormat="1" applyFont="1" applyFill="1" applyBorder="1" applyAlignment="1" applyProtection="1">
      <alignment horizontal="center" vertical="center" wrapText="1"/>
    </xf>
    <xf numFmtId="3" fontId="11" fillId="10" borderId="11" xfId="4" applyNumberFormat="1" applyFont="1" applyFill="1" applyBorder="1" applyAlignment="1" applyProtection="1">
      <alignment horizontal="center" vertical="center" wrapText="1"/>
    </xf>
    <xf numFmtId="0" fontId="11" fillId="7" borderId="10" xfId="0" applyFont="1" applyFill="1" applyBorder="1" applyAlignment="1" applyProtection="1">
      <alignment vertical="center"/>
    </xf>
    <xf numFmtId="0" fontId="11" fillId="7" borderId="1" xfId="0" applyFont="1" applyFill="1" applyBorder="1" applyAlignment="1" applyProtection="1">
      <alignment vertical="center"/>
    </xf>
    <xf numFmtId="0" fontId="11" fillId="7" borderId="11" xfId="0" applyFont="1" applyFill="1" applyBorder="1" applyAlignment="1" applyProtection="1">
      <alignment vertical="center"/>
    </xf>
    <xf numFmtId="0" fontId="11" fillId="11" borderId="10" xfId="0" applyFont="1" applyFill="1" applyBorder="1" applyAlignment="1" applyProtection="1">
      <alignment vertical="center"/>
    </xf>
    <xf numFmtId="0" fontId="11" fillId="11" borderId="1" xfId="0" applyFont="1" applyFill="1" applyBorder="1" applyAlignment="1" applyProtection="1">
      <alignment vertical="center"/>
    </xf>
    <xf numFmtId="0" fontId="11" fillId="11" borderId="11" xfId="0" applyFont="1" applyFill="1" applyBorder="1" applyAlignment="1" applyProtection="1">
      <alignment vertical="center"/>
    </xf>
    <xf numFmtId="0" fontId="12" fillId="2" borderId="10" xfId="0" applyFont="1" applyFill="1" applyBorder="1" applyAlignment="1" applyProtection="1">
      <alignment vertical="center"/>
    </xf>
    <xf numFmtId="0" fontId="12" fillId="0" borderId="1" xfId="4" applyFont="1" applyBorder="1" applyAlignment="1" applyProtection="1">
      <alignment horizontal="center" vertical="center" wrapText="1"/>
    </xf>
    <xf numFmtId="3" fontId="12" fillId="0" borderId="1" xfId="4" applyNumberFormat="1" applyFont="1" applyBorder="1" applyAlignment="1" applyProtection="1">
      <alignment horizontal="center" vertical="center" wrapText="1"/>
    </xf>
    <xf numFmtId="166" fontId="12" fillId="0" borderId="1" xfId="6" applyNumberFormat="1" applyFont="1" applyBorder="1" applyAlignment="1" applyProtection="1">
      <alignment vertical="center" wrapText="1"/>
    </xf>
    <xf numFmtId="166" fontId="12" fillId="0" borderId="11" xfId="6" applyNumberFormat="1" applyFont="1" applyBorder="1" applyAlignment="1" applyProtection="1">
      <alignment vertical="center" wrapText="1"/>
    </xf>
    <xf numFmtId="0" fontId="12" fillId="0" borderId="10" xfId="4" applyFont="1" applyBorder="1" applyAlignment="1" applyProtection="1">
      <alignment vertical="center" wrapText="1"/>
    </xf>
    <xf numFmtId="0" fontId="12" fillId="0" borderId="10" xfId="4" applyFont="1" applyBorder="1" applyAlignment="1" applyProtection="1">
      <alignment horizontal="left" vertical="center" wrapText="1"/>
    </xf>
    <xf numFmtId="1" fontId="11" fillId="11" borderId="1" xfId="0" applyNumberFormat="1" applyFont="1" applyFill="1" applyBorder="1" applyAlignment="1" applyProtection="1">
      <alignment horizontal="center" vertical="center"/>
    </xf>
    <xf numFmtId="3" fontId="11" fillId="11" borderId="1" xfId="0" applyNumberFormat="1" applyFont="1" applyFill="1" applyBorder="1" applyAlignment="1" applyProtection="1">
      <alignment horizontal="center" vertical="center"/>
    </xf>
    <xf numFmtId="168" fontId="11" fillId="11" borderId="1" xfId="6" applyFont="1" applyFill="1" applyBorder="1" applyAlignment="1" applyProtection="1">
      <alignment horizontal="center" vertical="center"/>
    </xf>
    <xf numFmtId="166" fontId="11" fillId="11" borderId="1" xfId="6" applyNumberFormat="1" applyFont="1" applyFill="1" applyBorder="1" applyAlignment="1" applyProtection="1">
      <alignment horizontal="center" vertical="center"/>
    </xf>
    <xf numFmtId="166" fontId="11" fillId="11" borderId="11" xfId="6" applyNumberFormat="1" applyFont="1" applyFill="1" applyBorder="1" applyAlignment="1" applyProtection="1">
      <alignment vertical="center"/>
    </xf>
    <xf numFmtId="3" fontId="12" fillId="8" borderId="11" xfId="4" applyNumberFormat="1" applyFont="1" applyFill="1" applyBorder="1" applyAlignment="1" applyProtection="1">
      <alignment vertical="center" wrapText="1"/>
    </xf>
    <xf numFmtId="170" fontId="12" fillId="0" borderId="1" xfId="4" applyNumberFormat="1" applyFont="1" applyBorder="1" applyAlignment="1" applyProtection="1">
      <alignment horizontal="center" vertical="center" wrapText="1"/>
    </xf>
    <xf numFmtId="166" fontId="11" fillId="8" borderId="1" xfId="6" applyNumberFormat="1" applyFont="1" applyFill="1" applyBorder="1" applyAlignment="1" applyProtection="1">
      <alignment vertical="center" wrapText="1"/>
    </xf>
    <xf numFmtId="166" fontId="11" fillId="8" borderId="11" xfId="6" applyNumberFormat="1" applyFont="1" applyFill="1" applyBorder="1" applyAlignment="1" applyProtection="1">
      <alignment vertical="center" wrapText="1"/>
    </xf>
    <xf numFmtId="168" fontId="11" fillId="12" borderId="1" xfId="6" applyFont="1" applyFill="1" applyBorder="1" applyAlignment="1" applyProtection="1">
      <alignment vertical="center" wrapText="1"/>
    </xf>
    <xf numFmtId="168" fontId="11" fillId="12" borderId="11" xfId="6" applyFont="1" applyFill="1" applyBorder="1" applyAlignment="1" applyProtection="1">
      <alignment vertical="center" wrapText="1"/>
    </xf>
    <xf numFmtId="3" fontId="11" fillId="13" borderId="1" xfId="4" applyNumberFormat="1" applyFont="1" applyFill="1" applyBorder="1" applyAlignment="1" applyProtection="1">
      <alignment horizontal="center" vertical="center" wrapText="1"/>
    </xf>
    <xf numFmtId="3" fontId="12" fillId="13" borderId="11" xfId="4" applyNumberFormat="1" applyFont="1" applyFill="1" applyBorder="1" applyAlignment="1" applyProtection="1">
      <alignment vertical="center" wrapText="1"/>
    </xf>
    <xf numFmtId="168" fontId="13" fillId="0" borderId="1" xfId="6" quotePrefix="1" applyFont="1" applyFill="1" applyBorder="1" applyAlignment="1" applyProtection="1">
      <alignment vertical="center" wrapText="1"/>
    </xf>
    <xf numFmtId="168" fontId="13" fillId="0" borderId="11" xfId="6" quotePrefix="1" applyFont="1" applyFill="1" applyBorder="1" applyAlignment="1" applyProtection="1">
      <alignment vertical="center" wrapText="1"/>
    </xf>
    <xf numFmtId="168" fontId="13" fillId="0" borderId="1" xfId="6" applyFont="1" applyFill="1" applyBorder="1" applyAlignment="1" applyProtection="1">
      <alignment vertical="center" wrapText="1"/>
    </xf>
    <xf numFmtId="168" fontId="13" fillId="0" borderId="11" xfId="6" applyFont="1" applyFill="1" applyBorder="1" applyAlignment="1" applyProtection="1">
      <alignment vertical="center" wrapText="1"/>
    </xf>
    <xf numFmtId="168" fontId="11" fillId="11" borderId="1" xfId="6" applyFont="1" applyFill="1" applyBorder="1" applyAlignment="1" applyProtection="1">
      <alignment vertical="center" wrapText="1"/>
    </xf>
    <xf numFmtId="168" fontId="11" fillId="11" borderId="11" xfId="6" applyFont="1" applyFill="1" applyBorder="1" applyAlignment="1" applyProtection="1">
      <alignment vertical="center" wrapText="1"/>
    </xf>
    <xf numFmtId="168" fontId="11" fillId="10" borderId="1" xfId="6" applyFont="1" applyFill="1" applyBorder="1" applyAlignment="1" applyProtection="1">
      <alignment vertical="center" wrapText="1"/>
    </xf>
    <xf numFmtId="168" fontId="11" fillId="10" borderId="11" xfId="6" applyFont="1" applyFill="1" applyBorder="1" applyAlignment="1" applyProtection="1">
      <alignment vertical="center" wrapText="1"/>
    </xf>
    <xf numFmtId="0" fontId="11" fillId="14" borderId="10" xfId="4" applyFont="1" applyFill="1" applyBorder="1" applyAlignment="1" applyProtection="1">
      <alignment horizontal="center" vertical="center" wrapText="1"/>
    </xf>
    <xf numFmtId="9" fontId="9" fillId="14" borderId="4" xfId="0" applyNumberFormat="1" applyFont="1" applyFill="1" applyBorder="1" applyAlignment="1">
      <alignment horizontal="center" vertical="center"/>
    </xf>
    <xf numFmtId="0" fontId="9" fillId="14" borderId="4" xfId="0" applyFont="1" applyFill="1" applyBorder="1" applyAlignment="1">
      <alignment horizontal="center" vertical="center"/>
    </xf>
    <xf numFmtId="168" fontId="9" fillId="14" borderId="5" xfId="0" applyNumberFormat="1" applyFont="1" applyFill="1" applyBorder="1" applyAlignment="1">
      <alignment horizontal="center" vertical="center" wrapText="1"/>
    </xf>
    <xf numFmtId="0" fontId="11" fillId="2" borderId="10" xfId="4" applyFont="1" applyFill="1" applyBorder="1" applyAlignment="1" applyProtection="1">
      <alignment horizontal="left" vertical="center" wrapText="1"/>
    </xf>
    <xf numFmtId="9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68" fontId="9" fillId="0" borderId="18" xfId="0" applyNumberFormat="1" applyFont="1" applyBorder="1" applyAlignment="1">
      <alignment horizontal="center"/>
    </xf>
    <xf numFmtId="0" fontId="12" fillId="2" borderId="10" xfId="4" applyFont="1" applyFill="1" applyBorder="1" applyAlignment="1" applyProtection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68" fontId="12" fillId="2" borderId="11" xfId="6" applyFont="1" applyFill="1" applyBorder="1" applyAlignment="1" applyProtection="1">
      <alignment vertical="center" wrapText="1"/>
    </xf>
    <xf numFmtId="0" fontId="9" fillId="0" borderId="6" xfId="0" applyFont="1" applyBorder="1"/>
    <xf numFmtId="9" fontId="2" fillId="0" borderId="7" xfId="0" applyNumberFormat="1" applyFont="1" applyBorder="1"/>
    <xf numFmtId="0" fontId="2" fillId="0" borderId="7" xfId="0" applyFont="1" applyBorder="1"/>
    <xf numFmtId="168" fontId="9" fillId="0" borderId="8" xfId="0" applyNumberFormat="1" applyFont="1" applyBorder="1"/>
    <xf numFmtId="0" fontId="9" fillId="15" borderId="10" xfId="0" applyFont="1" applyFill="1" applyBorder="1"/>
    <xf numFmtId="0" fontId="13" fillId="15" borderId="1" xfId="0" applyFont="1" applyFill="1" applyBorder="1"/>
    <xf numFmtId="168" fontId="9" fillId="15" borderId="11" xfId="0" applyNumberFormat="1" applyFont="1" applyFill="1" applyBorder="1"/>
    <xf numFmtId="0" fontId="13" fillId="0" borderId="10" xfId="0" applyFont="1" applyBorder="1"/>
    <xf numFmtId="9" fontId="13" fillId="0" borderId="1" xfId="0" applyNumberFormat="1" applyFont="1" applyBorder="1"/>
    <xf numFmtId="0" fontId="13" fillId="0" borderId="1" xfId="0" applyFont="1" applyBorder="1"/>
    <xf numFmtId="168" fontId="13" fillId="0" borderId="1" xfId="6" applyFont="1" applyBorder="1"/>
    <xf numFmtId="168" fontId="9" fillId="5" borderId="15" xfId="0" applyNumberFormat="1" applyFont="1" applyFill="1" applyBorder="1"/>
    <xf numFmtId="9" fontId="3" fillId="0" borderId="0" xfId="0" applyNumberFormat="1" applyFont="1"/>
    <xf numFmtId="168" fontId="13" fillId="0" borderId="0" xfId="0" applyNumberFormat="1" applyFont="1" applyBorder="1"/>
    <xf numFmtId="168" fontId="2" fillId="0" borderId="0" xfId="0" applyNumberFormat="1" applyFont="1" applyFill="1" applyBorder="1"/>
    <xf numFmtId="168" fontId="3" fillId="0" borderId="0" xfId="0" applyNumberFormat="1" applyFont="1"/>
    <xf numFmtId="0" fontId="8" fillId="16" borderId="3" xfId="0" applyFont="1" applyFill="1" applyBorder="1" applyAlignment="1">
      <alignment horizontal="center" vertical="center"/>
    </xf>
    <xf numFmtId="0" fontId="8" fillId="16" borderId="4" xfId="0" applyFont="1" applyFill="1" applyBorder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3" fontId="12" fillId="0" borderId="11" xfId="4" applyNumberFormat="1" applyFont="1" applyBorder="1" applyAlignment="1" applyProtection="1">
      <alignment horizontal="center" vertical="center" wrapText="1"/>
    </xf>
    <xf numFmtId="171" fontId="12" fillId="0" borderId="0" xfId="6" applyNumberFormat="1" applyFont="1" applyBorder="1" applyAlignment="1" applyProtection="1">
      <alignment vertical="center" wrapText="1"/>
    </xf>
    <xf numFmtId="168" fontId="3" fillId="0" borderId="0" xfId="6" applyFont="1"/>
    <xf numFmtId="0" fontId="14" fillId="10" borderId="1" xfId="0" applyFont="1" applyFill="1" applyBorder="1" applyAlignment="1" applyProtection="1">
      <alignment horizontal="center" vertical="center" wrapText="1"/>
    </xf>
    <xf numFmtId="3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10" borderId="1" xfId="0" applyFont="1" applyFill="1" applyBorder="1" applyAlignment="1" applyProtection="1">
      <alignment horizontal="center" vertical="center" wrapText="1"/>
    </xf>
    <xf numFmtId="172" fontId="12" fillId="0" borderId="1" xfId="0" applyNumberFormat="1" applyFont="1" applyFill="1" applyBorder="1" applyAlignment="1" applyProtection="1">
      <alignment vertical="center"/>
      <protection locked="0"/>
    </xf>
    <xf numFmtId="3" fontId="12" fillId="0" borderId="1" xfId="0" applyNumberFormat="1" applyFont="1" applyFill="1" applyBorder="1" applyAlignment="1" applyProtection="1">
      <alignment vertical="center" wrapText="1"/>
    </xf>
    <xf numFmtId="3" fontId="12" fillId="0" borderId="0" xfId="0" applyNumberFormat="1" applyFont="1" applyBorder="1" applyAlignment="1" applyProtection="1">
      <alignment vertical="center" wrapText="1"/>
    </xf>
    <xf numFmtId="172" fontId="12" fillId="0" borderId="0" xfId="0" applyNumberFormat="1" applyFont="1" applyFill="1" applyBorder="1" applyAlignment="1" applyProtection="1">
      <alignment vertical="center"/>
      <protection locked="0"/>
    </xf>
    <xf numFmtId="170" fontId="12" fillId="17" borderId="1" xfId="0" applyNumberFormat="1" applyFont="1" applyFill="1" applyBorder="1" applyAlignment="1" applyProtection="1">
      <alignment vertical="center" wrapText="1"/>
    </xf>
    <xf numFmtId="3" fontId="12" fillId="0" borderId="0" xfId="0" applyNumberFormat="1" applyFont="1" applyBorder="1" applyAlignment="1" applyProtection="1">
      <alignment vertical="center" wrapText="1"/>
      <protection locked="0"/>
    </xf>
    <xf numFmtId="3" fontId="12" fillId="0" borderId="1" xfId="0" applyNumberFormat="1" applyFont="1" applyBorder="1" applyAlignment="1" applyProtection="1">
      <alignment vertical="center" wrapText="1"/>
      <protection locked="0"/>
    </xf>
    <xf numFmtId="172" fontId="12" fillId="0" borderId="1" xfId="0" applyNumberFormat="1" applyFont="1" applyFill="1" applyBorder="1" applyAlignment="1" applyProtection="1">
      <alignment vertical="center"/>
    </xf>
    <xf numFmtId="0" fontId="11" fillId="10" borderId="26" xfId="0" applyFont="1" applyFill="1" applyBorder="1" applyAlignment="1" applyProtection="1">
      <alignment horizontal="left" vertical="center"/>
    </xf>
    <xf numFmtId="0" fontId="11" fillId="10" borderId="27" xfId="0" applyFont="1" applyFill="1" applyBorder="1" applyAlignment="1" applyProtection="1">
      <alignment horizontal="left" vertical="center"/>
    </xf>
    <xf numFmtId="2" fontId="12" fillId="0" borderId="1" xfId="0" applyNumberFormat="1" applyFont="1" applyFill="1" applyBorder="1" applyAlignment="1" applyProtection="1">
      <alignment vertical="center"/>
    </xf>
    <xf numFmtId="4" fontId="12" fillId="0" borderId="1" xfId="0" applyNumberFormat="1" applyFont="1" applyBorder="1" applyAlignment="1" applyProtection="1">
      <alignment vertical="center" wrapText="1"/>
      <protection locked="0"/>
    </xf>
    <xf numFmtId="4" fontId="12" fillId="0" borderId="0" xfId="0" applyNumberFormat="1" applyFont="1" applyBorder="1" applyAlignment="1" applyProtection="1">
      <alignment vertical="center" wrapText="1"/>
      <protection locked="0"/>
    </xf>
    <xf numFmtId="9" fontId="12" fillId="0" borderId="1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/>
    </xf>
    <xf numFmtId="9" fontId="12" fillId="0" borderId="1" xfId="0" applyNumberFormat="1" applyFont="1" applyFill="1" applyBorder="1" applyAlignment="1" applyProtection="1">
      <alignment vertical="center"/>
    </xf>
    <xf numFmtId="4" fontId="14" fillId="0" borderId="31" xfId="0" applyNumberFormat="1" applyFont="1" applyBorder="1" applyAlignment="1" applyProtection="1">
      <alignment horizontal="center" vertical="center" wrapText="1"/>
      <protection locked="0"/>
    </xf>
    <xf numFmtId="3" fontId="21" fillId="0" borderId="0" xfId="0" applyNumberFormat="1" applyFont="1" applyBorder="1" applyAlignment="1" applyProtection="1">
      <alignment horizontal="center" vertical="center" wrapText="1"/>
      <protection locked="0"/>
    </xf>
    <xf numFmtId="0" fontId="14" fillId="10" borderId="32" xfId="0" applyFont="1" applyFill="1" applyBorder="1" applyAlignment="1" applyProtection="1">
      <alignment horizontal="center" vertical="center" wrapText="1"/>
    </xf>
    <xf numFmtId="1" fontId="11" fillId="10" borderId="1" xfId="0" applyNumberFormat="1" applyFont="1" applyFill="1" applyBorder="1" applyAlignment="1" applyProtection="1">
      <alignment horizontal="centerContinuous" vertical="center" wrapText="1"/>
    </xf>
    <xf numFmtId="0" fontId="11" fillId="10" borderId="1" xfId="0" applyFont="1" applyFill="1" applyBorder="1" applyAlignment="1" applyProtection="1">
      <alignment horizontal="centerContinuous" vertical="center" wrapText="1"/>
    </xf>
    <xf numFmtId="172" fontId="12" fillId="0" borderId="1" xfId="0" applyNumberFormat="1" applyFont="1" applyBorder="1" applyAlignment="1" applyProtection="1">
      <alignment horizontal="center" vertical="center"/>
    </xf>
    <xf numFmtId="3" fontId="12" fillId="0" borderId="1" xfId="0" applyNumberFormat="1" applyFont="1" applyBorder="1" applyAlignment="1" applyProtection="1">
      <alignment horizontal="center" vertical="center" wrapText="1"/>
    </xf>
    <xf numFmtId="166" fontId="12" fillId="0" borderId="1" xfId="3" applyNumberFormat="1" applyFont="1" applyBorder="1" applyAlignment="1" applyProtection="1">
      <alignment vertical="center" wrapText="1"/>
    </xf>
    <xf numFmtId="166" fontId="12" fillId="0" borderId="11" xfId="3" applyNumberFormat="1" applyFont="1" applyBorder="1" applyAlignment="1" applyProtection="1">
      <alignment vertical="center" wrapText="1"/>
    </xf>
    <xf numFmtId="164" fontId="12" fillId="0" borderId="1" xfId="3" applyNumberFormat="1" applyFont="1" applyBorder="1" applyAlignment="1" applyProtection="1">
      <alignment vertical="center" wrapText="1"/>
    </xf>
    <xf numFmtId="172" fontId="11" fillId="7" borderId="1" xfId="0" applyNumberFormat="1" applyFont="1" applyFill="1" applyBorder="1" applyAlignment="1" applyProtection="1">
      <alignment horizontal="center" vertical="center"/>
    </xf>
    <xf numFmtId="3" fontId="11" fillId="7" borderId="1" xfId="0" applyNumberFormat="1" applyFont="1" applyFill="1" applyBorder="1" applyAlignment="1" applyProtection="1">
      <alignment horizontal="center" vertical="center" wrapText="1"/>
    </xf>
    <xf numFmtId="43" fontId="11" fillId="7" borderId="1" xfId="3" applyFont="1" applyFill="1" applyBorder="1" applyAlignment="1" applyProtection="1">
      <alignment horizontal="right" vertical="center"/>
    </xf>
    <xf numFmtId="166" fontId="11" fillId="7" borderId="1" xfId="3" applyNumberFormat="1" applyFont="1" applyFill="1" applyBorder="1" applyAlignment="1" applyProtection="1">
      <alignment horizontal="center" vertical="center"/>
    </xf>
    <xf numFmtId="1" fontId="12" fillId="11" borderId="1" xfId="0" applyNumberFormat="1" applyFont="1" applyFill="1" applyBorder="1" applyAlignment="1" applyProtection="1">
      <alignment horizontal="center" vertical="center"/>
    </xf>
    <xf numFmtId="3" fontId="12" fillId="11" borderId="1" xfId="0" applyNumberFormat="1" applyFont="1" applyFill="1" applyBorder="1" applyAlignment="1" applyProtection="1">
      <alignment horizontal="center" vertical="center" wrapText="1"/>
    </xf>
    <xf numFmtId="43" fontId="12" fillId="11" borderId="1" xfId="3" applyFont="1" applyFill="1" applyBorder="1" applyAlignment="1" applyProtection="1">
      <alignment horizontal="right" vertical="center"/>
    </xf>
    <xf numFmtId="3" fontId="12" fillId="0" borderId="1" xfId="0" applyNumberFormat="1" applyFont="1" applyBorder="1" applyAlignment="1" applyProtection="1">
      <alignment horizontal="center" vertical="center"/>
    </xf>
    <xf numFmtId="3" fontId="12" fillId="0" borderId="1" xfId="0" applyNumberFormat="1" applyFont="1" applyBorder="1" applyAlignment="1" applyProtection="1">
      <alignment horizontal="right" vertical="center" wrapText="1"/>
    </xf>
    <xf numFmtId="43" fontId="12" fillId="0" borderId="1" xfId="3" applyFont="1" applyBorder="1" applyAlignment="1" applyProtection="1">
      <alignment horizontal="right" vertical="center"/>
    </xf>
    <xf numFmtId="3" fontId="12" fillId="17" borderId="1" xfId="0" applyNumberFormat="1" applyFont="1" applyFill="1" applyBorder="1" applyAlignment="1" applyProtection="1">
      <alignment horizontal="center" vertical="center" wrapText="1"/>
    </xf>
    <xf numFmtId="170" fontId="11" fillId="7" borderId="1" xfId="0" applyNumberFormat="1" applyFont="1" applyFill="1" applyBorder="1" applyAlignment="1" applyProtection="1">
      <alignment horizontal="center" vertical="center"/>
    </xf>
    <xf numFmtId="43" fontId="11" fillId="7" borderId="1" xfId="3" applyFont="1" applyFill="1" applyBorder="1" applyAlignment="1" applyProtection="1">
      <alignment horizontal="right" vertical="center" wrapText="1"/>
    </xf>
    <xf numFmtId="166" fontId="11" fillId="7" borderId="1" xfId="3" applyNumberFormat="1" applyFont="1" applyFill="1" applyBorder="1" applyAlignment="1" applyProtection="1">
      <alignment vertical="center" wrapText="1"/>
    </xf>
    <xf numFmtId="170" fontId="11" fillId="11" borderId="1" xfId="0" applyNumberFormat="1" applyFont="1" applyFill="1" applyBorder="1" applyAlignment="1" applyProtection="1">
      <alignment horizontal="center" vertical="center"/>
    </xf>
    <xf numFmtId="3" fontId="11" fillId="11" borderId="1" xfId="0" applyNumberFormat="1" applyFont="1" applyFill="1" applyBorder="1" applyAlignment="1" applyProtection="1">
      <alignment horizontal="center" vertical="center" wrapText="1"/>
    </xf>
    <xf numFmtId="170" fontId="12" fillId="2" borderId="1" xfId="0" applyNumberFormat="1" applyFont="1" applyFill="1" applyBorder="1" applyAlignment="1" applyProtection="1">
      <alignment horizontal="center" vertical="center"/>
    </xf>
    <xf numFmtId="3" fontId="12" fillId="2" borderId="1" xfId="0" applyNumberFormat="1" applyFont="1" applyFill="1" applyBorder="1" applyAlignment="1" applyProtection="1">
      <alignment horizontal="center" vertical="center" wrapText="1"/>
    </xf>
    <xf numFmtId="170" fontId="12" fillId="0" borderId="1" xfId="0" applyNumberFormat="1" applyFont="1" applyBorder="1" applyAlignment="1" applyProtection="1">
      <alignment horizontal="center" vertical="center"/>
    </xf>
    <xf numFmtId="170" fontId="12" fillId="7" borderId="1" xfId="0" applyNumberFormat="1" applyFont="1" applyFill="1" applyBorder="1" applyAlignment="1" applyProtection="1">
      <alignment horizontal="center" vertical="center"/>
    </xf>
    <xf numFmtId="3" fontId="12" fillId="7" borderId="1" xfId="0" applyNumberFormat="1" applyFont="1" applyFill="1" applyBorder="1" applyAlignment="1" applyProtection="1">
      <alignment horizontal="right" vertical="center" wrapText="1"/>
    </xf>
    <xf numFmtId="9" fontId="9" fillId="14" borderId="4" xfId="0" applyNumberFormat="1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7" borderId="6" xfId="0" applyFont="1" applyFill="1" applyBorder="1"/>
    <xf numFmtId="9" fontId="2" fillId="7" borderId="7" xfId="0" applyNumberFormat="1" applyFont="1" applyFill="1" applyBorder="1"/>
    <xf numFmtId="0" fontId="2" fillId="7" borderId="7" xfId="0" applyFont="1" applyFill="1" applyBorder="1"/>
    <xf numFmtId="0" fontId="14" fillId="0" borderId="0" xfId="0" applyFont="1" applyFill="1" applyBorder="1" applyAlignment="1" applyProtection="1">
      <alignment vertical="center"/>
    </xf>
    <xf numFmtId="1" fontId="14" fillId="0" borderId="0" xfId="0" applyNumberFormat="1" applyFont="1" applyFill="1" applyBorder="1" applyAlignment="1" applyProtection="1">
      <alignment horizontal="center" vertical="center"/>
    </xf>
    <xf numFmtId="3" fontId="14" fillId="0" borderId="0" xfId="0" applyNumberFormat="1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vertical="center" wrapText="1"/>
    </xf>
    <xf numFmtId="1" fontId="10" fillId="0" borderId="0" xfId="0" applyNumberFormat="1" applyFont="1" applyAlignment="1" applyProtection="1">
      <alignment horizontal="center" vertical="center" wrapText="1"/>
    </xf>
    <xf numFmtId="0" fontId="10" fillId="0" borderId="0" xfId="0" applyFont="1" applyAlignment="1" applyProtection="1">
      <alignment vertical="center" wrapText="1"/>
    </xf>
    <xf numFmtId="0" fontId="12" fillId="0" borderId="1" xfId="0" applyFont="1" applyBorder="1" applyAlignment="1" applyProtection="1">
      <alignment vertical="center" wrapText="1"/>
    </xf>
    <xf numFmtId="1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 wrapText="1"/>
    </xf>
    <xf numFmtId="0" fontId="12" fillId="0" borderId="26" xfId="0" applyFont="1" applyBorder="1" applyAlignment="1" applyProtection="1">
      <alignment vertical="center" wrapText="1"/>
    </xf>
    <xf numFmtId="172" fontId="12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vertical="center"/>
    </xf>
    <xf numFmtId="1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72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</xf>
    <xf numFmtId="1" fontId="12" fillId="0" borderId="1" xfId="0" applyNumberFormat="1" applyFont="1" applyBorder="1" applyAlignment="1" applyProtection="1">
      <alignment horizontal="center" vertical="center" wrapText="1"/>
    </xf>
    <xf numFmtId="0" fontId="12" fillId="18" borderId="1" xfId="0" applyFont="1" applyFill="1" applyBorder="1" applyAlignment="1" applyProtection="1">
      <alignment vertical="center" wrapText="1"/>
    </xf>
    <xf numFmtId="172" fontId="12" fillId="18" borderId="1" xfId="0" applyNumberFormat="1" applyFont="1" applyFill="1" applyBorder="1" applyAlignment="1" applyProtection="1">
      <alignment horizontal="center" vertical="center" wrapText="1"/>
    </xf>
    <xf numFmtId="164" fontId="13" fillId="18" borderId="1" xfId="0" applyNumberFormat="1" applyFont="1" applyFill="1" applyBorder="1" applyAlignment="1">
      <alignment horizontal="center"/>
    </xf>
    <xf numFmtId="165" fontId="0" fillId="0" borderId="0" xfId="0" applyNumberFormat="1"/>
    <xf numFmtId="0" fontId="12" fillId="19" borderId="1" xfId="0" applyFont="1" applyFill="1" applyBorder="1" applyAlignment="1" applyProtection="1">
      <alignment horizontal="left" vertical="center" wrapText="1"/>
    </xf>
    <xf numFmtId="166" fontId="13" fillId="19" borderId="1" xfId="0" applyNumberFormat="1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0" fillId="19" borderId="0" xfId="0" applyFill="1"/>
    <xf numFmtId="0" fontId="11" fillId="19" borderId="1" xfId="0" applyFont="1" applyFill="1" applyBorder="1" applyAlignment="1" applyProtection="1">
      <alignment horizontal="left" vertical="center" wrapText="1"/>
    </xf>
    <xf numFmtId="166" fontId="9" fillId="19" borderId="1" xfId="0" applyNumberFormat="1" applyFont="1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3" fillId="0" borderId="0" xfId="0" applyFont="1" applyFill="1" applyBorder="1" applyAlignment="1">
      <alignment wrapText="1"/>
    </xf>
    <xf numFmtId="0" fontId="13" fillId="0" borderId="0" xfId="0" applyFont="1" applyFill="1" applyAlignment="1">
      <alignment wrapText="1"/>
    </xf>
    <xf numFmtId="43" fontId="3" fillId="0" borderId="0" xfId="0" applyNumberFormat="1" applyFont="1"/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3" fontId="11" fillId="0" borderId="0" xfId="4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vertical="center"/>
    </xf>
    <xf numFmtId="166" fontId="12" fillId="0" borderId="0" xfId="6" applyNumberFormat="1" applyFont="1" applyFill="1" applyBorder="1" applyAlignment="1" applyProtection="1">
      <alignment vertical="center" wrapText="1"/>
    </xf>
    <xf numFmtId="166" fontId="11" fillId="0" borderId="0" xfId="6" applyNumberFormat="1" applyFont="1" applyFill="1" applyBorder="1" applyAlignment="1" applyProtection="1">
      <alignment vertical="center"/>
    </xf>
    <xf numFmtId="0" fontId="22" fillId="0" borderId="0" xfId="0" applyFont="1" applyBorder="1"/>
    <xf numFmtId="0" fontId="22" fillId="0" borderId="0" xfId="0" applyFont="1"/>
    <xf numFmtId="2" fontId="22" fillId="0" borderId="0" xfId="0" applyNumberFormat="1" applyFont="1" applyBorder="1"/>
    <xf numFmtId="166" fontId="11" fillId="0" borderId="0" xfId="6" applyNumberFormat="1" applyFont="1" applyFill="1" applyBorder="1" applyAlignment="1" applyProtection="1">
      <alignment vertical="center" wrapText="1"/>
    </xf>
    <xf numFmtId="0" fontId="12" fillId="2" borderId="0" xfId="4" applyFont="1" applyFill="1" applyBorder="1" applyAlignment="1" applyProtection="1">
      <alignment horizontal="left" vertical="center" wrapText="1"/>
    </xf>
    <xf numFmtId="0" fontId="12" fillId="2" borderId="0" xfId="4" applyFont="1" applyFill="1" applyBorder="1" applyAlignment="1" applyProtection="1">
      <alignment horizontal="center" vertical="center" wrapText="1"/>
    </xf>
    <xf numFmtId="166" fontId="12" fillId="2" borderId="0" xfId="4" applyNumberFormat="1" applyFont="1" applyFill="1" applyBorder="1" applyAlignment="1" applyProtection="1">
      <alignment horizontal="left" vertical="center" wrapText="1"/>
    </xf>
    <xf numFmtId="168" fontId="12" fillId="2" borderId="0" xfId="6" applyFont="1" applyFill="1" applyBorder="1" applyAlignment="1" applyProtection="1">
      <alignment vertical="center" wrapText="1"/>
    </xf>
    <xf numFmtId="168" fontId="11" fillId="0" borderId="0" xfId="6" applyFont="1" applyFill="1" applyBorder="1" applyAlignment="1" applyProtection="1">
      <alignment vertical="center" wrapText="1"/>
    </xf>
    <xf numFmtId="168" fontId="3" fillId="0" borderId="0" xfId="6" applyFont="1" applyBorder="1"/>
    <xf numFmtId="168" fontId="11" fillId="0" borderId="0" xfId="6" quotePrefix="1" applyFont="1" applyFill="1" applyBorder="1" applyAlignment="1" applyProtection="1">
      <alignment vertical="center" wrapText="1"/>
    </xf>
    <xf numFmtId="168" fontId="12" fillId="0" borderId="1" xfId="6" applyFont="1" applyFill="1" applyBorder="1" applyAlignment="1" applyProtection="1">
      <alignment vertical="center" wrapText="1"/>
    </xf>
    <xf numFmtId="168" fontId="12" fillId="0" borderId="11" xfId="6" applyFont="1" applyFill="1" applyBorder="1" applyAlignment="1" applyProtection="1">
      <alignment vertical="center" wrapText="1"/>
    </xf>
    <xf numFmtId="168" fontId="12" fillId="0" borderId="0" xfId="6" applyFont="1" applyFill="1" applyBorder="1" applyAlignment="1" applyProtection="1">
      <alignment vertical="center" wrapText="1"/>
    </xf>
    <xf numFmtId="168" fontId="16" fillId="0" borderId="0" xfId="6" applyFont="1" applyFill="1" applyBorder="1" applyAlignment="1" applyProtection="1">
      <alignment vertical="center" wrapText="1"/>
    </xf>
    <xf numFmtId="9" fontId="9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68" fontId="9" fillId="0" borderId="5" xfId="0" applyNumberFormat="1" applyFont="1" applyBorder="1" applyAlignment="1">
      <alignment horizontal="center"/>
    </xf>
    <xf numFmtId="168" fontId="3" fillId="0" borderId="0" xfId="0" applyNumberFormat="1" applyFont="1" applyFill="1" applyBorder="1"/>
    <xf numFmtId="168" fontId="13" fillId="0" borderId="0" xfId="0" applyNumberFormat="1" applyFont="1" applyFill="1" applyBorder="1"/>
    <xf numFmtId="168" fontId="12" fillId="0" borderId="0" xfId="6" applyFont="1" applyBorder="1" applyAlignment="1" applyProtection="1">
      <alignment vertical="center" wrapText="1"/>
    </xf>
    <xf numFmtId="168" fontId="3" fillId="0" borderId="0" xfId="6" applyFont="1" applyFill="1"/>
    <xf numFmtId="0" fontId="12" fillId="0" borderId="6" xfId="4" applyFont="1" applyBorder="1" applyAlignment="1" applyProtection="1">
      <alignment horizontal="left" vertical="center" wrapText="1"/>
    </xf>
    <xf numFmtId="0" fontId="12" fillId="0" borderId="7" xfId="4" applyFont="1" applyBorder="1" applyAlignment="1" applyProtection="1">
      <alignment horizontal="center" vertical="center" wrapText="1"/>
    </xf>
    <xf numFmtId="3" fontId="12" fillId="0" borderId="8" xfId="4" applyNumberFormat="1" applyFont="1" applyBorder="1" applyAlignment="1" applyProtection="1">
      <alignment horizontal="center" vertical="center" wrapText="1"/>
    </xf>
    <xf numFmtId="0" fontId="23" fillId="0" borderId="1" xfId="0" applyFont="1" applyBorder="1" applyAlignment="1">
      <alignment horizontal="center"/>
    </xf>
    <xf numFmtId="166" fontId="0" fillId="0" borderId="0" xfId="2" applyFont="1" applyBorder="1"/>
    <xf numFmtId="0" fontId="11" fillId="0" borderId="26" xfId="4" applyFont="1" applyFill="1" applyBorder="1" applyAlignment="1" applyProtection="1">
      <alignment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 wrapText="1"/>
    </xf>
    <xf numFmtId="0" fontId="13" fillId="0" borderId="34" xfId="0" applyFont="1" applyBorder="1"/>
    <xf numFmtId="0" fontId="13" fillId="0" borderId="33" xfId="0" applyFont="1" applyBorder="1"/>
    <xf numFmtId="168" fontId="13" fillId="0" borderId="28" xfId="6" applyFont="1" applyBorder="1"/>
    <xf numFmtId="168" fontId="13" fillId="0" borderId="35" xfId="0" applyNumberFormat="1" applyFont="1" applyBorder="1"/>
    <xf numFmtId="175" fontId="0" fillId="0" borderId="0" xfId="7" applyNumberFormat="1" applyFont="1" applyBorder="1"/>
    <xf numFmtId="0" fontId="23" fillId="0" borderId="36" xfId="0" applyFont="1" applyFill="1" applyBorder="1" applyAlignment="1">
      <alignment horizontal="center"/>
    </xf>
    <xf numFmtId="175" fontId="24" fillId="0" borderId="9" xfId="7" applyNumberFormat="1" applyFont="1" applyFill="1" applyBorder="1" applyAlignment="1">
      <alignment horizontal="center"/>
    </xf>
    <xf numFmtId="175" fontId="24" fillId="0" borderId="22" xfId="7" applyNumberFormat="1" applyFont="1" applyFill="1" applyBorder="1" applyAlignment="1">
      <alignment horizontal="center"/>
    </xf>
    <xf numFmtId="166" fontId="0" fillId="0" borderId="0" xfId="0" applyNumberFormat="1"/>
    <xf numFmtId="175" fontId="12" fillId="0" borderId="1" xfId="7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 applyProtection="1">
      <alignment horizontal="center" vertical="center" wrapText="1"/>
    </xf>
    <xf numFmtId="167" fontId="7" fillId="8" borderId="23" xfId="3" applyNumberFormat="1" applyFont="1" applyFill="1" applyBorder="1"/>
    <xf numFmtId="0" fontId="0" fillId="8" borderId="0" xfId="0" applyFill="1"/>
    <xf numFmtId="9" fontId="12" fillId="0" borderId="1" xfId="8" applyFont="1" applyFill="1" applyBorder="1" applyAlignment="1" applyProtection="1">
      <alignment horizontal="center" vertical="center" wrapText="1"/>
    </xf>
    <xf numFmtId="166" fontId="2" fillId="0" borderId="7" xfId="0" applyNumberFormat="1" applyFont="1" applyBorder="1"/>
    <xf numFmtId="0" fontId="13" fillId="0" borderId="12" xfId="0" applyFont="1" applyBorder="1"/>
    <xf numFmtId="9" fontId="13" fillId="0" borderId="2" xfId="0" applyNumberFormat="1" applyFont="1" applyBorder="1"/>
    <xf numFmtId="0" fontId="13" fillId="0" borderId="2" xfId="0" applyFont="1" applyBorder="1"/>
    <xf numFmtId="168" fontId="13" fillId="0" borderId="2" xfId="6" applyFont="1" applyBorder="1"/>
    <xf numFmtId="0" fontId="9" fillId="15" borderId="13" xfId="0" applyFont="1" applyFill="1" applyBorder="1"/>
    <xf numFmtId="0" fontId="13" fillId="15" borderId="14" xfId="0" applyFont="1" applyFill="1" applyBorder="1"/>
    <xf numFmtId="168" fontId="9" fillId="15" borderId="15" xfId="0" applyNumberFormat="1" applyFont="1" applyFill="1" applyBorder="1"/>
    <xf numFmtId="0" fontId="3" fillId="0" borderId="26" xfId="0" applyFont="1" applyBorder="1"/>
    <xf numFmtId="0" fontId="3" fillId="0" borderId="26" xfId="0" applyFont="1" applyFill="1" applyBorder="1"/>
    <xf numFmtId="3" fontId="11" fillId="10" borderId="26" xfId="4" applyNumberFormat="1" applyFont="1" applyFill="1" applyBorder="1" applyAlignment="1" applyProtection="1">
      <alignment horizontal="center" vertical="center" wrapText="1"/>
    </xf>
    <xf numFmtId="0" fontId="11" fillId="7" borderId="26" xfId="0" applyFont="1" applyFill="1" applyBorder="1" applyAlignment="1" applyProtection="1">
      <alignment vertical="center"/>
    </xf>
    <xf numFmtId="0" fontId="11" fillId="11" borderId="26" xfId="0" applyFont="1" applyFill="1" applyBorder="1" applyAlignment="1" applyProtection="1">
      <alignment vertical="center"/>
    </xf>
    <xf numFmtId="166" fontId="12" fillId="0" borderId="26" xfId="6" applyNumberFormat="1" applyFont="1" applyBorder="1" applyAlignment="1" applyProtection="1">
      <alignment vertical="center" wrapText="1"/>
    </xf>
    <xf numFmtId="0" fontId="3" fillId="0" borderId="21" xfId="0" applyFont="1" applyBorder="1"/>
    <xf numFmtId="0" fontId="3" fillId="0" borderId="21" xfId="0" applyFont="1" applyFill="1" applyBorder="1"/>
    <xf numFmtId="3" fontId="11" fillId="10" borderId="21" xfId="4" applyNumberFormat="1" applyFont="1" applyFill="1" applyBorder="1" applyAlignment="1" applyProtection="1">
      <alignment horizontal="center" vertical="center" wrapText="1"/>
    </xf>
    <xf numFmtId="0" fontId="11" fillId="7" borderId="21" xfId="0" applyFont="1" applyFill="1" applyBorder="1" applyAlignment="1" applyProtection="1">
      <alignment vertical="center"/>
    </xf>
    <xf numFmtId="0" fontId="11" fillId="11" borderId="21" xfId="0" applyFont="1" applyFill="1" applyBorder="1" applyAlignment="1" applyProtection="1">
      <alignment vertical="center"/>
    </xf>
    <xf numFmtId="166" fontId="12" fillId="0" borderId="21" xfId="6" applyNumberFormat="1" applyFont="1" applyBorder="1" applyAlignment="1" applyProtection="1">
      <alignment vertical="center" wrapText="1"/>
    </xf>
    <xf numFmtId="0" fontId="3" fillId="0" borderId="38" xfId="0" applyFont="1" applyBorder="1"/>
    <xf numFmtId="0" fontId="3" fillId="0" borderId="23" xfId="0" applyFont="1" applyFill="1" applyBorder="1"/>
    <xf numFmtId="3" fontId="11" fillId="10" borderId="23" xfId="4" applyNumberFormat="1" applyFont="1" applyFill="1" applyBorder="1" applyAlignment="1" applyProtection="1">
      <alignment horizontal="center" vertical="center" wrapText="1"/>
    </xf>
    <xf numFmtId="0" fontId="11" fillId="7" borderId="23" xfId="0" applyFont="1" applyFill="1" applyBorder="1" applyAlignment="1" applyProtection="1">
      <alignment vertical="center"/>
    </xf>
    <xf numFmtId="0" fontId="11" fillId="11" borderId="23" xfId="0" applyFont="1" applyFill="1" applyBorder="1" applyAlignment="1" applyProtection="1">
      <alignment vertical="center"/>
    </xf>
    <xf numFmtId="166" fontId="12" fillId="0" borderId="23" xfId="6" applyNumberFormat="1" applyFont="1" applyBorder="1" applyAlignment="1" applyProtection="1">
      <alignment vertical="center" wrapText="1"/>
    </xf>
    <xf numFmtId="166" fontId="12" fillId="0" borderId="38" xfId="6" applyNumberFormat="1" applyFont="1" applyBorder="1" applyAlignment="1" applyProtection="1">
      <alignment vertical="center" wrapText="1"/>
    </xf>
    <xf numFmtId="0" fontId="12" fillId="0" borderId="39" xfId="4" applyFont="1" applyBorder="1" applyAlignment="1" applyProtection="1">
      <alignment horizontal="left" vertical="center" wrapText="1"/>
    </xf>
    <xf numFmtId="0" fontId="12" fillId="0" borderId="40" xfId="4" applyFont="1" applyBorder="1" applyAlignment="1" applyProtection="1">
      <alignment horizontal="center" vertical="center" wrapText="1"/>
    </xf>
    <xf numFmtId="3" fontId="12" fillId="0" borderId="40" xfId="4" applyNumberFormat="1" applyFont="1" applyBorder="1" applyAlignment="1" applyProtection="1">
      <alignment horizontal="center" vertical="center" wrapText="1"/>
    </xf>
    <xf numFmtId="166" fontId="12" fillId="0" borderId="41" xfId="6" applyNumberFormat="1" applyFont="1" applyBorder="1" applyAlignment="1" applyProtection="1">
      <alignment vertical="center" wrapText="1"/>
    </xf>
    <xf numFmtId="166" fontId="12" fillId="0" borderId="24" xfId="6" applyNumberFormat="1" applyFont="1" applyBorder="1" applyAlignment="1" applyProtection="1">
      <alignment vertical="center" wrapText="1"/>
    </xf>
    <xf numFmtId="166" fontId="12" fillId="0" borderId="42" xfId="6" applyNumberFormat="1" applyFont="1" applyBorder="1" applyAlignment="1" applyProtection="1">
      <alignment vertical="center" wrapText="1"/>
    </xf>
    <xf numFmtId="3" fontId="12" fillId="8" borderId="18" xfId="4" applyNumberFormat="1" applyFont="1" applyFill="1" applyBorder="1" applyAlignment="1" applyProtection="1">
      <alignment vertical="center" wrapText="1"/>
    </xf>
    <xf numFmtId="0" fontId="11" fillId="11" borderId="13" xfId="0" applyFont="1" applyFill="1" applyBorder="1" applyAlignment="1" applyProtection="1">
      <alignment vertical="center"/>
    </xf>
    <xf numFmtId="1" fontId="11" fillId="11" borderId="14" xfId="0" applyNumberFormat="1" applyFont="1" applyFill="1" applyBorder="1" applyAlignment="1" applyProtection="1">
      <alignment horizontal="center" vertical="center"/>
    </xf>
    <xf numFmtId="3" fontId="11" fillId="11" borderId="14" xfId="0" applyNumberFormat="1" applyFont="1" applyFill="1" applyBorder="1" applyAlignment="1" applyProtection="1">
      <alignment horizontal="center" vertical="center"/>
    </xf>
    <xf numFmtId="168" fontId="11" fillId="11" borderId="43" xfId="6" applyFont="1" applyFill="1" applyBorder="1" applyAlignment="1" applyProtection="1">
      <alignment horizontal="center" vertical="center"/>
    </xf>
    <xf numFmtId="166" fontId="11" fillId="11" borderId="9" xfId="6" applyNumberFormat="1" applyFont="1" applyFill="1" applyBorder="1" applyAlignment="1" applyProtection="1">
      <alignment horizontal="center" vertical="center"/>
    </xf>
    <xf numFmtId="166" fontId="11" fillId="11" borderId="17" xfId="6" applyNumberFormat="1" applyFont="1" applyFill="1" applyBorder="1" applyAlignment="1" applyProtection="1">
      <alignment vertical="center"/>
    </xf>
    <xf numFmtId="0" fontId="12" fillId="0" borderId="39" xfId="4" applyFont="1" applyBorder="1" applyAlignment="1" applyProtection="1">
      <alignment vertical="center" wrapText="1"/>
    </xf>
    <xf numFmtId="166" fontId="11" fillId="8" borderId="9" xfId="6" applyNumberFormat="1" applyFont="1" applyFill="1" applyBorder="1" applyAlignment="1" applyProtection="1">
      <alignment vertical="center" wrapText="1"/>
    </xf>
    <xf numFmtId="166" fontId="11" fillId="8" borderId="17" xfId="6" applyNumberFormat="1" applyFont="1" applyFill="1" applyBorder="1" applyAlignment="1" applyProtection="1">
      <alignment vertical="center" wrapText="1"/>
    </xf>
    <xf numFmtId="3" fontId="11" fillId="13" borderId="2" xfId="4" applyNumberFormat="1" applyFont="1" applyFill="1" applyBorder="1" applyAlignment="1" applyProtection="1">
      <alignment horizontal="center" vertical="center" wrapText="1"/>
    </xf>
    <xf numFmtId="3" fontId="12" fillId="13" borderId="18" xfId="4" applyNumberFormat="1" applyFont="1" applyFill="1" applyBorder="1" applyAlignment="1" applyProtection="1">
      <alignment vertical="center" wrapText="1"/>
    </xf>
    <xf numFmtId="168" fontId="11" fillId="12" borderId="14" xfId="6" applyFont="1" applyFill="1" applyBorder="1" applyAlignment="1" applyProtection="1">
      <alignment vertical="center" wrapText="1"/>
    </xf>
    <xf numFmtId="168" fontId="11" fillId="12" borderId="15" xfId="6" applyFont="1" applyFill="1" applyBorder="1" applyAlignment="1" applyProtection="1">
      <alignment vertical="center" wrapText="1"/>
    </xf>
    <xf numFmtId="168" fontId="13" fillId="0" borderId="40" xfId="6" applyFont="1" applyFill="1" applyBorder="1" applyAlignment="1" applyProtection="1">
      <alignment vertical="center" wrapText="1"/>
    </xf>
    <xf numFmtId="168" fontId="13" fillId="0" borderId="44" xfId="6" applyFont="1" applyFill="1" applyBorder="1" applyAlignment="1" applyProtection="1">
      <alignment vertical="center" wrapText="1"/>
    </xf>
    <xf numFmtId="168" fontId="11" fillId="10" borderId="2" xfId="6" applyFont="1" applyFill="1" applyBorder="1" applyAlignment="1" applyProtection="1">
      <alignment vertical="center" wrapText="1"/>
    </xf>
    <xf numFmtId="168" fontId="11" fillId="10" borderId="18" xfId="6" applyFont="1" applyFill="1" applyBorder="1" applyAlignment="1" applyProtection="1">
      <alignment vertical="center" wrapText="1"/>
    </xf>
    <xf numFmtId="168" fontId="11" fillId="11" borderId="14" xfId="6" applyFont="1" applyFill="1" applyBorder="1" applyAlignment="1" applyProtection="1">
      <alignment vertical="center" wrapText="1"/>
    </xf>
    <xf numFmtId="168" fontId="11" fillId="11" borderId="15" xfId="6" applyFont="1" applyFill="1" applyBorder="1" applyAlignment="1" applyProtection="1">
      <alignment vertical="center" wrapText="1"/>
    </xf>
    <xf numFmtId="10" fontId="13" fillId="0" borderId="33" xfId="0" applyNumberFormat="1" applyFont="1" applyBorder="1"/>
    <xf numFmtId="43" fontId="0" fillId="0" borderId="0" xfId="0" applyNumberFormat="1"/>
    <xf numFmtId="168" fontId="13" fillId="0" borderId="0" xfId="6" quotePrefix="1" applyFont="1" applyFill="1" applyBorder="1" applyAlignment="1" applyProtection="1">
      <alignment vertical="center" wrapText="1"/>
    </xf>
    <xf numFmtId="168" fontId="13" fillId="0" borderId="0" xfId="6" applyFont="1" applyFill="1" applyBorder="1" applyAlignment="1" applyProtection="1">
      <alignment vertical="center" wrapText="1"/>
    </xf>
    <xf numFmtId="168" fontId="9" fillId="0" borderId="0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Border="1" applyAlignment="1">
      <alignment horizontal="center"/>
    </xf>
    <xf numFmtId="168" fontId="9" fillId="0" borderId="0" xfId="0" applyNumberFormat="1" applyFont="1" applyFill="1" applyBorder="1"/>
    <xf numFmtId="168" fontId="3" fillId="0" borderId="0" xfId="0" applyNumberFormat="1" applyFont="1" applyFill="1"/>
    <xf numFmtId="0" fontId="0" fillId="0" borderId="0" xfId="0" applyFill="1"/>
    <xf numFmtId="3" fontId="12" fillId="0" borderId="11" xfId="4" applyNumberFormat="1" applyFont="1" applyBorder="1" applyAlignment="1">
      <alignment horizontal="center" vertical="center" wrapText="1"/>
    </xf>
    <xf numFmtId="3" fontId="12" fillId="0" borderId="8" xfId="4" applyNumberFormat="1" applyFont="1" applyBorder="1" applyAlignment="1">
      <alignment horizontal="center" vertical="center" wrapText="1"/>
    </xf>
    <xf numFmtId="0" fontId="0" fillId="0" borderId="1" xfId="0" applyBorder="1"/>
    <xf numFmtId="3" fontId="12" fillId="0" borderId="44" xfId="4" applyNumberFormat="1" applyFont="1" applyBorder="1" applyAlignment="1">
      <alignment horizontal="center" vertical="center" wrapText="1"/>
    </xf>
    <xf numFmtId="175" fontId="14" fillId="0" borderId="0" xfId="7" applyNumberFormat="1" applyFont="1" applyFill="1" applyBorder="1" applyAlignment="1" applyProtection="1">
      <alignment vertical="center" wrapText="1"/>
    </xf>
    <xf numFmtId="175" fontId="14" fillId="5" borderId="13" xfId="7" applyNumberFormat="1" applyFont="1" applyFill="1" applyBorder="1" applyAlignment="1" applyProtection="1">
      <alignment vertical="center" wrapText="1"/>
    </xf>
    <xf numFmtId="175" fontId="14" fillId="5" borderId="15" xfId="7" applyNumberFormat="1" applyFont="1" applyFill="1" applyBorder="1" applyAlignment="1" applyProtection="1">
      <alignment vertical="center" wrapText="1"/>
    </xf>
    <xf numFmtId="10" fontId="13" fillId="0" borderId="7" xfId="0" applyNumberFormat="1" applyFont="1" applyBorder="1"/>
    <xf numFmtId="0" fontId="13" fillId="0" borderId="7" xfId="0" applyFont="1" applyBorder="1"/>
    <xf numFmtId="0" fontId="13" fillId="0" borderId="26" xfId="0" applyFont="1" applyBorder="1"/>
    <xf numFmtId="0" fontId="13" fillId="0" borderId="46" xfId="0" applyFont="1" applyBorder="1"/>
    <xf numFmtId="175" fontId="13" fillId="0" borderId="23" xfId="7" applyNumberFormat="1" applyFont="1" applyBorder="1"/>
    <xf numFmtId="175" fontId="13" fillId="0" borderId="25" xfId="7" applyNumberFormat="1" applyFont="1" applyBorder="1"/>
    <xf numFmtId="0" fontId="9" fillId="14" borderId="45" xfId="0" applyFont="1" applyFill="1" applyBorder="1" applyAlignment="1">
      <alignment horizontal="center"/>
    </xf>
    <xf numFmtId="43" fontId="11" fillId="11" borderId="26" xfId="3" applyFont="1" applyFill="1" applyBorder="1" applyAlignment="1" applyProtection="1">
      <alignment horizontal="right" vertical="center" wrapText="1"/>
    </xf>
    <xf numFmtId="0" fontId="2" fillId="7" borderId="46" xfId="0" applyFont="1" applyFill="1" applyBorder="1"/>
    <xf numFmtId="168" fontId="9" fillId="14" borderId="47" xfId="0" applyNumberFormat="1" applyFont="1" applyFill="1" applyBorder="1" applyAlignment="1">
      <alignment horizontal="center"/>
    </xf>
    <xf numFmtId="168" fontId="9" fillId="7" borderId="48" xfId="0" applyNumberFormat="1" applyFont="1" applyFill="1" applyBorder="1"/>
    <xf numFmtId="0" fontId="9" fillId="14" borderId="38" xfId="0" applyFont="1" applyFill="1" applyBorder="1" applyAlignment="1">
      <alignment horizontal="center"/>
    </xf>
    <xf numFmtId="43" fontId="11" fillId="11" borderId="23" xfId="3" applyFont="1" applyFill="1" applyBorder="1" applyAlignment="1" applyProtection="1">
      <alignment horizontal="right" vertical="center" wrapText="1"/>
    </xf>
    <xf numFmtId="0" fontId="2" fillId="7" borderId="25" xfId="0" applyFont="1" applyFill="1" applyBorder="1"/>
    <xf numFmtId="43" fontId="12" fillId="2" borderId="26" xfId="3" applyFont="1" applyFill="1" applyBorder="1" applyAlignment="1" applyProtection="1">
      <alignment horizontal="right" vertical="center"/>
    </xf>
    <xf numFmtId="43" fontId="12" fillId="0" borderId="26" xfId="3" applyFont="1" applyBorder="1" applyAlignment="1" applyProtection="1">
      <alignment horizontal="right" vertical="center"/>
    </xf>
    <xf numFmtId="43" fontId="11" fillId="7" borderId="26" xfId="3" applyFont="1" applyFill="1" applyBorder="1" applyAlignment="1" applyProtection="1">
      <alignment horizontal="right" vertical="center"/>
    </xf>
    <xf numFmtId="43" fontId="11" fillId="7" borderId="21" xfId="3" applyFont="1" applyFill="1" applyBorder="1" applyAlignment="1" applyProtection="1">
      <alignment vertical="center" wrapText="1"/>
    </xf>
    <xf numFmtId="43" fontId="16" fillId="7" borderId="40" xfId="3" applyFont="1" applyFill="1" applyBorder="1" applyAlignment="1" applyProtection="1">
      <alignment horizontal="right" vertical="center" wrapText="1"/>
    </xf>
    <xf numFmtId="43" fontId="11" fillId="11" borderId="38" xfId="3" applyFont="1" applyFill="1" applyBorder="1" applyAlignment="1" applyProtection="1">
      <alignment horizontal="right" vertical="center" wrapText="1"/>
    </xf>
    <xf numFmtId="43" fontId="12" fillId="0" borderId="23" xfId="3" quotePrefix="1" applyFont="1" applyFill="1" applyBorder="1" applyAlignment="1" applyProtection="1">
      <alignment vertical="center" wrapText="1"/>
    </xf>
    <xf numFmtId="43" fontId="11" fillId="7" borderId="23" xfId="3" applyFont="1" applyFill="1" applyBorder="1" applyAlignment="1" applyProtection="1">
      <alignment vertical="center" wrapText="1"/>
    </xf>
    <xf numFmtId="43" fontId="11" fillId="7" borderId="25" xfId="3" applyFont="1" applyFill="1" applyBorder="1" applyAlignment="1" applyProtection="1">
      <alignment vertical="center" wrapText="1"/>
    </xf>
    <xf numFmtId="1" fontId="11" fillId="10" borderId="4" xfId="0" applyNumberFormat="1" applyFont="1" applyFill="1" applyBorder="1" applyAlignment="1" applyProtection="1">
      <alignment horizontal="center" vertical="center" wrapText="1"/>
    </xf>
    <xf numFmtId="4" fontId="11" fillId="11" borderId="11" xfId="0" applyNumberFormat="1" applyFont="1" applyFill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vertical="center"/>
    </xf>
    <xf numFmtId="43" fontId="12" fillId="0" borderId="11" xfId="3" applyNumberFormat="1" applyFont="1" applyBorder="1" applyAlignment="1" applyProtection="1">
      <alignment horizontal="right" vertical="center"/>
    </xf>
    <xf numFmtId="173" fontId="11" fillId="7" borderId="11" xfId="3" applyNumberFormat="1" applyFont="1" applyFill="1" applyBorder="1" applyAlignment="1" applyProtection="1">
      <alignment horizontal="right" vertical="center"/>
    </xf>
    <xf numFmtId="43" fontId="11" fillId="11" borderId="11" xfId="3" applyFont="1" applyFill="1" applyBorder="1" applyAlignment="1" applyProtection="1">
      <alignment horizontal="right" vertical="center"/>
    </xf>
    <xf numFmtId="0" fontId="12" fillId="0" borderId="10" xfId="0" quotePrefix="1" applyFont="1" applyBorder="1" applyAlignment="1" applyProtection="1">
      <alignment horizontal="left" vertical="center"/>
    </xf>
    <xf numFmtId="43" fontId="12" fillId="0" borderId="11" xfId="3" applyFont="1" applyBorder="1" applyAlignment="1" applyProtection="1">
      <alignment horizontal="right" vertical="center"/>
    </xf>
    <xf numFmtId="0" fontId="12" fillId="0" borderId="10" xfId="0" applyFont="1" applyBorder="1" applyAlignment="1" applyProtection="1">
      <alignment horizontal="left" vertical="center"/>
    </xf>
    <xf numFmtId="43" fontId="11" fillId="7" borderId="11" xfId="3" applyFont="1" applyFill="1" applyBorder="1" applyAlignment="1" applyProtection="1">
      <alignment horizontal="right" vertical="center" wrapText="1"/>
    </xf>
    <xf numFmtId="43" fontId="16" fillId="7" borderId="11" xfId="3" applyFont="1" applyFill="1" applyBorder="1" applyAlignment="1" applyProtection="1">
      <alignment horizontal="right" vertical="center" wrapText="1"/>
    </xf>
    <xf numFmtId="43" fontId="11" fillId="11" borderId="21" xfId="3" applyFont="1" applyFill="1" applyBorder="1" applyAlignment="1" applyProtection="1">
      <alignment horizontal="right" vertical="center" wrapText="1"/>
    </xf>
    <xf numFmtId="0" fontId="11" fillId="2" borderId="10" xfId="0" quotePrefix="1" applyFont="1" applyFill="1" applyBorder="1" applyAlignment="1" applyProtection="1">
      <alignment horizontal="left" vertical="center"/>
    </xf>
    <xf numFmtId="43" fontId="12" fillId="0" borderId="21" xfId="3" applyFont="1" applyBorder="1" applyAlignment="1" applyProtection="1">
      <alignment horizontal="right" vertical="center"/>
    </xf>
    <xf numFmtId="0" fontId="11" fillId="0" borderId="10" xfId="0" quotePrefix="1" applyFont="1" applyBorder="1" applyAlignment="1" applyProtection="1">
      <alignment horizontal="left" vertical="center"/>
    </xf>
    <xf numFmtId="0" fontId="11" fillId="7" borderId="10" xfId="0" quotePrefix="1" applyFont="1" applyFill="1" applyBorder="1" applyAlignment="1" applyProtection="1">
      <alignment horizontal="left" vertical="center"/>
    </xf>
    <xf numFmtId="175" fontId="12" fillId="0" borderId="21" xfId="7" applyNumberFormat="1" applyFont="1" applyBorder="1" applyAlignment="1" applyProtection="1">
      <alignment horizontal="right" vertical="center"/>
    </xf>
    <xf numFmtId="0" fontId="13" fillId="0" borderId="49" xfId="0" applyFont="1" applyBorder="1"/>
    <xf numFmtId="175" fontId="13" fillId="0" borderId="22" xfId="7" applyNumberFormat="1" applyFont="1" applyBorder="1"/>
    <xf numFmtId="175" fontId="12" fillId="0" borderId="50" xfId="7" applyNumberFormat="1" applyFont="1" applyBorder="1" applyAlignment="1" applyProtection="1">
      <alignment horizontal="right" vertical="center"/>
    </xf>
    <xf numFmtId="175" fontId="12" fillId="0" borderId="1" xfId="7" applyNumberFormat="1" applyFont="1" applyFill="1" applyBorder="1" applyAlignment="1" applyProtection="1">
      <alignment vertical="center" wrapText="1"/>
      <protection locked="0"/>
    </xf>
    <xf numFmtId="175" fontId="12" fillId="0" borderId="1" xfId="7" applyNumberFormat="1" applyFont="1" applyBorder="1" applyAlignment="1" applyProtection="1">
      <alignment vertical="center" wrapText="1"/>
      <protection locked="0"/>
    </xf>
    <xf numFmtId="0" fontId="12" fillId="0" borderId="39" xfId="4" applyFont="1" applyBorder="1" applyAlignment="1">
      <alignment horizontal="left" vertical="center" wrapText="1"/>
    </xf>
    <xf numFmtId="0" fontId="12" fillId="0" borderId="0" xfId="6" applyNumberFormat="1" applyFont="1" applyFill="1" applyBorder="1" applyAlignment="1" applyProtection="1">
      <alignment vertical="center" wrapText="1"/>
    </xf>
    <xf numFmtId="168" fontId="12" fillId="0" borderId="1" xfId="6" quotePrefix="1" applyFont="1" applyFill="1" applyBorder="1" applyAlignment="1" applyProtection="1">
      <alignment vertical="center" wrapText="1"/>
    </xf>
    <xf numFmtId="168" fontId="12" fillId="0" borderId="11" xfId="6" quotePrefix="1" applyFont="1" applyFill="1" applyBorder="1" applyAlignment="1" applyProtection="1">
      <alignment vertical="center" wrapText="1"/>
    </xf>
    <xf numFmtId="168" fontId="24" fillId="5" borderId="16" xfId="6" applyFont="1" applyFill="1" applyBorder="1" applyAlignment="1" applyProtection="1">
      <alignment vertical="center" wrapText="1"/>
    </xf>
    <xf numFmtId="0" fontId="12" fillId="5" borderId="14" xfId="4" applyFont="1" applyFill="1" applyBorder="1" applyAlignment="1" applyProtection="1">
      <alignment horizontal="center" vertical="center" wrapText="1"/>
    </xf>
    <xf numFmtId="166" fontId="12" fillId="5" borderId="14" xfId="4" applyNumberFormat="1" applyFont="1" applyFill="1" applyBorder="1" applyAlignment="1" applyProtection="1">
      <alignment horizontal="left" vertical="center" wrapText="1"/>
    </xf>
    <xf numFmtId="166" fontId="12" fillId="5" borderId="15" xfId="4" applyNumberFormat="1" applyFont="1" applyFill="1" applyBorder="1" applyAlignment="1" applyProtection="1">
      <alignment horizontal="left" vertical="center" wrapText="1"/>
    </xf>
    <xf numFmtId="166" fontId="9" fillId="15" borderId="1" xfId="0" applyNumberFormat="1" applyFont="1" applyFill="1" applyBorder="1"/>
    <xf numFmtId="166" fontId="9" fillId="0" borderId="7" xfId="0" applyNumberFormat="1" applyFont="1" applyBorder="1"/>
    <xf numFmtId="43" fontId="2" fillId="5" borderId="14" xfId="0" applyNumberFormat="1" applyFont="1" applyFill="1" applyBorder="1"/>
    <xf numFmtId="0" fontId="13" fillId="0" borderId="19" xfId="0" applyFont="1" applyBorder="1"/>
    <xf numFmtId="10" fontId="13" fillId="0" borderId="1" xfId="8" applyNumberFormat="1" applyFont="1" applyBorder="1"/>
    <xf numFmtId="0" fontId="0" fillId="5" borderId="1" xfId="0" applyFill="1" applyBorder="1"/>
    <xf numFmtId="0" fontId="12" fillId="5" borderId="1" xfId="4" applyFont="1" applyFill="1" applyBorder="1" applyAlignment="1" applyProtection="1">
      <alignment horizontal="center" vertical="center" wrapText="1"/>
    </xf>
    <xf numFmtId="166" fontId="12" fillId="5" borderId="1" xfId="4" applyNumberFormat="1" applyFont="1" applyFill="1" applyBorder="1" applyAlignment="1" applyProtection="1">
      <alignment horizontal="left" vertical="center" wrapText="1"/>
    </xf>
    <xf numFmtId="175" fontId="9" fillId="0" borderId="7" xfId="7" applyNumberFormat="1" applyFont="1" applyBorder="1"/>
    <xf numFmtId="0" fontId="13" fillId="0" borderId="51" xfId="0" applyFont="1" applyBorder="1"/>
    <xf numFmtId="10" fontId="13" fillId="0" borderId="2" xfId="8" applyNumberFormat="1" applyFont="1" applyBorder="1"/>
    <xf numFmtId="168" fontId="13" fillId="0" borderId="18" xfId="6" applyFont="1" applyFill="1" applyBorder="1" applyAlignment="1" applyProtection="1">
      <alignment vertical="center" wrapText="1"/>
    </xf>
    <xf numFmtId="0" fontId="3" fillId="0" borderId="40" xfId="0" applyFont="1" applyFill="1" applyBorder="1"/>
    <xf numFmtId="3" fontId="11" fillId="10" borderId="38" xfId="4" applyNumberFormat="1" applyFont="1" applyFill="1" applyBorder="1" applyAlignment="1" applyProtection="1">
      <alignment horizontal="center" vertical="center" wrapText="1"/>
    </xf>
    <xf numFmtId="170" fontId="12" fillId="0" borderId="40" xfId="4" applyNumberFormat="1" applyFont="1" applyBorder="1" applyAlignment="1" applyProtection="1">
      <alignment horizontal="center" vertical="center" wrapText="1"/>
    </xf>
    <xf numFmtId="168" fontId="11" fillId="12" borderId="9" xfId="6" applyFont="1" applyFill="1" applyBorder="1" applyAlignment="1" applyProtection="1">
      <alignment vertical="center" wrapText="1"/>
    </xf>
    <xf numFmtId="168" fontId="11" fillId="12" borderId="17" xfId="6" applyFont="1" applyFill="1" applyBorder="1" applyAlignment="1" applyProtection="1">
      <alignment vertical="center" wrapText="1"/>
    </xf>
    <xf numFmtId="168" fontId="11" fillId="11" borderId="40" xfId="6" applyFont="1" applyFill="1" applyBorder="1" applyAlignment="1" applyProtection="1">
      <alignment vertical="center" wrapText="1"/>
    </xf>
    <xf numFmtId="168" fontId="11" fillId="11" borderId="44" xfId="6" applyFont="1" applyFill="1" applyBorder="1" applyAlignment="1" applyProtection="1">
      <alignment vertical="center" wrapText="1"/>
    </xf>
    <xf numFmtId="0" fontId="11" fillId="14" borderId="12" xfId="4" applyFont="1" applyFill="1" applyBorder="1" applyAlignment="1" applyProtection="1">
      <alignment horizontal="center" vertical="center" wrapText="1"/>
    </xf>
    <xf numFmtId="9" fontId="9" fillId="14" borderId="2" xfId="0" applyNumberFormat="1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168" fontId="9" fillId="14" borderId="18" xfId="0" applyNumberFormat="1" applyFont="1" applyFill="1" applyBorder="1" applyAlignment="1">
      <alignment horizontal="center" vertical="center" wrapText="1"/>
    </xf>
    <xf numFmtId="168" fontId="11" fillId="10" borderId="14" xfId="6" applyFont="1" applyFill="1" applyBorder="1" applyAlignment="1" applyProtection="1">
      <alignment vertical="center" wrapText="1"/>
    </xf>
    <xf numFmtId="168" fontId="11" fillId="10" borderId="15" xfId="6" applyFont="1" applyFill="1" applyBorder="1" applyAlignment="1" applyProtection="1">
      <alignment vertical="center" wrapText="1"/>
    </xf>
    <xf numFmtId="0" fontId="9" fillId="7" borderId="13" xfId="0" applyFont="1" applyFill="1" applyBorder="1"/>
    <xf numFmtId="0" fontId="13" fillId="7" borderId="14" xfId="0" applyFont="1" applyFill="1" applyBorder="1"/>
    <xf numFmtId="168" fontId="9" fillId="7" borderId="15" xfId="0" applyNumberFormat="1" applyFont="1" applyFill="1" applyBorder="1"/>
    <xf numFmtId="0" fontId="10" fillId="17" borderId="0" xfId="4" applyFill="1"/>
    <xf numFmtId="43" fontId="3" fillId="0" borderId="0" xfId="0" applyNumberFormat="1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52" xfId="0" applyBorder="1" applyAlignment="1"/>
    <xf numFmtId="167" fontId="0" fillId="0" borderId="52" xfId="0" applyNumberFormat="1" applyBorder="1" applyAlignment="1"/>
    <xf numFmtId="0" fontId="12" fillId="2" borderId="1" xfId="4" applyFont="1" applyFill="1" applyBorder="1" applyAlignment="1">
      <alignment horizontal="center" vertical="center" wrapText="1"/>
    </xf>
    <xf numFmtId="166" fontId="12" fillId="2" borderId="1" xfId="4" applyNumberFormat="1" applyFont="1" applyFill="1" applyBorder="1" applyAlignment="1">
      <alignment horizontal="left" vertical="center" wrapText="1"/>
    </xf>
    <xf numFmtId="176" fontId="12" fillId="0" borderId="1" xfId="4" applyNumberFormat="1" applyFont="1" applyBorder="1" applyAlignment="1" applyProtection="1">
      <alignment horizontal="center" vertical="center" wrapText="1"/>
    </xf>
    <xf numFmtId="177" fontId="12" fillId="0" borderId="1" xfId="4" applyNumberFormat="1" applyFont="1" applyBorder="1" applyAlignment="1" applyProtection="1">
      <alignment horizontal="center" vertical="center" wrapText="1"/>
    </xf>
    <xf numFmtId="174" fontId="0" fillId="0" borderId="1" xfId="1" applyNumberFormat="1" applyFont="1" applyFill="1" applyBorder="1" applyAlignment="1">
      <alignment horizontal="center" vertical="center"/>
    </xf>
    <xf numFmtId="0" fontId="26" fillId="2" borderId="0" xfId="9" applyFont="1" applyFill="1" applyAlignment="1">
      <alignment vertical="center"/>
    </xf>
    <xf numFmtId="0" fontId="25" fillId="2" borderId="14" xfId="9" applyFont="1" applyFill="1" applyBorder="1" applyAlignment="1">
      <alignment horizontal="center" vertical="center" wrapText="1"/>
    </xf>
    <xf numFmtId="168" fontId="25" fillId="2" borderId="14" xfId="10" applyFont="1" applyFill="1" applyBorder="1" applyAlignment="1">
      <alignment horizontal="center" vertical="center" wrapText="1"/>
    </xf>
    <xf numFmtId="178" fontId="25" fillId="2" borderId="14" xfId="11" applyNumberFormat="1" applyFont="1" applyFill="1" applyBorder="1" applyAlignment="1">
      <alignment horizontal="center" vertical="center" wrapText="1"/>
    </xf>
    <xf numFmtId="4" fontId="25" fillId="2" borderId="15" xfId="9" applyNumberFormat="1" applyFont="1" applyFill="1" applyBorder="1" applyAlignment="1">
      <alignment horizontal="center" vertical="center" wrapText="1"/>
    </xf>
    <xf numFmtId="49" fontId="25" fillId="2" borderId="12" xfId="9" applyNumberFormat="1" applyFont="1" applyFill="1" applyBorder="1" applyAlignment="1">
      <alignment horizontal="center" vertical="center"/>
    </xf>
    <xf numFmtId="0" fontId="25" fillId="2" borderId="2" xfId="9" applyFont="1" applyFill="1" applyBorder="1" applyAlignment="1">
      <alignment vertical="center"/>
    </xf>
    <xf numFmtId="10" fontId="25" fillId="2" borderId="2" xfId="9" applyNumberFormat="1" applyFont="1" applyFill="1" applyBorder="1" applyAlignment="1">
      <alignment horizontal="center" vertical="center"/>
    </xf>
    <xf numFmtId="168" fontId="25" fillId="2" borderId="2" xfId="10" applyFont="1" applyFill="1" applyBorder="1" applyAlignment="1">
      <alignment horizontal="center" vertical="center"/>
    </xf>
    <xf numFmtId="178" fontId="25" fillId="2" borderId="2" xfId="11" applyNumberFormat="1" applyFont="1" applyFill="1" applyBorder="1" applyAlignment="1">
      <alignment vertical="center"/>
    </xf>
    <xf numFmtId="4" fontId="25" fillId="2" borderId="18" xfId="9" applyNumberFormat="1" applyFont="1" applyFill="1" applyBorder="1" applyAlignment="1">
      <alignment vertical="center"/>
    </xf>
    <xf numFmtId="0" fontId="28" fillId="2" borderId="0" xfId="9" applyFont="1" applyFill="1" applyAlignment="1">
      <alignment vertical="center"/>
    </xf>
    <xf numFmtId="49" fontId="25" fillId="2" borderId="10" xfId="9" applyNumberFormat="1" applyFont="1" applyFill="1" applyBorder="1" applyAlignment="1">
      <alignment horizontal="center" vertical="center"/>
    </xf>
    <xf numFmtId="0" fontId="25" fillId="2" borderId="1" xfId="9" applyFont="1" applyFill="1" applyBorder="1" applyAlignment="1">
      <alignment vertical="center"/>
    </xf>
    <xf numFmtId="0" fontId="25" fillId="2" borderId="1" xfId="9" applyFont="1" applyFill="1" applyBorder="1" applyAlignment="1">
      <alignment horizontal="center" vertical="center"/>
    </xf>
    <xf numFmtId="168" fontId="25" fillId="2" borderId="1" xfId="10" applyFont="1" applyFill="1" applyBorder="1" applyAlignment="1">
      <alignment horizontal="center" vertical="center"/>
    </xf>
    <xf numFmtId="178" fontId="29" fillId="2" borderId="1" xfId="11" applyNumberFormat="1" applyFont="1" applyFill="1" applyBorder="1" applyAlignment="1">
      <alignment vertical="center"/>
    </xf>
    <xf numFmtId="4" fontId="25" fillId="2" borderId="11" xfId="9" applyNumberFormat="1" applyFont="1" applyFill="1" applyBorder="1" applyAlignment="1">
      <alignment vertical="center"/>
    </xf>
    <xf numFmtId="49" fontId="30" fillId="2" borderId="10" xfId="9" applyNumberFormat="1" applyFont="1" applyFill="1" applyBorder="1" applyAlignment="1">
      <alignment horizontal="center" vertical="center"/>
    </xf>
    <xf numFmtId="0" fontId="30" fillId="2" borderId="1" xfId="9" applyFont="1" applyFill="1" applyBorder="1" applyAlignment="1">
      <alignment vertical="center"/>
    </xf>
    <xf numFmtId="180" fontId="30" fillId="2" borderId="1" xfId="12" applyNumberFormat="1" applyFont="1" applyFill="1" applyBorder="1" applyAlignment="1">
      <alignment horizontal="center" vertical="center"/>
    </xf>
    <xf numFmtId="0" fontId="30" fillId="2" borderId="1" xfId="9" applyFont="1" applyFill="1" applyBorder="1" applyAlignment="1">
      <alignment horizontal="center" vertical="center"/>
    </xf>
    <xf numFmtId="9" fontId="30" fillId="2" borderId="1" xfId="13" applyFont="1" applyFill="1" applyBorder="1" applyAlignment="1">
      <alignment horizontal="center" vertical="center"/>
    </xf>
    <xf numFmtId="182" fontId="30" fillId="2" borderId="1" xfId="14" applyNumberFormat="1" applyFont="1" applyFill="1" applyBorder="1" applyAlignment="1">
      <alignment horizontal="center" vertical="center"/>
    </xf>
    <xf numFmtId="170" fontId="30" fillId="2" borderId="1" xfId="10" applyNumberFormat="1" applyFont="1" applyFill="1" applyBorder="1" applyAlignment="1">
      <alignment horizontal="center" vertical="center"/>
    </xf>
    <xf numFmtId="182" fontId="30" fillId="2" borderId="11" xfId="14" applyNumberFormat="1" applyFont="1" applyFill="1" applyBorder="1" applyAlignment="1">
      <alignment horizontal="right" vertical="center"/>
    </xf>
    <xf numFmtId="0" fontId="30" fillId="2" borderId="1" xfId="9" applyFont="1" applyFill="1" applyBorder="1" applyAlignment="1">
      <alignment vertical="center" wrapText="1"/>
    </xf>
    <xf numFmtId="180" fontId="30" fillId="2" borderId="1" xfId="9" applyNumberFormat="1" applyFont="1" applyFill="1" applyBorder="1" applyAlignment="1">
      <alignment horizontal="center" vertical="center"/>
    </xf>
    <xf numFmtId="49" fontId="30" fillId="17" borderId="10" xfId="9" applyNumberFormat="1" applyFont="1" applyFill="1" applyBorder="1" applyAlignment="1">
      <alignment horizontal="center" vertical="center"/>
    </xf>
    <xf numFmtId="0" fontId="30" fillId="17" borderId="1" xfId="9" applyFont="1" applyFill="1" applyBorder="1" applyAlignment="1">
      <alignment vertical="center" wrapText="1"/>
    </xf>
    <xf numFmtId="180" fontId="30" fillId="17" borderId="1" xfId="15" applyNumberFormat="1" applyFont="1" applyFill="1" applyBorder="1" applyAlignment="1">
      <alignment horizontal="center" vertical="center"/>
    </xf>
    <xf numFmtId="0" fontId="30" fillId="17" borderId="1" xfId="9" applyFont="1" applyFill="1" applyBorder="1" applyAlignment="1">
      <alignment horizontal="center" vertical="center"/>
    </xf>
    <xf numFmtId="9" fontId="30" fillId="17" borderId="1" xfId="13" applyFont="1" applyFill="1" applyBorder="1" applyAlignment="1">
      <alignment horizontal="center" vertical="center"/>
    </xf>
    <xf numFmtId="0" fontId="25" fillId="2" borderId="0" xfId="9" applyFont="1" applyFill="1" applyAlignment="1">
      <alignment vertical="center"/>
    </xf>
    <xf numFmtId="0" fontId="25" fillId="2" borderId="0" xfId="9" applyFont="1" applyFill="1" applyAlignment="1">
      <alignment horizontal="right" vertical="center"/>
    </xf>
    <xf numFmtId="3" fontId="25" fillId="2" borderId="9" xfId="9" applyNumberFormat="1" applyFont="1" applyFill="1" applyBorder="1" applyAlignment="1">
      <alignment vertical="center"/>
    </xf>
    <xf numFmtId="43" fontId="0" fillId="0" borderId="0" xfId="3" applyFont="1"/>
    <xf numFmtId="182" fontId="31" fillId="0" borderId="0" xfId="14" applyNumberFormat="1" applyFont="1" applyBorder="1"/>
    <xf numFmtId="49" fontId="25" fillId="2" borderId="19" xfId="9" applyNumberFormat="1" applyFont="1" applyFill="1" applyBorder="1" applyAlignment="1">
      <alignment horizontal="center" vertical="center"/>
    </xf>
    <xf numFmtId="49" fontId="25" fillId="2" borderId="20" xfId="9" applyNumberFormat="1" applyFont="1" applyFill="1" applyBorder="1" applyAlignment="1">
      <alignment horizontal="center" vertical="center"/>
    </xf>
    <xf numFmtId="49" fontId="25" fillId="9" borderId="10" xfId="9" applyNumberFormat="1" applyFont="1" applyFill="1" applyBorder="1" applyAlignment="1">
      <alignment horizontal="center" vertical="center"/>
    </xf>
    <xf numFmtId="0" fontId="25" fillId="9" borderId="1" xfId="9" applyFont="1" applyFill="1" applyBorder="1" applyAlignment="1">
      <alignment vertical="center"/>
    </xf>
    <xf numFmtId="0" fontId="25" fillId="9" borderId="1" xfId="9" applyFont="1" applyFill="1" applyBorder="1" applyAlignment="1">
      <alignment horizontal="center" vertical="center"/>
    </xf>
    <xf numFmtId="168" fontId="25" fillId="9" borderId="1" xfId="10" applyFont="1" applyFill="1" applyBorder="1" applyAlignment="1">
      <alignment horizontal="center" vertical="center"/>
    </xf>
    <xf numFmtId="178" fontId="29" fillId="9" borderId="1" xfId="11" applyNumberFormat="1" applyFont="1" applyFill="1" applyBorder="1" applyAlignment="1">
      <alignment vertical="center"/>
    </xf>
    <xf numFmtId="9" fontId="25" fillId="9" borderId="11" xfId="8" applyFont="1" applyFill="1" applyBorder="1" applyAlignment="1">
      <alignment horizontal="center" vertical="center"/>
    </xf>
    <xf numFmtId="179" fontId="30" fillId="2" borderId="1" xfId="17" applyFont="1" applyFill="1" applyBorder="1" applyAlignment="1">
      <alignment horizontal="center" vertical="center"/>
    </xf>
    <xf numFmtId="4" fontId="30" fillId="2" borderId="11" xfId="17" applyNumberFormat="1" applyFont="1" applyFill="1" applyBorder="1" applyAlignment="1">
      <alignment vertical="center"/>
    </xf>
    <xf numFmtId="10" fontId="25" fillId="9" borderId="11" xfId="8" applyNumberFormat="1" applyFont="1" applyFill="1" applyBorder="1" applyAlignment="1">
      <alignment horizontal="center" vertical="center"/>
    </xf>
    <xf numFmtId="10" fontId="32" fillId="2" borderId="1" xfId="8" applyNumberFormat="1" applyFont="1" applyFill="1" applyBorder="1" applyAlignment="1">
      <alignment vertical="center"/>
    </xf>
    <xf numFmtId="178" fontId="32" fillId="9" borderId="1" xfId="11" applyNumberFormat="1" applyFont="1" applyFill="1" applyBorder="1" applyAlignment="1">
      <alignment vertical="center"/>
    </xf>
    <xf numFmtId="180" fontId="30" fillId="2" borderId="1" xfId="18" applyNumberFormat="1" applyFont="1" applyFill="1" applyBorder="1" applyAlignment="1">
      <alignment horizontal="center" vertical="center"/>
    </xf>
    <xf numFmtId="180" fontId="30" fillId="2" borderId="1" xfId="17" applyNumberFormat="1" applyFont="1" applyFill="1" applyBorder="1" applyAlignment="1">
      <alignment horizontal="center" vertical="center"/>
    </xf>
    <xf numFmtId="180" fontId="25" fillId="9" borderId="1" xfId="10" applyNumberFormat="1" applyFont="1" applyFill="1" applyBorder="1" applyAlignment="1">
      <alignment horizontal="center" vertical="center"/>
    </xf>
    <xf numFmtId="9" fontId="30" fillId="2" borderId="1" xfId="9" applyNumberFormat="1" applyFont="1" applyFill="1" applyBorder="1" applyAlignment="1">
      <alignment horizontal="center" vertical="center"/>
    </xf>
    <xf numFmtId="179" fontId="30" fillId="2" borderId="1" xfId="18" applyFont="1" applyFill="1" applyBorder="1" applyAlignment="1">
      <alignment horizontal="center" vertical="center"/>
    </xf>
    <xf numFmtId="49" fontId="25" fillId="2" borderId="0" xfId="9" applyNumberFormat="1" applyFont="1" applyFill="1" applyAlignment="1">
      <alignment horizontal="center" vertical="center"/>
    </xf>
    <xf numFmtId="10" fontId="25" fillId="17" borderId="61" xfId="8" applyNumberFormat="1" applyFont="1" applyFill="1" applyBorder="1" applyAlignment="1">
      <alignment horizontal="center" vertical="center"/>
    </xf>
    <xf numFmtId="180" fontId="30" fillId="2" borderId="11" xfId="18" applyNumberFormat="1" applyFont="1" applyFill="1" applyBorder="1" applyAlignment="1">
      <alignment vertical="center"/>
    </xf>
    <xf numFmtId="9" fontId="35" fillId="8" borderId="1" xfId="0" applyNumberFormat="1" applyFont="1" applyFill="1" applyBorder="1"/>
    <xf numFmtId="183" fontId="0" fillId="0" borderId="0" xfId="0" applyNumberFormat="1"/>
    <xf numFmtId="166" fontId="11" fillId="0" borderId="0" xfId="2" applyFont="1" applyFill="1" applyBorder="1" applyAlignment="1" applyProtection="1">
      <alignment vertical="center" wrapText="1"/>
    </xf>
    <xf numFmtId="166" fontId="13" fillId="0" borderId="0" xfId="2" quotePrefix="1" applyFont="1" applyFill="1" applyBorder="1" applyAlignment="1" applyProtection="1">
      <alignment vertical="center" wrapText="1"/>
    </xf>
    <xf numFmtId="4" fontId="0" fillId="0" borderId="0" xfId="0" applyNumberFormat="1"/>
    <xf numFmtId="167" fontId="0" fillId="20" borderId="1" xfId="0" applyNumberFormat="1" applyFill="1" applyBorder="1"/>
    <xf numFmtId="167" fontId="5" fillId="20" borderId="11" xfId="0" applyNumberFormat="1" applyFont="1" applyFill="1" applyBorder="1"/>
    <xf numFmtId="167" fontId="0" fillId="20" borderId="1" xfId="1" applyNumberFormat="1" applyFont="1" applyFill="1" applyBorder="1"/>
    <xf numFmtId="0" fontId="1" fillId="20" borderId="20" xfId="0" applyFont="1" applyFill="1" applyBorder="1" applyAlignment="1">
      <alignment horizontal="center" vertical="center"/>
    </xf>
    <xf numFmtId="0" fontId="1" fillId="20" borderId="21" xfId="0" applyFont="1" applyFill="1" applyBorder="1" applyAlignment="1">
      <alignment horizontal="center" vertical="center"/>
    </xf>
    <xf numFmtId="0" fontId="1" fillId="20" borderId="9" xfId="0" applyFont="1" applyFill="1" applyBorder="1" applyAlignment="1">
      <alignment horizontal="center" vertical="center" wrapText="1"/>
    </xf>
    <xf numFmtId="0" fontId="1" fillId="20" borderId="9" xfId="0" applyFont="1" applyFill="1" applyBorder="1" applyAlignment="1">
      <alignment horizontal="center" vertical="center"/>
    </xf>
    <xf numFmtId="0" fontId="0" fillId="20" borderId="0" xfId="0" applyNumberFormat="1" applyFill="1"/>
    <xf numFmtId="44" fontId="0" fillId="20" borderId="0" xfId="0" applyNumberFormat="1" applyFill="1"/>
    <xf numFmtId="0" fontId="0" fillId="20" borderId="0" xfId="0" applyFill="1"/>
    <xf numFmtId="167" fontId="0" fillId="20" borderId="52" xfId="0" applyNumberFormat="1" applyFill="1" applyBorder="1" applyAlignment="1"/>
    <xf numFmtId="0" fontId="0" fillId="20" borderId="52" xfId="0" applyFill="1" applyBorder="1" applyAlignment="1"/>
    <xf numFmtId="167" fontId="0" fillId="20" borderId="0" xfId="0" applyNumberFormat="1" applyFill="1"/>
    <xf numFmtId="166" fontId="0" fillId="20" borderId="0" xfId="2" applyFont="1" applyFill="1"/>
    <xf numFmtId="174" fontId="0" fillId="21" borderId="62" xfId="0" applyNumberFormat="1" applyFill="1" applyBorder="1" applyAlignment="1">
      <alignment horizontal="center"/>
    </xf>
    <xf numFmtId="174" fontId="0" fillId="0" borderId="62" xfId="0" applyNumberFormat="1" applyBorder="1" applyAlignment="1">
      <alignment horizontal="center" vertical="center"/>
    </xf>
    <xf numFmtId="0" fontId="0" fillId="0" borderId="62" xfId="0" applyBorder="1" applyAlignment="1">
      <alignment wrapText="1"/>
    </xf>
    <xf numFmtId="0" fontId="36" fillId="0" borderId="62" xfId="0" applyFont="1" applyBorder="1" applyAlignment="1">
      <alignment vertical="center" wrapText="1"/>
    </xf>
    <xf numFmtId="184" fontId="0" fillId="0" borderId="1" xfId="2" applyNumberFormat="1" applyFont="1" applyBorder="1"/>
    <xf numFmtId="166" fontId="0" fillId="2" borderId="1" xfId="2" applyFont="1" applyFill="1" applyBorder="1" applyAlignment="1">
      <alignment horizontal="center"/>
    </xf>
    <xf numFmtId="184" fontId="0" fillId="2" borderId="1" xfId="2" applyNumberFormat="1" applyFont="1" applyFill="1" applyBorder="1" applyAlignment="1">
      <alignment horizontal="center"/>
    </xf>
    <xf numFmtId="184" fontId="37" fillId="0" borderId="1" xfId="2" applyNumberFormat="1" applyFont="1" applyBorder="1"/>
    <xf numFmtId="167" fontId="0" fillId="0" borderId="1" xfId="0" applyNumberFormat="1" applyFill="1" applyBorder="1"/>
    <xf numFmtId="0" fontId="5" fillId="18" borderId="26" xfId="0" applyFont="1" applyFill="1" applyBorder="1" applyAlignment="1">
      <alignment horizontal="center" vertical="center" wrapText="1"/>
    </xf>
    <xf numFmtId="167" fontId="0" fillId="0" borderId="26" xfId="0" applyNumberFormat="1" applyFill="1" applyBorder="1"/>
    <xf numFmtId="0" fontId="5" fillId="18" borderId="0" xfId="0" applyFont="1" applyFill="1" applyBorder="1" applyAlignment="1">
      <alignment horizontal="center" vertical="center" wrapText="1"/>
    </xf>
    <xf numFmtId="174" fontId="0" fillId="0" borderId="26" xfId="1" applyNumberFormat="1" applyFont="1" applyFill="1" applyBorder="1" applyAlignment="1">
      <alignment horizontal="center" vertical="center"/>
    </xf>
    <xf numFmtId="167" fontId="0" fillId="20" borderId="26" xfId="0" applyNumberFormat="1" applyFill="1" applyBorder="1"/>
    <xf numFmtId="0" fontId="0" fillId="20" borderId="0" xfId="0" applyFill="1" applyBorder="1" applyAlignment="1"/>
    <xf numFmtId="167" fontId="5" fillId="0" borderId="11" xfId="0" applyNumberFormat="1" applyFont="1" applyFill="1" applyBorder="1"/>
    <xf numFmtId="0" fontId="0" fillId="0" borderId="0" xfId="0" applyNumberFormat="1" applyFill="1"/>
    <xf numFmtId="44" fontId="0" fillId="0" borderId="0" xfId="0" applyNumberFormat="1" applyFill="1"/>
    <xf numFmtId="166" fontId="0" fillId="0" borderId="0" xfId="0" applyNumberFormat="1" applyFill="1"/>
    <xf numFmtId="167" fontId="0" fillId="0" borderId="1" xfId="1" applyNumberFormat="1" applyFont="1" applyFill="1" applyBorder="1"/>
    <xf numFmtId="44" fontId="13" fillId="0" borderId="0" xfId="0" applyNumberFormat="1" applyFont="1" applyBorder="1" applyAlignment="1">
      <alignment wrapText="1"/>
    </xf>
    <xf numFmtId="168" fontId="0" fillId="0" borderId="0" xfId="0" applyNumberFormat="1"/>
    <xf numFmtId="175" fontId="0" fillId="0" borderId="0" xfId="0" applyNumberFormat="1"/>
    <xf numFmtId="43" fontId="14" fillId="0" borderId="0" xfId="3" applyFont="1" applyFill="1" applyBorder="1" applyAlignment="1" applyProtection="1">
      <alignment horizontal="center" vertical="center"/>
    </xf>
    <xf numFmtId="0" fontId="5" fillId="18" borderId="0" xfId="0" applyFont="1" applyFill="1" applyAlignment="1">
      <alignment horizontal="center" vertical="center" wrapText="1"/>
    </xf>
    <xf numFmtId="166" fontId="0" fillId="0" borderId="0" xfId="2" applyFont="1"/>
    <xf numFmtId="0" fontId="12" fillId="0" borderId="7" xfId="4" applyFont="1" applyBorder="1" applyAlignment="1">
      <alignment horizontal="center" vertical="center" wrapText="1"/>
    </xf>
    <xf numFmtId="0" fontId="12" fillId="0" borderId="6" xfId="4" applyFont="1" applyBorder="1" applyAlignment="1">
      <alignment horizontal="left" vertical="center" wrapText="1"/>
    </xf>
    <xf numFmtId="0" fontId="12" fillId="0" borderId="1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left" vertical="center" wrapText="1"/>
    </xf>
    <xf numFmtId="0" fontId="12" fillId="0" borderId="10" xfId="4" applyFont="1" applyBorder="1" applyAlignment="1">
      <alignment vertical="center" wrapText="1"/>
    </xf>
    <xf numFmtId="168" fontId="2" fillId="0" borderId="0" xfId="0" applyNumberFormat="1" applyFont="1"/>
    <xf numFmtId="168" fontId="13" fillId="0" borderId="0" xfId="0" applyNumberFormat="1" applyFont="1"/>
    <xf numFmtId="185" fontId="13" fillId="0" borderId="0" xfId="0" applyNumberFormat="1" applyFont="1"/>
    <xf numFmtId="175" fontId="3" fillId="0" borderId="0" xfId="0" applyNumberFormat="1" applyFont="1"/>
    <xf numFmtId="166" fontId="3" fillId="0" borderId="0" xfId="2" applyFont="1"/>
    <xf numFmtId="0" fontId="12" fillId="2" borderId="10" xfId="4" applyFont="1" applyFill="1" applyBorder="1" applyAlignment="1">
      <alignment horizontal="left" vertical="center" wrapText="1"/>
    </xf>
    <xf numFmtId="0" fontId="11" fillId="2" borderId="10" xfId="4" applyFont="1" applyFill="1" applyBorder="1" applyAlignment="1">
      <alignment horizontal="left" vertical="center" wrapText="1"/>
    </xf>
    <xf numFmtId="0" fontId="11" fillId="14" borderId="10" xfId="4" applyFont="1" applyFill="1" applyBorder="1" applyAlignment="1">
      <alignment horizontal="center" vertical="center" wrapText="1"/>
    </xf>
    <xf numFmtId="3" fontId="12" fillId="0" borderId="0" xfId="4" applyNumberFormat="1" applyFont="1" applyAlignment="1">
      <alignment vertical="center" wrapText="1"/>
    </xf>
    <xf numFmtId="3" fontId="11" fillId="0" borderId="0" xfId="4" applyNumberFormat="1" applyFont="1" applyAlignment="1">
      <alignment horizontal="center" vertical="center" wrapText="1"/>
    </xf>
    <xf numFmtId="3" fontId="12" fillId="13" borderId="11" xfId="4" applyNumberFormat="1" applyFont="1" applyFill="1" applyBorder="1" applyAlignment="1">
      <alignment vertical="center" wrapText="1"/>
    </xf>
    <xf numFmtId="3" fontId="11" fillId="13" borderId="1" xfId="4" applyNumberFormat="1" applyFont="1" applyFill="1" applyBorder="1" applyAlignment="1">
      <alignment horizontal="center" vertical="center" wrapText="1"/>
    </xf>
    <xf numFmtId="166" fontId="12" fillId="2" borderId="0" xfId="4" applyNumberFormat="1" applyFont="1" applyFill="1" applyAlignment="1">
      <alignment horizontal="left" vertical="center" wrapText="1"/>
    </xf>
    <xf numFmtId="0" fontId="12" fillId="2" borderId="0" xfId="4" applyFont="1" applyFill="1" applyAlignment="1">
      <alignment horizontal="center" vertical="center" wrapText="1"/>
    </xf>
    <xf numFmtId="0" fontId="12" fillId="2" borderId="0" xfId="4" applyFont="1" applyFill="1" applyAlignment="1">
      <alignment horizontal="left" vertical="center" wrapText="1"/>
    </xf>
    <xf numFmtId="170" fontId="12" fillId="0" borderId="1" xfId="4" applyNumberFormat="1" applyFont="1" applyBorder="1" applyAlignment="1">
      <alignment horizontal="center" vertical="center" wrapText="1"/>
    </xf>
    <xf numFmtId="2" fontId="22" fillId="0" borderId="0" xfId="0" applyNumberFormat="1" applyFont="1"/>
    <xf numFmtId="3" fontId="12" fillId="8" borderId="11" xfId="4" applyNumberFormat="1" applyFont="1" applyFill="1" applyBorder="1" applyAlignment="1">
      <alignment vertical="center" wrapText="1"/>
    </xf>
    <xf numFmtId="3" fontId="11" fillId="11" borderId="1" xfId="0" applyNumberFormat="1" applyFont="1" applyFill="1" applyBorder="1" applyAlignment="1">
      <alignment horizontal="center" vertical="center"/>
    </xf>
    <xf numFmtId="1" fontId="11" fillId="11" borderId="1" xfId="0" applyNumberFormat="1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vertical="center"/>
    </xf>
    <xf numFmtId="3" fontId="12" fillId="0" borderId="1" xfId="4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11" borderId="11" xfId="0" applyFont="1" applyFill="1" applyBorder="1" applyAlignment="1">
      <alignment vertical="center"/>
    </xf>
    <xf numFmtId="0" fontId="11" fillId="11" borderId="1" xfId="0" applyFont="1" applyFill="1" applyBorder="1" applyAlignment="1">
      <alignment vertical="center"/>
    </xf>
    <xf numFmtId="0" fontId="11" fillId="7" borderId="11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0" fontId="11" fillId="7" borderId="10" xfId="0" applyFont="1" applyFill="1" applyBorder="1" applyAlignment="1">
      <alignment vertical="center"/>
    </xf>
    <xf numFmtId="3" fontId="11" fillId="10" borderId="11" xfId="4" applyNumberFormat="1" applyFont="1" applyFill="1" applyBorder="1" applyAlignment="1">
      <alignment horizontal="center" vertical="center" wrapText="1"/>
    </xf>
    <xf numFmtId="3" fontId="11" fillId="10" borderId="1" xfId="4" applyNumberFormat="1" applyFont="1" applyFill="1" applyBorder="1" applyAlignment="1">
      <alignment horizontal="center" vertical="center" wrapText="1"/>
    </xf>
    <xf numFmtId="0" fontId="11" fillId="10" borderId="1" xfId="4" applyFont="1" applyFill="1" applyBorder="1" applyAlignment="1">
      <alignment horizontal="center" vertical="center" wrapText="1"/>
    </xf>
    <xf numFmtId="0" fontId="11" fillId="10" borderId="10" xfId="4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0" borderId="0" xfId="4" applyFont="1" applyAlignment="1">
      <alignment vertical="center" wrapText="1"/>
    </xf>
    <xf numFmtId="0" fontId="11" fillId="9" borderId="26" xfId="4" applyFont="1" applyFill="1" applyBorder="1" applyAlignment="1">
      <alignment vertical="center" wrapText="1"/>
    </xf>
    <xf numFmtId="3" fontId="12" fillId="0" borderId="1" xfId="4" applyNumberFormat="1" applyFont="1" applyBorder="1" applyAlignment="1" applyProtection="1">
      <alignment horizontal="center" vertical="center" wrapText="1"/>
      <protection locked="0"/>
    </xf>
    <xf numFmtId="4" fontId="12" fillId="0" borderId="1" xfId="4" applyNumberFormat="1" applyFont="1" applyBorder="1" applyAlignment="1" applyProtection="1">
      <alignment horizontal="center" vertical="center" wrapText="1"/>
      <protection locked="0"/>
    </xf>
    <xf numFmtId="0" fontId="11" fillId="0" borderId="26" xfId="4" applyFont="1" applyBorder="1" applyAlignment="1">
      <alignment vertical="center" wrapText="1"/>
    </xf>
    <xf numFmtId="3" fontId="11" fillId="9" borderId="27" xfId="4" applyNumberFormat="1" applyFont="1" applyFill="1" applyBorder="1" applyAlignment="1">
      <alignment horizontal="center" vertical="center" wrapText="1"/>
    </xf>
    <xf numFmtId="0" fontId="11" fillId="9" borderId="1" xfId="4" applyFont="1" applyFill="1" applyBorder="1" applyAlignment="1">
      <alignment horizontal="center" vertical="center" wrapText="1"/>
    </xf>
    <xf numFmtId="0" fontId="11" fillId="9" borderId="27" xfId="4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9" fontId="12" fillId="0" borderId="1" xfId="8" applyFont="1" applyBorder="1" applyAlignment="1" applyProtection="1">
      <alignment horizontal="center" vertical="center" wrapText="1"/>
      <protection locked="0"/>
    </xf>
    <xf numFmtId="172" fontId="14" fillId="0" borderId="5" xfId="0" applyNumberFormat="1" applyFont="1" applyBorder="1" applyAlignment="1">
      <alignment horizontal="center" vertical="center"/>
    </xf>
    <xf numFmtId="4" fontId="3" fillId="0" borderId="0" xfId="0" applyNumberFormat="1" applyFont="1"/>
    <xf numFmtId="43" fontId="22" fillId="0" borderId="0" xfId="3" applyFont="1"/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4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11" fillId="0" borderId="39" xfId="4" quotePrefix="1" applyFont="1" applyFill="1" applyBorder="1" applyAlignment="1" applyProtection="1">
      <alignment horizontal="left" vertical="center" wrapText="1"/>
    </xf>
    <xf numFmtId="0" fontId="11" fillId="0" borderId="40" xfId="4" quotePrefix="1" applyFont="1" applyFill="1" applyBorder="1" applyAlignment="1" applyProtection="1">
      <alignment horizontal="left" vertical="center" wrapText="1"/>
    </xf>
    <xf numFmtId="0" fontId="11" fillId="13" borderId="13" xfId="4" applyFont="1" applyFill="1" applyBorder="1" applyAlignment="1" applyProtection="1">
      <alignment horizontal="left" vertical="center" wrapText="1"/>
    </xf>
    <xf numFmtId="0" fontId="11" fillId="13" borderId="14" xfId="4" applyFont="1" applyFill="1" applyBorder="1" applyAlignment="1" applyProtection="1">
      <alignment horizontal="left" vertical="center" wrapText="1"/>
    </xf>
    <xf numFmtId="0" fontId="16" fillId="5" borderId="13" xfId="4" applyFont="1" applyFill="1" applyBorder="1" applyAlignment="1" applyProtection="1">
      <alignment vertical="center" wrapText="1"/>
    </xf>
    <xf numFmtId="0" fontId="16" fillId="5" borderId="14" xfId="4" applyFont="1" applyFill="1" applyBorder="1" applyAlignment="1" applyProtection="1">
      <alignment vertical="center" wrapText="1"/>
    </xf>
    <xf numFmtId="0" fontId="2" fillId="0" borderId="29" xfId="0" applyFont="1" applyBorder="1" applyAlignment="1">
      <alignment horizontal="center"/>
    </xf>
    <xf numFmtId="0" fontId="11" fillId="10" borderId="12" xfId="4" applyFont="1" applyFill="1" applyBorder="1" applyAlignment="1" applyProtection="1">
      <alignment vertical="center" wrapText="1"/>
    </xf>
    <xf numFmtId="0" fontId="11" fillId="10" borderId="2" xfId="4" applyFont="1" applyFill="1" applyBorder="1" applyAlignment="1" applyProtection="1">
      <alignment vertical="center" wrapText="1"/>
    </xf>
    <xf numFmtId="0" fontId="11" fillId="13" borderId="12" xfId="4" applyFont="1" applyFill="1" applyBorder="1" applyAlignment="1" applyProtection="1">
      <alignment horizontal="left" vertical="center" wrapText="1"/>
    </xf>
    <xf numFmtId="0" fontId="11" fillId="13" borderId="2" xfId="4" applyFont="1" applyFill="1" applyBorder="1" applyAlignment="1" applyProtection="1">
      <alignment horizontal="left" vertical="center" wrapText="1"/>
    </xf>
    <xf numFmtId="0" fontId="11" fillId="0" borderId="10" xfId="4" quotePrefix="1" applyFont="1" applyFill="1" applyBorder="1" applyAlignment="1" applyProtection="1">
      <alignment horizontal="left" vertical="center" wrapText="1"/>
    </xf>
    <xf numFmtId="0" fontId="11" fillId="0" borderId="1" xfId="4" quotePrefix="1" applyFont="1" applyFill="1" applyBorder="1" applyAlignment="1" applyProtection="1">
      <alignment horizontal="left" vertical="center" wrapText="1"/>
    </xf>
    <xf numFmtId="0" fontId="11" fillId="12" borderId="13" xfId="0" applyFont="1" applyFill="1" applyBorder="1" applyAlignment="1" applyProtection="1">
      <alignment horizontal="left" vertical="center"/>
    </xf>
    <xf numFmtId="0" fontId="11" fillId="12" borderId="14" xfId="0" applyFont="1" applyFill="1" applyBorder="1" applyAlignment="1" applyProtection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9" borderId="26" xfId="4" applyFont="1" applyFill="1" applyBorder="1" applyAlignment="1">
      <alignment horizontal="left" vertical="center" wrapText="1"/>
    </xf>
    <xf numFmtId="0" fontId="11" fillId="9" borderId="27" xfId="4" applyFont="1" applyFill="1" applyBorder="1" applyAlignment="1">
      <alignment horizontal="left" vertical="center" wrapText="1"/>
    </xf>
    <xf numFmtId="0" fontId="11" fillId="9" borderId="26" xfId="4" applyFont="1" applyFill="1" applyBorder="1" applyAlignment="1" applyProtection="1">
      <alignment horizontal="left" vertical="center" wrapText="1"/>
    </xf>
    <xf numFmtId="0" fontId="11" fillId="9" borderId="27" xfId="4" applyFont="1" applyFill="1" applyBorder="1" applyAlignment="1" applyProtection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1" fillId="11" borderId="1" xfId="0" applyFont="1" applyFill="1" applyBorder="1" applyAlignment="1" applyProtection="1">
      <alignment horizontal="center" vertical="center"/>
    </xf>
    <xf numFmtId="0" fontId="11" fillId="8" borderId="12" xfId="4" applyFont="1" applyFill="1" applyBorder="1" applyAlignment="1" applyProtection="1">
      <alignment horizontal="left" vertical="center" wrapText="1"/>
    </xf>
    <xf numFmtId="0" fontId="11" fillId="8" borderId="2" xfId="4" applyFont="1" applyFill="1" applyBorder="1" applyAlignment="1" applyProtection="1">
      <alignment horizontal="left" vertical="center" wrapText="1"/>
    </xf>
    <xf numFmtId="0" fontId="11" fillId="8" borderId="33" xfId="4" applyFont="1" applyFill="1" applyBorder="1" applyAlignment="1" applyProtection="1">
      <alignment horizontal="left" vertical="center" wrapText="1"/>
    </xf>
    <xf numFmtId="0" fontId="11" fillId="8" borderId="13" xfId="4" applyFont="1" applyFill="1" applyBorder="1" applyAlignment="1" applyProtection="1">
      <alignment horizontal="left" vertical="center" wrapText="1"/>
    </xf>
    <xf numFmtId="0" fontId="11" fillId="8" borderId="14" xfId="4" applyFont="1" applyFill="1" applyBorder="1" applyAlignment="1" applyProtection="1">
      <alignment horizontal="left" vertical="center" wrapText="1"/>
    </xf>
    <xf numFmtId="0" fontId="11" fillId="8" borderId="43" xfId="4" applyFont="1" applyFill="1" applyBorder="1" applyAlignment="1" applyProtection="1">
      <alignment horizontal="left" vertical="center" wrapText="1"/>
    </xf>
    <xf numFmtId="0" fontId="11" fillId="10" borderId="26" xfId="0" applyFont="1" applyFill="1" applyBorder="1" applyAlignment="1" applyProtection="1">
      <alignment horizontal="left" vertical="center"/>
    </xf>
    <xf numFmtId="0" fontId="11" fillId="10" borderId="27" xfId="0" applyFont="1" applyFill="1" applyBorder="1" applyAlignment="1" applyProtection="1">
      <alignment horizontal="left" vertical="center"/>
    </xf>
    <xf numFmtId="166" fontId="9" fillId="0" borderId="28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11" fillId="10" borderId="16" xfId="0" applyFont="1" applyFill="1" applyBorder="1" applyAlignment="1" applyProtection="1">
      <alignment horizontal="center" vertical="center" wrapText="1"/>
    </xf>
    <xf numFmtId="0" fontId="11" fillId="10" borderId="30" xfId="0" applyFont="1" applyFill="1" applyBorder="1" applyAlignment="1" applyProtection="1">
      <alignment horizontal="center" vertical="center" wrapText="1"/>
    </xf>
    <xf numFmtId="0" fontId="11" fillId="10" borderId="17" xfId="0" applyFont="1" applyFill="1" applyBorder="1" applyAlignment="1" applyProtection="1">
      <alignment horizontal="center" vertical="center" wrapText="1"/>
    </xf>
    <xf numFmtId="0" fontId="11" fillId="10" borderId="3" xfId="0" applyFont="1" applyFill="1" applyBorder="1" applyAlignment="1" applyProtection="1">
      <alignment horizontal="center" vertical="center" wrapText="1"/>
    </xf>
    <xf numFmtId="0" fontId="11" fillId="10" borderId="10" xfId="0" applyFont="1" applyFill="1" applyBorder="1" applyAlignment="1" applyProtection="1">
      <alignment horizontal="center" vertical="center" wrapText="1"/>
    </xf>
    <xf numFmtId="1" fontId="11" fillId="10" borderId="4" xfId="0" applyNumberFormat="1" applyFont="1" applyFill="1" applyBorder="1" applyAlignment="1" applyProtection="1">
      <alignment horizontal="center" vertical="center" wrapText="1"/>
    </xf>
    <xf numFmtId="0" fontId="11" fillId="10" borderId="5" xfId="0" applyFont="1" applyFill="1" applyBorder="1" applyAlignment="1" applyProtection="1">
      <alignment horizontal="center" vertical="center" wrapText="1"/>
    </xf>
    <xf numFmtId="0" fontId="11" fillId="10" borderId="11" xfId="0" applyFont="1" applyFill="1" applyBorder="1" applyAlignment="1" applyProtection="1">
      <alignment horizontal="center" vertical="center" wrapText="1"/>
    </xf>
    <xf numFmtId="0" fontId="11" fillId="7" borderId="19" xfId="0" quotePrefix="1" applyFont="1" applyFill="1" applyBorder="1" applyAlignment="1" applyProtection="1">
      <alignment vertical="center"/>
    </xf>
    <xf numFmtId="0" fontId="11" fillId="7" borderId="20" xfId="0" quotePrefix="1" applyFont="1" applyFill="1" applyBorder="1" applyAlignment="1" applyProtection="1">
      <alignment vertical="center"/>
    </xf>
    <xf numFmtId="0" fontId="16" fillId="5" borderId="43" xfId="4" applyFont="1" applyFill="1" applyBorder="1" applyAlignment="1" applyProtection="1">
      <alignment vertical="center" wrapText="1"/>
    </xf>
    <xf numFmtId="0" fontId="14" fillId="10" borderId="26" xfId="0" applyFont="1" applyFill="1" applyBorder="1" applyAlignment="1" applyProtection="1">
      <alignment horizontal="center" vertical="center" wrapText="1"/>
    </xf>
    <xf numFmtId="0" fontId="14" fillId="10" borderId="20" xfId="0" applyFont="1" applyFill="1" applyBorder="1" applyAlignment="1" applyProtection="1">
      <alignment horizontal="center" vertical="center" wrapText="1"/>
    </xf>
    <xf numFmtId="0" fontId="14" fillId="10" borderId="27" xfId="0" applyFont="1" applyFill="1" applyBorder="1" applyAlignment="1" applyProtection="1">
      <alignment horizontal="center" vertical="center" wrapText="1"/>
    </xf>
    <xf numFmtId="0" fontId="11" fillId="5" borderId="26" xfId="0" applyFont="1" applyFill="1" applyBorder="1" applyAlignment="1" applyProtection="1">
      <alignment horizontal="center" vertical="center" wrapText="1"/>
    </xf>
    <xf numFmtId="0" fontId="11" fillId="5" borderId="27" xfId="0" applyFont="1" applyFill="1" applyBorder="1" applyAlignment="1" applyProtection="1">
      <alignment horizontal="center" vertical="center" wrapText="1"/>
    </xf>
    <xf numFmtId="0" fontId="11" fillId="13" borderId="10" xfId="4" applyFont="1" applyFill="1" applyBorder="1" applyAlignment="1" applyProtection="1">
      <alignment horizontal="left" vertical="center" wrapText="1"/>
    </xf>
    <xf numFmtId="0" fontId="11" fillId="13" borderId="1" xfId="4" applyFont="1" applyFill="1" applyBorder="1" applyAlignment="1" applyProtection="1">
      <alignment horizontal="left" vertical="center" wrapText="1"/>
    </xf>
    <xf numFmtId="0" fontId="11" fillId="10" borderId="10" xfId="4" applyFont="1" applyFill="1" applyBorder="1" applyAlignment="1" applyProtection="1">
      <alignment vertical="center" wrapText="1"/>
    </xf>
    <xf numFmtId="0" fontId="11" fillId="10" borderId="1" xfId="4" applyFont="1" applyFill="1" applyBorder="1" applyAlignment="1" applyProtection="1">
      <alignment vertical="center" wrapText="1"/>
    </xf>
    <xf numFmtId="0" fontId="11" fillId="12" borderId="10" xfId="0" applyFont="1" applyFill="1" applyBorder="1" applyAlignment="1" applyProtection="1">
      <alignment horizontal="left" vertical="center"/>
    </xf>
    <xf numFmtId="0" fontId="11" fillId="12" borderId="1" xfId="0" applyFont="1" applyFill="1" applyBorder="1" applyAlignment="1" applyProtection="1">
      <alignment horizontal="left" vertical="center"/>
    </xf>
    <xf numFmtId="0" fontId="9" fillId="8" borderId="1" xfId="0" applyFont="1" applyFill="1" applyBorder="1" applyAlignment="1">
      <alignment horizontal="center" vertical="center" wrapText="1"/>
    </xf>
    <xf numFmtId="0" fontId="11" fillId="8" borderId="10" xfId="4" applyFont="1" applyFill="1" applyBorder="1" applyAlignment="1" applyProtection="1">
      <alignment horizontal="left" vertical="center" wrapText="1"/>
    </xf>
    <xf numFmtId="0" fontId="11" fillId="8" borderId="1" xfId="4" applyFont="1" applyFill="1" applyBorder="1" applyAlignment="1" applyProtection="1">
      <alignment horizontal="left" vertical="center" wrapText="1"/>
    </xf>
    <xf numFmtId="0" fontId="11" fillId="13" borderId="39" xfId="4" applyFont="1" applyFill="1" applyBorder="1" applyAlignment="1" applyProtection="1">
      <alignment horizontal="left" vertical="center" wrapText="1"/>
    </xf>
    <xf numFmtId="0" fontId="11" fillId="13" borderId="40" xfId="4" applyFont="1" applyFill="1" applyBorder="1" applyAlignment="1" applyProtection="1">
      <alignment horizontal="left" vertical="center" wrapText="1"/>
    </xf>
    <xf numFmtId="0" fontId="11" fillId="10" borderId="13" xfId="4" applyFont="1" applyFill="1" applyBorder="1" applyAlignment="1" applyProtection="1">
      <alignment vertical="center" wrapText="1"/>
    </xf>
    <xf numFmtId="0" fontId="11" fillId="10" borderId="14" xfId="4" applyFont="1" applyFill="1" applyBorder="1" applyAlignment="1" applyProtection="1">
      <alignment vertical="center" wrapText="1"/>
    </xf>
    <xf numFmtId="0" fontId="11" fillId="12" borderId="43" xfId="0" applyFont="1" applyFill="1" applyBorder="1" applyAlignment="1" applyProtection="1">
      <alignment horizontal="left" vertical="center"/>
    </xf>
    <xf numFmtId="0" fontId="11" fillId="12" borderId="10" xfId="0" applyFont="1" applyFill="1" applyBorder="1" applyAlignment="1">
      <alignment horizontal="left" vertical="center"/>
    </xf>
    <xf numFmtId="0" fontId="11" fillId="12" borderId="1" xfId="0" applyFont="1" applyFill="1" applyBorder="1" applyAlignment="1">
      <alignment horizontal="left" vertical="center"/>
    </xf>
    <xf numFmtId="0" fontId="16" fillId="5" borderId="13" xfId="4" applyFont="1" applyFill="1" applyBorder="1" applyAlignment="1">
      <alignment vertical="center" wrapText="1"/>
    </xf>
    <xf numFmtId="0" fontId="16" fillId="5" borderId="14" xfId="4" applyFont="1" applyFill="1" applyBorder="1" applyAlignment="1">
      <alignment vertical="center" wrapText="1"/>
    </xf>
    <xf numFmtId="0" fontId="11" fillId="13" borderId="10" xfId="4" applyFont="1" applyFill="1" applyBorder="1" applyAlignment="1">
      <alignment horizontal="left" vertical="center" wrapText="1"/>
    </xf>
    <xf numFmtId="0" fontId="11" fillId="13" borderId="1" xfId="4" applyFont="1" applyFill="1" applyBorder="1" applyAlignment="1">
      <alignment horizontal="left" vertical="center" wrapText="1"/>
    </xf>
    <xf numFmtId="0" fontId="11" fillId="0" borderId="10" xfId="4" quotePrefix="1" applyFont="1" applyBorder="1" applyAlignment="1">
      <alignment horizontal="left" vertical="center" wrapText="1"/>
    </xf>
    <xf numFmtId="0" fontId="11" fillId="0" borderId="1" xfId="4" quotePrefix="1" applyFont="1" applyBorder="1" applyAlignment="1">
      <alignment horizontal="left" vertical="center" wrapText="1"/>
    </xf>
    <xf numFmtId="0" fontId="11" fillId="10" borderId="10" xfId="4" applyFont="1" applyFill="1" applyBorder="1" applyAlignment="1">
      <alignment vertical="center" wrapText="1"/>
    </xf>
    <xf numFmtId="0" fontId="11" fillId="10" borderId="1" xfId="4" applyFont="1" applyFill="1" applyBorder="1" applyAlignment="1">
      <alignment vertical="center" wrapText="1"/>
    </xf>
    <xf numFmtId="0" fontId="11" fillId="11" borderId="1" xfId="0" applyFont="1" applyFill="1" applyBorder="1" applyAlignment="1">
      <alignment horizontal="center" vertical="center"/>
    </xf>
    <xf numFmtId="0" fontId="11" fillId="8" borderId="10" xfId="4" applyFont="1" applyFill="1" applyBorder="1" applyAlignment="1">
      <alignment horizontal="left" vertical="center" wrapText="1"/>
    </xf>
    <xf numFmtId="0" fontId="11" fillId="8" borderId="1" xfId="4" applyFont="1" applyFill="1" applyBorder="1" applyAlignment="1">
      <alignment horizontal="left" vertical="center" wrapText="1"/>
    </xf>
    <xf numFmtId="49" fontId="25" fillId="2" borderId="19" xfId="9" applyNumberFormat="1" applyFont="1" applyFill="1" applyBorder="1" applyAlignment="1">
      <alignment horizontal="center" vertical="center"/>
    </xf>
    <xf numFmtId="49" fontId="25" fillId="2" borderId="20" xfId="9" applyNumberFormat="1" applyFont="1" applyFill="1" applyBorder="1" applyAlignment="1">
      <alignment horizontal="center" vertical="center"/>
    </xf>
    <xf numFmtId="49" fontId="25" fillId="2" borderId="21" xfId="9" applyNumberFormat="1" applyFont="1" applyFill="1" applyBorder="1" applyAlignment="1">
      <alignment horizontal="center" vertical="center"/>
    </xf>
    <xf numFmtId="49" fontId="25" fillId="2" borderId="26" xfId="9" applyNumberFormat="1" applyFont="1" applyFill="1" applyBorder="1" applyAlignment="1">
      <alignment horizontal="center" vertical="center"/>
    </xf>
    <xf numFmtId="49" fontId="25" fillId="2" borderId="27" xfId="9" applyNumberFormat="1" applyFont="1" applyFill="1" applyBorder="1" applyAlignment="1">
      <alignment horizontal="center" vertical="center"/>
    </xf>
    <xf numFmtId="0" fontId="25" fillId="2" borderId="58" xfId="9" applyFont="1" applyFill="1" applyBorder="1" applyAlignment="1">
      <alignment horizontal="right" vertical="center"/>
    </xf>
    <xf numFmtId="0" fontId="33" fillId="2" borderId="60" xfId="9" applyFont="1" applyFill="1" applyBorder="1" applyAlignment="1">
      <alignment horizontal="right" vertical="center"/>
    </xf>
    <xf numFmtId="49" fontId="34" fillId="9" borderId="3" xfId="9" applyNumberFormat="1" applyFont="1" applyFill="1" applyBorder="1" applyAlignment="1">
      <alignment horizontal="center" vertical="center"/>
    </xf>
    <xf numFmtId="49" fontId="34" fillId="9" borderId="4" xfId="9" applyNumberFormat="1" applyFont="1" applyFill="1" applyBorder="1" applyAlignment="1">
      <alignment horizontal="center" vertical="center"/>
    </xf>
    <xf numFmtId="49" fontId="34" fillId="9" borderId="5" xfId="9" applyNumberFormat="1" applyFont="1" applyFill="1" applyBorder="1" applyAlignment="1">
      <alignment horizontal="center" vertical="center"/>
    </xf>
    <xf numFmtId="0" fontId="25" fillId="2" borderId="1" xfId="9" applyFont="1" applyFill="1" applyBorder="1" applyAlignment="1">
      <alignment horizontal="right" vertical="center"/>
    </xf>
    <xf numFmtId="49" fontId="25" fillId="2" borderId="57" xfId="9" applyNumberFormat="1" applyFont="1" applyFill="1" applyBorder="1" applyAlignment="1">
      <alignment horizontal="center" vertical="center"/>
    </xf>
    <xf numFmtId="49" fontId="25" fillId="2" borderId="58" xfId="9" applyNumberFormat="1" applyFont="1" applyFill="1" applyBorder="1" applyAlignment="1">
      <alignment horizontal="center" vertical="center"/>
    </xf>
    <xf numFmtId="49" fontId="25" fillId="2" borderId="59" xfId="9" applyNumberFormat="1" applyFont="1" applyFill="1" applyBorder="1" applyAlignment="1">
      <alignment horizontal="center" vertical="center"/>
    </xf>
    <xf numFmtId="0" fontId="25" fillId="2" borderId="53" xfId="9" applyFont="1" applyFill="1" applyBorder="1" applyAlignment="1">
      <alignment horizontal="center" vertical="center" wrapText="1"/>
    </xf>
    <xf numFmtId="0" fontId="25" fillId="2" borderId="52" xfId="9" applyFont="1" applyFill="1" applyBorder="1" applyAlignment="1">
      <alignment horizontal="center" vertical="center" wrapText="1"/>
    </xf>
    <xf numFmtId="0" fontId="25" fillId="2" borderId="42" xfId="9" applyFont="1" applyFill="1" applyBorder="1" applyAlignment="1">
      <alignment horizontal="center" vertical="center" wrapText="1"/>
    </xf>
    <xf numFmtId="49" fontId="25" fillId="2" borderId="54" xfId="9" applyNumberFormat="1" applyFont="1" applyFill="1" applyBorder="1" applyAlignment="1">
      <alignment horizontal="center" vertical="center" wrapText="1"/>
    </xf>
    <xf numFmtId="49" fontId="25" fillId="2" borderId="55" xfId="9" applyNumberFormat="1" applyFont="1" applyFill="1" applyBorder="1" applyAlignment="1">
      <alignment horizontal="center" vertical="center" wrapText="1"/>
    </xf>
    <xf numFmtId="0" fontId="25" fillId="2" borderId="37" xfId="9" applyFont="1" applyFill="1" applyBorder="1" applyAlignment="1">
      <alignment horizontal="center" vertical="center" wrapText="1"/>
    </xf>
    <xf numFmtId="0" fontId="25" fillId="2" borderId="56" xfId="9" applyFont="1" applyFill="1" applyBorder="1" applyAlignment="1">
      <alignment horizontal="center" vertical="center" wrapText="1"/>
    </xf>
    <xf numFmtId="49" fontId="25" fillId="2" borderId="0" xfId="9" applyNumberFormat="1" applyFont="1" applyFill="1" applyAlignment="1">
      <alignment horizontal="center" vertical="center"/>
    </xf>
    <xf numFmtId="0" fontId="25" fillId="2" borderId="57" xfId="9" applyFont="1" applyFill="1" applyBorder="1" applyAlignment="1">
      <alignment horizontal="center" vertical="center" wrapText="1"/>
    </xf>
    <xf numFmtId="0" fontId="25" fillId="2" borderId="58" xfId="9" applyFont="1" applyFill="1" applyBorder="1" applyAlignment="1">
      <alignment horizontal="center" vertical="center" wrapText="1"/>
    </xf>
    <xf numFmtId="0" fontId="25" fillId="2" borderId="59" xfId="9" applyFont="1" applyFill="1" applyBorder="1" applyAlignment="1">
      <alignment horizontal="center" vertical="center" wrapText="1"/>
    </xf>
  </cellXfs>
  <cellStyles count="19">
    <cellStyle name="Millares" xfId="3" builtinId="3"/>
    <cellStyle name="Millares [0]" xfId="7" builtinId="6"/>
    <cellStyle name="Millares 10" xfId="16" xr:uid="{B62503C6-C937-4AB0-A0AF-FDDA649C4100}"/>
    <cellStyle name="Millares 11 3" xfId="6" xr:uid="{00000000-0005-0000-0000-000001000000}"/>
    <cellStyle name="Millares 2 2" xfId="11" xr:uid="{3D6538A5-5D7F-4ACF-A2E6-B36DAF1BA583}"/>
    <cellStyle name="Millares 3 2" xfId="10" xr:uid="{A0ACDFCD-CE19-481A-8B5E-BC72CB1B890A}"/>
    <cellStyle name="Moneda" xfId="2" builtinId="4"/>
    <cellStyle name="Moneda [0]" xfId="1" builtinId="7"/>
    <cellStyle name="Moneda 10" xfId="12" xr:uid="{5905F108-8A85-427A-BA93-138E7ABAF572}"/>
    <cellStyle name="Moneda 10 2" xfId="17" xr:uid="{411CB6D8-74B2-4853-89E2-C35A003B1BE9}"/>
    <cellStyle name="Moneda 2" xfId="14" xr:uid="{BDEAFF52-4BD3-4018-9D51-DDEB2CE8BD88}"/>
    <cellStyle name="Moneda 2 10" xfId="15" xr:uid="{621209D9-FAEA-4863-AABB-0116197E7562}"/>
    <cellStyle name="Moneda 2 2 7" xfId="18" xr:uid="{4523678E-3936-4C96-B5AB-FEAA6F70EAFD}"/>
    <cellStyle name="Normal" xfId="0" builtinId="0"/>
    <cellStyle name="Normal 2" xfId="4" xr:uid="{00000000-0005-0000-0000-000005000000}"/>
    <cellStyle name="Normal 2 2" xfId="9" xr:uid="{CBB19B77-1009-4C0B-A9F2-097241ACE19A}"/>
    <cellStyle name="Porcentaje" xfId="8" builtinId="5"/>
    <cellStyle name="Porcentaje 2" xfId="5" xr:uid="{00000000-0005-0000-0000-000006000000}"/>
    <cellStyle name="Porcentaje 4" xfId="13" xr:uid="{3A3AFD70-4918-4838-B18E-BB3DDD88FE44}"/>
  </cellStyles>
  <dxfs count="17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ICC%202021(2)COSTOS\REFORESTACION\3.%20Costo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ICC%202021(2)COSTOS\REFORESTACION\Cost.%20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ICC%202021\LIQUIDACION%20LABORA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lla%20Gamboa/Documents/lictacion/MANTENIMIENTOS%202017%20(ADICIONES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OLIMA\COSTOS%20ESTABLECIMIENTO%20Y%20MANTENIMIENTO\COSTOS%202018\Costos%20Generales%20Restauracion%202018%20corregido%20manteni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.Merk.2020"/>
      <sheetName val="CARACT.TECNIC."/>
      <sheetName val="CARACT.PREDIOS"/>
      <sheetName val="P1 C.Estab.Sist.A.F."/>
      <sheetName val="P 2ESTABLEC. BP"/>
      <sheetName val="P 3 C.Rest.Pas.Aislam."/>
      <sheetName val="P 4 C.Mant. S.A"/>
      <sheetName val="P 5 C.Mant. B.P."/>
      <sheetName val="P 6 C.Mant.E. Forest."/>
      <sheetName val="POAXFTE FINANC."/>
      <sheetName val="Cadena de Vr."/>
      <sheetName val="Plan compras CTO"/>
      <sheetName val="Cronogr.Activ."/>
      <sheetName val="Plan Invers. Gral"/>
      <sheetName val="Plan. Inv. x Item"/>
      <sheetName val="Ejecuc. Compar. POA"/>
      <sheetName val="Plan compras CORT."/>
      <sheetName val="Control y seguim."/>
      <sheetName val="BCE SOCIOAMB."/>
      <sheetName val="IND.GEST. RESOL 667-16"/>
    </sheetNames>
    <sheetDataSet>
      <sheetData sheetId="0">
        <row r="4">
          <cell r="L4">
            <v>85100</v>
          </cell>
          <cell r="M4">
            <v>1702</v>
          </cell>
        </row>
        <row r="5">
          <cell r="L5">
            <v>0</v>
          </cell>
          <cell r="M5">
            <v>0</v>
          </cell>
        </row>
        <row r="6">
          <cell r="L6">
            <v>112093</v>
          </cell>
          <cell r="M6">
            <v>2242</v>
          </cell>
        </row>
        <row r="7">
          <cell r="L7">
            <v>124243</v>
          </cell>
          <cell r="M7">
            <v>2485</v>
          </cell>
        </row>
        <row r="8">
          <cell r="L8">
            <v>118963</v>
          </cell>
          <cell r="M8">
            <v>2379</v>
          </cell>
        </row>
        <row r="9">
          <cell r="L9">
            <v>50000</v>
          </cell>
          <cell r="M9"/>
        </row>
        <row r="10">
          <cell r="L10">
            <v>44733</v>
          </cell>
          <cell r="M10"/>
        </row>
        <row r="11">
          <cell r="L11">
            <v>12600</v>
          </cell>
          <cell r="M11">
            <v>252</v>
          </cell>
        </row>
        <row r="12">
          <cell r="L12">
            <v>41550</v>
          </cell>
          <cell r="M12"/>
        </row>
        <row r="13">
          <cell r="L13">
            <v>241833</v>
          </cell>
          <cell r="M13"/>
        </row>
        <row r="14">
          <cell r="L14">
            <v>50000</v>
          </cell>
          <cell r="M14"/>
        </row>
        <row r="15">
          <cell r="L15">
            <v>10667</v>
          </cell>
          <cell r="M15">
            <v>213</v>
          </cell>
        </row>
        <row r="16">
          <cell r="L16">
            <v>44686</v>
          </cell>
          <cell r="M16"/>
        </row>
        <row r="17">
          <cell r="L17">
            <v>19567</v>
          </cell>
          <cell r="M17"/>
        </row>
        <row r="18">
          <cell r="L18">
            <v>120000</v>
          </cell>
          <cell r="M18">
            <v>2400</v>
          </cell>
        </row>
        <row r="19">
          <cell r="L19">
            <v>54343</v>
          </cell>
        </row>
        <row r="20">
          <cell r="L20">
            <v>23205</v>
          </cell>
        </row>
        <row r="23">
          <cell r="L23">
            <v>4165</v>
          </cell>
        </row>
        <row r="24">
          <cell r="L24">
            <v>17990</v>
          </cell>
        </row>
        <row r="25">
          <cell r="L25">
            <v>31076</v>
          </cell>
        </row>
        <row r="26">
          <cell r="L26">
            <v>38535</v>
          </cell>
        </row>
        <row r="27">
          <cell r="L27">
            <v>19950</v>
          </cell>
        </row>
        <row r="28">
          <cell r="L28">
            <v>242363</v>
          </cell>
        </row>
        <row r="29">
          <cell r="L29">
            <v>8013</v>
          </cell>
        </row>
        <row r="30">
          <cell r="L30">
            <v>62300</v>
          </cell>
        </row>
        <row r="31">
          <cell r="L31">
            <v>16779</v>
          </cell>
        </row>
        <row r="32">
          <cell r="L32">
            <v>27755</v>
          </cell>
        </row>
        <row r="33">
          <cell r="L33">
            <v>8251</v>
          </cell>
        </row>
        <row r="34">
          <cell r="L34">
            <v>262788</v>
          </cell>
        </row>
        <row r="36">
          <cell r="L36">
            <v>35140</v>
          </cell>
        </row>
        <row r="37">
          <cell r="L37">
            <v>17503</v>
          </cell>
        </row>
        <row r="38">
          <cell r="L38">
            <v>7874</v>
          </cell>
        </row>
        <row r="39">
          <cell r="L39">
            <v>1336</v>
          </cell>
        </row>
        <row r="40">
          <cell r="L40">
            <v>10313</v>
          </cell>
        </row>
        <row r="41">
          <cell r="L41">
            <v>19806</v>
          </cell>
        </row>
        <row r="42">
          <cell r="L42">
            <v>25044</v>
          </cell>
        </row>
        <row r="44">
          <cell r="L44">
            <v>25228</v>
          </cell>
        </row>
        <row r="45">
          <cell r="L45">
            <v>14280</v>
          </cell>
        </row>
        <row r="49">
          <cell r="L49">
            <v>3927</v>
          </cell>
        </row>
        <row r="50">
          <cell r="L50">
            <v>1343</v>
          </cell>
        </row>
        <row r="52">
          <cell r="L52">
            <v>6000</v>
          </cell>
        </row>
        <row r="53">
          <cell r="L53">
            <v>12867</v>
          </cell>
        </row>
      </sheetData>
      <sheetData sheetId="1">
        <row r="27">
          <cell r="D27" t="str">
            <v>6x6</v>
          </cell>
        </row>
      </sheetData>
      <sheetData sheetId="2"/>
      <sheetData sheetId="3"/>
      <sheetData sheetId="4">
        <row r="38">
          <cell r="F38">
            <v>290000</v>
          </cell>
        </row>
      </sheetData>
      <sheetData sheetId="5">
        <row r="17">
          <cell r="E17">
            <v>242363</v>
          </cell>
        </row>
      </sheetData>
      <sheetData sheetId="6"/>
      <sheetData sheetId="7">
        <row r="26">
          <cell r="D26">
            <v>0.05</v>
          </cell>
        </row>
        <row r="40">
          <cell r="F40">
            <v>291930</v>
          </cell>
        </row>
        <row r="42">
          <cell r="F42">
            <v>48840</v>
          </cell>
        </row>
        <row r="43">
          <cell r="F43">
            <v>48840</v>
          </cell>
        </row>
        <row r="44">
          <cell r="F44">
            <v>75000</v>
          </cell>
        </row>
        <row r="46">
          <cell r="F46">
            <v>97680</v>
          </cell>
        </row>
        <row r="47">
          <cell r="F47">
            <v>97458</v>
          </cell>
        </row>
        <row r="48">
          <cell r="F48">
            <v>290000</v>
          </cell>
        </row>
        <row r="49">
          <cell r="F49">
            <v>97528</v>
          </cell>
        </row>
        <row r="52">
          <cell r="D52">
            <v>111</v>
          </cell>
          <cell r="F52">
            <v>149073</v>
          </cell>
        </row>
        <row r="53">
          <cell r="D53">
            <v>56</v>
          </cell>
          <cell r="F53">
            <v>0</v>
          </cell>
        </row>
        <row r="55">
          <cell r="D55">
            <v>222</v>
          </cell>
          <cell r="F55">
            <v>377844</v>
          </cell>
        </row>
        <row r="57">
          <cell r="D57">
            <v>1</v>
          </cell>
          <cell r="F57">
            <v>44733</v>
          </cell>
        </row>
        <row r="58">
          <cell r="D58">
            <v>50</v>
          </cell>
          <cell r="F58">
            <v>10650</v>
          </cell>
        </row>
        <row r="59">
          <cell r="D59">
            <v>4</v>
          </cell>
          <cell r="E59">
            <v>44686</v>
          </cell>
        </row>
      </sheetData>
      <sheetData sheetId="8">
        <row r="36">
          <cell r="A36" t="str">
            <v>Preparación del terreno</v>
          </cell>
          <cell r="D36">
            <v>0</v>
          </cell>
          <cell r="E36">
            <v>0</v>
          </cell>
        </row>
        <row r="37">
          <cell r="A37" t="str">
            <v>Trazado</v>
          </cell>
          <cell r="D37">
            <v>0</v>
          </cell>
          <cell r="E37">
            <v>0</v>
          </cell>
        </row>
        <row r="38">
          <cell r="A38" t="str">
            <v xml:space="preserve">Plateo </v>
          </cell>
          <cell r="D38">
            <v>527</v>
          </cell>
          <cell r="E38">
            <v>292485</v>
          </cell>
        </row>
        <row r="39">
          <cell r="A39" t="str">
            <v>Ahoyado y Repique</v>
          </cell>
          <cell r="D39">
            <v>0</v>
          </cell>
          <cell r="E39">
            <v>0</v>
          </cell>
        </row>
        <row r="40">
          <cell r="A40" t="str">
            <v>Aplicación de Correctivos</v>
          </cell>
          <cell r="D40">
            <v>88</v>
          </cell>
          <cell r="E40">
            <v>48840</v>
          </cell>
        </row>
        <row r="41">
          <cell r="A41" t="str">
            <v xml:space="preserve">Aplicación  de Fertilizantes  </v>
          </cell>
          <cell r="D41">
            <v>88</v>
          </cell>
          <cell r="E41">
            <v>48840</v>
          </cell>
        </row>
        <row r="42">
          <cell r="A42" t="str">
            <v>Transporte interno de insumos</v>
          </cell>
          <cell r="D42">
            <v>25000</v>
          </cell>
          <cell r="E42">
            <v>75000</v>
          </cell>
        </row>
        <row r="43">
          <cell r="A43" t="str">
            <v>Plantación (siembra)</v>
          </cell>
          <cell r="D43">
            <v>0</v>
          </cell>
          <cell r="E43">
            <v>0</v>
          </cell>
        </row>
        <row r="44">
          <cell r="A44" t="str">
            <v xml:space="preserve">Control fitosanitario </v>
          </cell>
          <cell r="D44">
            <v>176</v>
          </cell>
          <cell r="E44">
            <v>97680</v>
          </cell>
        </row>
        <row r="45">
          <cell r="A45" t="str">
            <v>Reposición (Replante)</v>
          </cell>
          <cell r="D45">
            <v>1756</v>
          </cell>
          <cell r="E45">
            <v>97458</v>
          </cell>
        </row>
        <row r="46">
          <cell r="A46" t="str">
            <v>Limpias</v>
          </cell>
          <cell r="D46">
            <v>29</v>
          </cell>
          <cell r="E46">
            <v>290000</v>
          </cell>
        </row>
        <row r="47">
          <cell r="A47" t="str">
            <v>Adecuacion de Barreras Cortafuego</v>
          </cell>
          <cell r="D47">
            <v>584</v>
          </cell>
          <cell r="E47">
            <v>97528</v>
          </cell>
        </row>
        <row r="50">
          <cell r="C50">
            <v>55.5</v>
          </cell>
          <cell r="E50">
            <v>74537</v>
          </cell>
        </row>
        <row r="51">
          <cell r="C51">
            <v>31</v>
          </cell>
          <cell r="E51">
            <v>0</v>
          </cell>
        </row>
        <row r="52">
          <cell r="C52">
            <v>24</v>
          </cell>
          <cell r="E52">
            <v>59640</v>
          </cell>
        </row>
        <row r="53">
          <cell r="C53"/>
          <cell r="E53">
            <v>0</v>
          </cell>
        </row>
        <row r="54">
          <cell r="C54">
            <v>0.5</v>
          </cell>
          <cell r="E54">
            <v>25000</v>
          </cell>
        </row>
        <row r="55">
          <cell r="C55">
            <v>1</v>
          </cell>
          <cell r="E55">
            <v>44733</v>
          </cell>
        </row>
        <row r="56">
          <cell r="C56">
            <v>50</v>
          </cell>
          <cell r="E56">
            <v>10650</v>
          </cell>
        </row>
        <row r="57">
          <cell r="C57">
            <v>2</v>
          </cell>
          <cell r="E57">
            <v>89372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.Merk.2020"/>
      <sheetName val="CARACT.TECNIC."/>
      <sheetName val="CARACT.PREDIOS"/>
      <sheetName val="P1 C.Estab.Sist.A.F."/>
      <sheetName val="P 2ESTABLEC. BP"/>
      <sheetName val="P 3 C.Rest.Pas.Aislam."/>
      <sheetName val="P 4 C.Mant. S.A"/>
      <sheetName val="P 5 C.Mant. B.P."/>
      <sheetName val="P 6 C.Mant.E. Forest."/>
      <sheetName val="POAXFTE FINANC."/>
      <sheetName val="Cadena de Vr."/>
      <sheetName val="Plan compras CTO"/>
      <sheetName val="Cronogr.Activ."/>
      <sheetName val="Plan Invers. Gral"/>
      <sheetName val="Plan. Inv. x Item"/>
      <sheetName val="Ejecuc. Compar. POA"/>
      <sheetName val="Plan compras CORT."/>
      <sheetName val="Control y seguim."/>
      <sheetName val="BCE SOCIOAMB."/>
      <sheetName val="IND.GEST. RESOL 667-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UIDACION Wdor"/>
    </sheetNames>
    <sheetDataSet>
      <sheetData sheetId="0">
        <row r="2">
          <cell r="B2">
            <v>908526</v>
          </cell>
        </row>
        <row r="3">
          <cell r="B3">
            <v>106454</v>
          </cell>
        </row>
        <row r="5">
          <cell r="B5">
            <v>77225</v>
          </cell>
        </row>
        <row r="6">
          <cell r="B6">
            <v>72682</v>
          </cell>
        </row>
        <row r="7">
          <cell r="B7">
            <v>22132</v>
          </cell>
        </row>
        <row r="8">
          <cell r="B8">
            <v>81767</v>
          </cell>
        </row>
        <row r="11">
          <cell r="B11">
            <v>84581</v>
          </cell>
        </row>
        <row r="12">
          <cell r="B12">
            <v>84581</v>
          </cell>
        </row>
        <row r="13">
          <cell r="B13">
            <v>10150</v>
          </cell>
        </row>
        <row r="14">
          <cell r="B14">
            <v>37886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. MerK 17"/>
      <sheetName val="Cronogr Adm."/>
      <sheetName val="Cronog Oper."/>
      <sheetName val="Establec."/>
      <sheetName val="Aislam."/>
      <sheetName val="Mantenim."/>
      <sheetName val="Gestion "/>
      <sheetName val="Carg.Prest.(1)"/>
      <sheetName val="POA"/>
      <sheetName val="Cronogr.Act."/>
      <sheetName val="Plan compras."/>
      <sheetName val="Plan.Inv.Gral."/>
      <sheetName val="Plan.Inv.Ant."/>
      <sheetName val="Cert.pag CORT."/>
      <sheetName val="Cert.Pag.otro"/>
      <sheetName val="Cert.pag.com."/>
      <sheetName val="Compar.POA"/>
      <sheetName val="ESTABLEC. MARZO 17"/>
      <sheetName val="AISLAM MARZO 2017"/>
      <sheetName val="MATENIM 2017"/>
      <sheetName val="INF. FCIERO"/>
    </sheetNames>
    <sheetDataSet>
      <sheetData sheetId="0" refreshError="1"/>
      <sheetData sheetId="1" refreshError="1"/>
      <sheetData sheetId="2" refreshError="1"/>
      <sheetData sheetId="3" refreshError="1">
        <row r="10">
          <cell r="B10" t="str">
            <v>1. Número de Plántulas Arboreas por Ha</v>
          </cell>
        </row>
        <row r="12">
          <cell r="B12" t="str">
            <v>3. Porcentaje de reposición  %</v>
          </cell>
        </row>
        <row r="30">
          <cell r="D30">
            <v>0.15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2018"/>
      <sheetName val="Establecimiento"/>
      <sheetName val="Mantenimiento"/>
      <sheetName val="Aislamiento"/>
    </sheetNames>
    <sheetDataSet>
      <sheetData sheetId="0">
        <row r="34">
          <cell r="I34">
            <v>15138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9"/>
  <sheetViews>
    <sheetView zoomScale="90" zoomScaleNormal="90" workbookViewId="0">
      <selection activeCell="A15" sqref="A15:XFD15"/>
    </sheetView>
  </sheetViews>
  <sheetFormatPr baseColWidth="10" defaultRowHeight="15" x14ac:dyDescent="0.25"/>
  <cols>
    <col min="1" max="1" width="30.28515625" customWidth="1"/>
    <col min="2" max="2" width="21.5703125" customWidth="1"/>
    <col min="3" max="3" width="14" customWidth="1"/>
    <col min="4" max="4" width="17.5703125" customWidth="1"/>
    <col min="5" max="5" width="18" style="530" customWidth="1"/>
    <col min="6" max="6" width="16" style="531" bestFit="1" customWidth="1"/>
    <col min="7" max="7" width="14.28515625" style="531" customWidth="1"/>
    <col min="8" max="8" width="16.28515625" style="531" customWidth="1"/>
    <col min="9" max="9" width="14.28515625" style="531" customWidth="1"/>
    <col min="10" max="10" width="18" style="532" customWidth="1"/>
    <col min="11" max="11" width="17.28515625" bestFit="1" customWidth="1"/>
    <col min="12" max="12" width="12.7109375" customWidth="1"/>
    <col min="13" max="13" width="12.5703125" style="6" customWidth="1"/>
    <col min="14" max="15" width="14.42578125" customWidth="1"/>
  </cols>
  <sheetData>
    <row r="1" spans="1:18" x14ac:dyDescent="0.25">
      <c r="A1" s="617" t="s">
        <v>77</v>
      </c>
      <c r="B1" s="618"/>
      <c r="C1" s="618"/>
      <c r="D1" s="618"/>
      <c r="E1" s="618"/>
      <c r="F1" s="618"/>
      <c r="G1" s="618"/>
      <c r="H1" s="619"/>
      <c r="I1" s="619"/>
      <c r="J1" s="620"/>
      <c r="K1" s="13"/>
      <c r="L1" s="15"/>
      <c r="M1" s="14"/>
      <c r="N1" s="16"/>
      <c r="O1" s="16"/>
      <c r="P1" s="7"/>
      <c r="Q1" s="8"/>
      <c r="R1" s="8"/>
    </row>
    <row r="2" spans="1:18" ht="45" x14ac:dyDescent="0.25">
      <c r="A2" s="19" t="s">
        <v>0</v>
      </c>
      <c r="B2" s="17" t="s">
        <v>1</v>
      </c>
      <c r="C2" s="18" t="s">
        <v>2</v>
      </c>
      <c r="D2" s="284" t="s">
        <v>436</v>
      </c>
      <c r="E2" s="284" t="s">
        <v>438</v>
      </c>
      <c r="F2" s="284" t="s">
        <v>439</v>
      </c>
      <c r="G2" s="284" t="s">
        <v>440</v>
      </c>
      <c r="H2" s="546" t="s">
        <v>441</v>
      </c>
      <c r="I2" s="546" t="s">
        <v>442</v>
      </c>
      <c r="J2" s="546" t="s">
        <v>76</v>
      </c>
      <c r="K2" s="13"/>
      <c r="L2" s="13"/>
      <c r="M2" s="14"/>
      <c r="N2" s="616" t="s">
        <v>315</v>
      </c>
      <c r="O2" s="616"/>
      <c r="P2" s="616"/>
      <c r="Q2" s="616"/>
      <c r="R2" s="8"/>
    </row>
    <row r="3" spans="1:18" x14ac:dyDescent="0.25">
      <c r="A3" s="625" t="s">
        <v>79</v>
      </c>
      <c r="B3" s="626"/>
      <c r="C3" s="626"/>
      <c r="D3" s="626"/>
      <c r="E3" s="626"/>
      <c r="F3" s="626"/>
      <c r="G3" s="626"/>
      <c r="H3" s="626"/>
      <c r="I3" s="626"/>
      <c r="J3" s="627"/>
      <c r="K3" s="279" t="s">
        <v>302</v>
      </c>
      <c r="L3" s="279" t="s">
        <v>303</v>
      </c>
      <c r="M3" s="279" t="s">
        <v>194</v>
      </c>
      <c r="N3" s="290" t="s">
        <v>316</v>
      </c>
      <c r="O3" s="290" t="s">
        <v>318</v>
      </c>
      <c r="P3" s="290" t="s">
        <v>317</v>
      </c>
      <c r="Q3" s="290" t="s">
        <v>318</v>
      </c>
      <c r="R3" s="8"/>
    </row>
    <row r="4" spans="1:18" x14ac:dyDescent="0.25">
      <c r="A4" s="20" t="s">
        <v>3</v>
      </c>
      <c r="B4" s="1" t="s">
        <v>4</v>
      </c>
      <c r="C4" s="4" t="s">
        <v>5</v>
      </c>
      <c r="D4" s="537">
        <v>36962.199999999997</v>
      </c>
      <c r="E4" s="541">
        <v>41210</v>
      </c>
      <c r="F4" s="545">
        <v>55000</v>
      </c>
      <c r="G4" s="545">
        <v>66000</v>
      </c>
      <c r="H4" s="547">
        <v>60000</v>
      </c>
      <c r="I4" s="547">
        <v>70000</v>
      </c>
      <c r="J4" s="552">
        <f>+AVERAGE(D4:I4)</f>
        <v>54862.033333333333</v>
      </c>
      <c r="K4" s="280">
        <f>+J4/50</f>
        <v>1097.2406666666666</v>
      </c>
      <c r="L4" s="8"/>
      <c r="M4" s="14"/>
      <c r="N4" s="289">
        <f>+'[1]Est.Merk.2020'!L4</f>
        <v>85100</v>
      </c>
      <c r="O4" s="289">
        <f>+J4-N4</f>
        <v>-30237.966666666667</v>
      </c>
      <c r="P4" s="289">
        <f>+'[1]Est.Merk.2020'!M4</f>
        <v>1702</v>
      </c>
      <c r="Q4" s="289">
        <f>+K4-P4</f>
        <v>-604.75933333333342</v>
      </c>
      <c r="R4" s="8"/>
    </row>
    <row r="5" spans="1:18" x14ac:dyDescent="0.25">
      <c r="A5" s="20" t="s">
        <v>6</v>
      </c>
      <c r="B5" s="1" t="s">
        <v>7</v>
      </c>
      <c r="C5" s="4" t="s">
        <v>5</v>
      </c>
      <c r="D5" s="537">
        <v>122615.5</v>
      </c>
      <c r="E5" s="541">
        <v>134030</v>
      </c>
      <c r="F5" s="545"/>
      <c r="G5" s="545"/>
      <c r="H5" s="547">
        <v>203000</v>
      </c>
      <c r="I5" s="547">
        <v>210000</v>
      </c>
      <c r="J5" s="552">
        <f>+(D5+E5+H5+I5)/4</f>
        <v>167411.375</v>
      </c>
      <c r="K5" s="280">
        <f>+J5/50</f>
        <v>3348.2275</v>
      </c>
      <c r="L5" s="8"/>
      <c r="M5" s="14"/>
      <c r="N5" s="289">
        <f>+'[1]Est.Merk.2020'!L5</f>
        <v>0</v>
      </c>
      <c r="O5" s="289">
        <f>+J5-N5</f>
        <v>167411.375</v>
      </c>
      <c r="P5" s="289">
        <f>+'[1]Est.Merk.2020'!M5</f>
        <v>0</v>
      </c>
      <c r="Q5" s="289">
        <f t="shared" ref="Q5:Q18" si="0">+K5-P5</f>
        <v>3348.2275</v>
      </c>
      <c r="R5" s="8"/>
    </row>
    <row r="6" spans="1:18" x14ac:dyDescent="0.25">
      <c r="A6" s="20" t="s">
        <v>6</v>
      </c>
      <c r="B6" s="1" t="s">
        <v>288</v>
      </c>
      <c r="C6" s="4" t="s">
        <v>5</v>
      </c>
      <c r="D6" s="537">
        <v>116223.7</v>
      </c>
      <c r="E6" s="541">
        <v>168324</v>
      </c>
      <c r="F6" s="545"/>
      <c r="G6" s="545"/>
      <c r="H6" s="547">
        <v>180000</v>
      </c>
      <c r="I6" s="547">
        <v>190000</v>
      </c>
      <c r="J6" s="552">
        <f>+(D6+E6+H6+I6)/4</f>
        <v>163636.92499999999</v>
      </c>
      <c r="K6" s="280">
        <f>+J6/50</f>
        <v>3272.7384999999999</v>
      </c>
      <c r="L6" s="8"/>
      <c r="M6" s="14"/>
      <c r="N6" s="289">
        <f>+'[1]Est.Merk.2020'!L6</f>
        <v>112093</v>
      </c>
      <c r="O6" s="289">
        <f t="shared" ref="O6:O20" si="1">+J6-N6</f>
        <v>51543.924999999988</v>
      </c>
      <c r="P6" s="289">
        <f>+'[1]Est.Merk.2020'!M6</f>
        <v>2242</v>
      </c>
      <c r="Q6" s="289">
        <f t="shared" si="0"/>
        <v>1030.7384999999999</v>
      </c>
      <c r="R6" s="8"/>
    </row>
    <row r="7" spans="1:18" x14ac:dyDescent="0.25">
      <c r="A7" s="20" t="s">
        <v>6</v>
      </c>
      <c r="B7" s="1" t="s">
        <v>8</v>
      </c>
      <c r="C7" s="4" t="s">
        <v>5</v>
      </c>
      <c r="D7" s="537">
        <v>103350</v>
      </c>
      <c r="E7" s="542">
        <v>115000</v>
      </c>
      <c r="F7" s="545"/>
      <c r="G7" s="545"/>
      <c r="H7" s="547">
        <v>108000</v>
      </c>
      <c r="I7" s="547">
        <v>115000</v>
      </c>
      <c r="J7" s="552">
        <f>+(D7+E7+H7+I7)/4</f>
        <v>110337.5</v>
      </c>
      <c r="K7" s="280">
        <f>+J7/50</f>
        <v>2206.75</v>
      </c>
      <c r="L7" s="8"/>
      <c r="M7" s="14"/>
      <c r="N7" s="289">
        <f>+'[1]Est.Merk.2020'!L7</f>
        <v>124243</v>
      </c>
      <c r="O7" s="289">
        <f t="shared" si="1"/>
        <v>-13905.5</v>
      </c>
      <c r="P7" s="289">
        <f>+'[1]Est.Merk.2020'!M7</f>
        <v>2485</v>
      </c>
      <c r="Q7" s="289">
        <f>+K7-P7</f>
        <v>-278.25</v>
      </c>
      <c r="R7" s="8"/>
    </row>
    <row r="8" spans="1:18" x14ac:dyDescent="0.25">
      <c r="A8" s="20" t="s">
        <v>9</v>
      </c>
      <c r="B8" s="1" t="s">
        <v>10</v>
      </c>
      <c r="C8" s="4" t="s">
        <v>5</v>
      </c>
      <c r="D8" s="537">
        <v>112519</v>
      </c>
      <c r="E8" s="542">
        <v>198000</v>
      </c>
      <c r="F8" s="545"/>
      <c r="G8" s="545"/>
      <c r="H8" s="547">
        <v>210000</v>
      </c>
      <c r="I8" s="547">
        <v>221000</v>
      </c>
      <c r="J8" s="552">
        <f>+(D8+E8+H8+I8)/4</f>
        <v>185379.75</v>
      </c>
      <c r="K8" s="280">
        <f>+J8/50</f>
        <v>3707.5949999999998</v>
      </c>
      <c r="L8" s="8"/>
      <c r="M8" s="14"/>
      <c r="N8" s="289">
        <f>+'[1]Est.Merk.2020'!L8</f>
        <v>118963</v>
      </c>
      <c r="O8" s="289">
        <f t="shared" si="1"/>
        <v>66416.75</v>
      </c>
      <c r="P8" s="289">
        <f>+'[1]Est.Merk.2020'!M8</f>
        <v>2379</v>
      </c>
      <c r="Q8" s="289">
        <f t="shared" si="0"/>
        <v>1328.5949999999998</v>
      </c>
      <c r="R8" s="8"/>
    </row>
    <row r="9" spans="1:18" x14ac:dyDescent="0.25">
      <c r="A9" s="20" t="s">
        <v>11</v>
      </c>
      <c r="B9" s="1" t="s">
        <v>12</v>
      </c>
      <c r="C9" s="4" t="s">
        <v>13</v>
      </c>
      <c r="D9" s="537">
        <v>181896</v>
      </c>
      <c r="E9" s="541">
        <v>202800</v>
      </c>
      <c r="F9" s="545"/>
      <c r="G9" s="545"/>
      <c r="H9" s="547"/>
      <c r="I9" s="547"/>
      <c r="J9" s="552">
        <f>+(D9+E9)/2</f>
        <v>192348</v>
      </c>
      <c r="K9" s="8"/>
      <c r="L9" s="8"/>
      <c r="M9" s="14"/>
      <c r="N9" s="289">
        <f>+'[1]Est.Merk.2020'!L9</f>
        <v>50000</v>
      </c>
      <c r="O9" s="289">
        <f t="shared" si="1"/>
        <v>142348</v>
      </c>
      <c r="P9" s="289">
        <f>+'[1]Est.Merk.2020'!M9</f>
        <v>0</v>
      </c>
      <c r="Q9" s="289">
        <f t="shared" si="0"/>
        <v>0</v>
      </c>
      <c r="R9" s="8"/>
    </row>
    <row r="10" spans="1:18" x14ac:dyDescent="0.25">
      <c r="A10" s="20" t="s">
        <v>14</v>
      </c>
      <c r="B10" s="1" t="s">
        <v>15</v>
      </c>
      <c r="C10" s="4" t="s">
        <v>16</v>
      </c>
      <c r="D10" s="537">
        <v>20829</v>
      </c>
      <c r="E10" s="541">
        <v>32760</v>
      </c>
      <c r="F10" s="545"/>
      <c r="G10" s="545"/>
      <c r="H10" s="547"/>
      <c r="I10" s="547"/>
      <c r="J10" s="552">
        <f>+(D10+E10)/2</f>
        <v>26794.5</v>
      </c>
      <c r="K10" s="8"/>
      <c r="L10" s="8"/>
      <c r="M10" s="14"/>
      <c r="N10" s="289">
        <f>+'[1]Est.Merk.2020'!L10</f>
        <v>44733</v>
      </c>
      <c r="O10" s="289">
        <f t="shared" si="1"/>
        <v>-17938.5</v>
      </c>
      <c r="P10" s="289">
        <f>+'[1]Est.Merk.2020'!M10</f>
        <v>0</v>
      </c>
      <c r="Q10" s="289">
        <f t="shared" si="0"/>
        <v>0</v>
      </c>
      <c r="R10" s="8"/>
    </row>
    <row r="11" spans="1:18" x14ac:dyDescent="0.25">
      <c r="A11" s="21" t="s">
        <v>120</v>
      </c>
      <c r="B11" s="3" t="s">
        <v>121</v>
      </c>
      <c r="C11" s="4" t="s">
        <v>5</v>
      </c>
      <c r="D11" s="537">
        <v>19080</v>
      </c>
      <c r="E11" s="541">
        <v>25116</v>
      </c>
      <c r="F11" s="545"/>
      <c r="G11" s="545"/>
      <c r="H11" s="547">
        <v>60000</v>
      </c>
      <c r="I11" s="547">
        <v>80000</v>
      </c>
      <c r="J11" s="552">
        <f>+(D11+E11+H11+I11)/4</f>
        <v>46049</v>
      </c>
      <c r="K11" s="8"/>
      <c r="L11" s="8"/>
      <c r="M11" s="14"/>
      <c r="N11" s="289">
        <f>+'[1]Est.Merk.2020'!L11</f>
        <v>12600</v>
      </c>
      <c r="O11" s="289">
        <f t="shared" si="1"/>
        <v>33449</v>
      </c>
      <c r="P11" s="289">
        <f>+'[1]Est.Merk.2020'!M11</f>
        <v>252</v>
      </c>
      <c r="Q11" s="289">
        <f t="shared" si="0"/>
        <v>-252</v>
      </c>
      <c r="R11" s="8"/>
    </row>
    <row r="12" spans="1:18" x14ac:dyDescent="0.25">
      <c r="A12" s="21" t="s">
        <v>123</v>
      </c>
      <c r="B12" s="3" t="s">
        <v>124</v>
      </c>
      <c r="C12" s="4" t="s">
        <v>13</v>
      </c>
      <c r="D12" s="537">
        <v>31694</v>
      </c>
      <c r="E12" s="541">
        <v>48360</v>
      </c>
      <c r="F12" s="545"/>
      <c r="G12" s="545"/>
      <c r="H12" s="547">
        <v>27000</v>
      </c>
      <c r="I12" s="547">
        <v>29000</v>
      </c>
      <c r="J12" s="552">
        <f>+(D12+E12+H12+I12)/4</f>
        <v>34013.5</v>
      </c>
      <c r="K12" s="8"/>
      <c r="L12" s="8"/>
      <c r="M12" s="14"/>
      <c r="N12" s="289">
        <f>+'[1]Est.Merk.2020'!L12</f>
        <v>41550</v>
      </c>
      <c r="O12" s="289">
        <f t="shared" si="1"/>
        <v>-7536.5</v>
      </c>
      <c r="P12" s="289">
        <f>+'[1]Est.Merk.2020'!M12</f>
        <v>0</v>
      </c>
      <c r="Q12" s="289">
        <f t="shared" si="0"/>
        <v>0</v>
      </c>
      <c r="R12" s="8"/>
    </row>
    <row r="13" spans="1:18" x14ac:dyDescent="0.25">
      <c r="A13" s="21" t="s">
        <v>125</v>
      </c>
      <c r="B13" s="3" t="s">
        <v>307</v>
      </c>
      <c r="C13" s="4" t="s">
        <v>13</v>
      </c>
      <c r="D13" s="537">
        <v>242138.98</v>
      </c>
      <c r="E13" s="541">
        <v>191900</v>
      </c>
      <c r="F13" s="545"/>
      <c r="G13" s="545"/>
      <c r="H13" s="547"/>
      <c r="I13" s="547"/>
      <c r="J13" s="552">
        <f>SUM(D13:G13)/2</f>
        <v>217019.49</v>
      </c>
      <c r="K13" s="8"/>
      <c r="L13" s="8"/>
      <c r="M13" s="14"/>
      <c r="N13" s="289">
        <f>+'[1]Est.Merk.2020'!L13</f>
        <v>241833</v>
      </c>
      <c r="O13" s="289">
        <f t="shared" si="1"/>
        <v>-24813.510000000009</v>
      </c>
      <c r="P13" s="289">
        <f>+'[1]Est.Merk.2020'!M13</f>
        <v>0</v>
      </c>
      <c r="Q13" s="289">
        <f t="shared" si="0"/>
        <v>0</v>
      </c>
      <c r="R13" s="8"/>
    </row>
    <row r="14" spans="1:18" x14ac:dyDescent="0.25">
      <c r="A14" s="21" t="s">
        <v>123</v>
      </c>
      <c r="B14" s="3" t="s">
        <v>289</v>
      </c>
      <c r="C14" s="4" t="s">
        <v>13</v>
      </c>
      <c r="D14" s="537">
        <v>34301.599999999999</v>
      </c>
      <c r="E14" s="541">
        <v>34100</v>
      </c>
      <c r="F14" s="545"/>
      <c r="G14" s="545"/>
      <c r="H14" s="547"/>
      <c r="I14" s="547"/>
      <c r="J14" s="552">
        <f>SUM(D14:G14)/2</f>
        <v>34200.800000000003</v>
      </c>
      <c r="K14" s="8"/>
      <c r="L14" s="8"/>
      <c r="M14" s="14"/>
      <c r="N14" s="289">
        <f>+'[1]Est.Merk.2020'!L14</f>
        <v>50000</v>
      </c>
      <c r="O14" s="289">
        <f t="shared" si="1"/>
        <v>-15799.199999999997</v>
      </c>
      <c r="P14" s="289">
        <f>+'[1]Est.Merk.2020'!M14</f>
        <v>0</v>
      </c>
      <c r="Q14" s="289">
        <f t="shared" si="0"/>
        <v>0</v>
      </c>
      <c r="R14" s="8"/>
    </row>
    <row r="15" spans="1:18" x14ac:dyDescent="0.25">
      <c r="A15" s="20" t="s">
        <v>17</v>
      </c>
      <c r="B15" s="1" t="s">
        <v>18</v>
      </c>
      <c r="C15" s="4" t="s">
        <v>5</v>
      </c>
      <c r="D15" s="537">
        <v>10267.16</v>
      </c>
      <c r="E15" s="542">
        <v>13000</v>
      </c>
      <c r="F15" s="545"/>
      <c r="G15" s="545"/>
      <c r="H15" s="547">
        <v>11000</v>
      </c>
      <c r="I15" s="547">
        <v>13000</v>
      </c>
      <c r="J15" s="552">
        <f>+(D15+E15+H15+I15)/4</f>
        <v>11816.79</v>
      </c>
      <c r="K15" s="280">
        <f>+J15/50</f>
        <v>236.33580000000001</v>
      </c>
      <c r="L15" s="8"/>
      <c r="M15" s="14"/>
      <c r="N15" s="289">
        <f>+'[1]Est.Merk.2020'!L15</f>
        <v>10667</v>
      </c>
      <c r="O15" s="289">
        <f t="shared" si="1"/>
        <v>1149.7900000000009</v>
      </c>
      <c r="P15" s="289">
        <f>+'[1]Est.Merk.2020'!M15</f>
        <v>213</v>
      </c>
      <c r="Q15" s="289">
        <f t="shared" si="0"/>
        <v>23.335800000000006</v>
      </c>
      <c r="R15" s="8"/>
    </row>
    <row r="16" spans="1:18" x14ac:dyDescent="0.25">
      <c r="A16" s="20" t="s">
        <v>17</v>
      </c>
      <c r="B16" s="1" t="s">
        <v>19</v>
      </c>
      <c r="C16" s="4" t="s">
        <v>20</v>
      </c>
      <c r="D16" s="537">
        <v>46671.8</v>
      </c>
      <c r="E16" s="541">
        <v>63700</v>
      </c>
      <c r="F16" s="545"/>
      <c r="G16" s="545"/>
      <c r="H16" s="547">
        <v>11000</v>
      </c>
      <c r="I16" s="547">
        <v>60000</v>
      </c>
      <c r="J16" s="552">
        <f>+(D16+E16+H16+I16)/4</f>
        <v>45342.95</v>
      </c>
      <c r="K16" s="8"/>
      <c r="L16" s="8"/>
      <c r="M16" s="14"/>
      <c r="N16" s="289">
        <f>+'[1]Est.Merk.2020'!L16</f>
        <v>44686</v>
      </c>
      <c r="O16" s="289">
        <f t="shared" si="1"/>
        <v>656.94999999999709</v>
      </c>
      <c r="P16" s="289">
        <f>+'[1]Est.Merk.2020'!M16</f>
        <v>0</v>
      </c>
      <c r="Q16" s="289">
        <f t="shared" si="0"/>
        <v>0</v>
      </c>
      <c r="R16" s="8"/>
    </row>
    <row r="17" spans="1:18" x14ac:dyDescent="0.25">
      <c r="A17" s="20" t="s">
        <v>6</v>
      </c>
      <c r="B17" s="1" t="s">
        <v>21</v>
      </c>
      <c r="C17" s="4" t="s">
        <v>22</v>
      </c>
      <c r="D17" s="537">
        <v>21200</v>
      </c>
      <c r="E17" s="541"/>
      <c r="F17" s="545"/>
      <c r="G17" s="545"/>
      <c r="H17" s="547">
        <v>42500</v>
      </c>
      <c r="I17" s="547">
        <v>55000</v>
      </c>
      <c r="J17" s="552">
        <f>+(D17+H17+I17)/3</f>
        <v>39566.666666666664</v>
      </c>
      <c r="K17" s="8"/>
      <c r="L17" s="8"/>
      <c r="M17" s="14"/>
      <c r="N17" s="289">
        <f>+'[1]Est.Merk.2020'!L17</f>
        <v>19567</v>
      </c>
      <c r="O17" s="289">
        <f t="shared" si="1"/>
        <v>19999.666666666664</v>
      </c>
      <c r="P17" s="289">
        <f>+'[1]Est.Merk.2020'!M17</f>
        <v>0</v>
      </c>
      <c r="Q17" s="289">
        <f t="shared" si="0"/>
        <v>0</v>
      </c>
      <c r="R17" s="8"/>
    </row>
    <row r="18" spans="1:18" x14ac:dyDescent="0.25">
      <c r="A18" s="20" t="s">
        <v>6</v>
      </c>
      <c r="B18" s="1" t="s">
        <v>23</v>
      </c>
      <c r="C18" s="4" t="s">
        <v>5</v>
      </c>
      <c r="D18" s="537">
        <v>125080</v>
      </c>
      <c r="E18" s="542">
        <v>218000</v>
      </c>
      <c r="F18" s="545"/>
      <c r="G18" s="545"/>
      <c r="H18" s="547">
        <v>200000</v>
      </c>
      <c r="I18" s="547">
        <v>210000</v>
      </c>
      <c r="J18" s="552">
        <f>+(D18+E18+H18+I18)/4</f>
        <v>188270</v>
      </c>
      <c r="K18" s="280">
        <f>+J18/50</f>
        <v>3765.4</v>
      </c>
      <c r="L18" s="8"/>
      <c r="M18" s="14"/>
      <c r="N18" s="289">
        <f>+'[1]Est.Merk.2020'!L18</f>
        <v>120000</v>
      </c>
      <c r="O18" s="289">
        <f t="shared" si="1"/>
        <v>68270</v>
      </c>
      <c r="P18" s="289">
        <f>+'[1]Est.Merk.2020'!M18</f>
        <v>2400</v>
      </c>
      <c r="Q18" s="289">
        <f t="shared" si="0"/>
        <v>1365.4</v>
      </c>
      <c r="R18" s="8"/>
    </row>
    <row r="19" spans="1:18" x14ac:dyDescent="0.25">
      <c r="A19" s="20" t="s">
        <v>47</v>
      </c>
      <c r="B19" s="1" t="s">
        <v>48</v>
      </c>
      <c r="C19" s="4" t="s">
        <v>49</v>
      </c>
      <c r="D19" s="537">
        <v>144160</v>
      </c>
      <c r="E19" s="541">
        <v>176800</v>
      </c>
      <c r="F19" s="545"/>
      <c r="G19" s="545"/>
      <c r="H19" s="547"/>
      <c r="I19" s="547"/>
      <c r="J19" s="552">
        <f>SUM(D19:G19)/2</f>
        <v>160480</v>
      </c>
      <c r="K19" s="8"/>
      <c r="L19" s="8"/>
      <c r="M19" s="9"/>
      <c r="N19" s="289">
        <f>+'[1]Est.Merk.2020'!L19</f>
        <v>54343</v>
      </c>
      <c r="O19" s="289">
        <f t="shared" si="1"/>
        <v>106137</v>
      </c>
      <c r="P19" s="289"/>
      <c r="Q19" s="289"/>
      <c r="R19" s="8"/>
    </row>
    <row r="20" spans="1:18" x14ac:dyDescent="0.25">
      <c r="A20" s="20" t="s">
        <v>50</v>
      </c>
      <c r="B20" s="1" t="s">
        <v>51</v>
      </c>
      <c r="C20" s="4" t="s">
        <v>49</v>
      </c>
      <c r="D20" s="537">
        <v>105894</v>
      </c>
      <c r="E20" s="541">
        <v>129870</v>
      </c>
      <c r="F20" s="545"/>
      <c r="G20" s="545"/>
      <c r="H20" s="547"/>
      <c r="I20" s="547"/>
      <c r="J20" s="552">
        <f>SUM(D20:G20)/2</f>
        <v>117882</v>
      </c>
      <c r="K20" s="8"/>
      <c r="L20" s="8"/>
      <c r="M20" s="9"/>
      <c r="N20" s="289">
        <f>+'[1]Est.Merk.2020'!L20</f>
        <v>23205</v>
      </c>
      <c r="O20" s="289">
        <f t="shared" si="1"/>
        <v>94677</v>
      </c>
      <c r="P20" s="289"/>
      <c r="Q20" s="289"/>
      <c r="R20" s="8"/>
    </row>
    <row r="21" spans="1:18" x14ac:dyDescent="0.25">
      <c r="A21" s="625" t="s">
        <v>80</v>
      </c>
      <c r="B21" s="626"/>
      <c r="C21" s="626"/>
      <c r="D21" s="626"/>
      <c r="E21" s="626"/>
      <c r="F21" s="626"/>
      <c r="G21" s="626"/>
      <c r="H21" s="626"/>
      <c r="I21" s="626"/>
      <c r="J21" s="627"/>
      <c r="K21" s="8"/>
      <c r="L21" s="8"/>
      <c r="M21" s="14"/>
      <c r="N21" s="8"/>
      <c r="O21" s="8"/>
      <c r="P21" s="8"/>
      <c r="Q21" s="8"/>
      <c r="R21" s="8"/>
    </row>
    <row r="22" spans="1:18" x14ac:dyDescent="0.25">
      <c r="A22" s="282"/>
      <c r="B22" s="283"/>
      <c r="C22" s="283"/>
      <c r="D22" s="18"/>
      <c r="E22" s="18"/>
      <c r="F22" s="526"/>
      <c r="G22" s="526"/>
      <c r="H22" s="526"/>
      <c r="I22" s="526"/>
      <c r="J22" s="527"/>
      <c r="K22" s="8"/>
      <c r="L22" s="8"/>
      <c r="M22" s="14"/>
      <c r="N22" s="8"/>
      <c r="O22" s="8"/>
      <c r="P22" s="8"/>
      <c r="Q22" s="8"/>
      <c r="R22" s="8"/>
    </row>
    <row r="23" spans="1:18" x14ac:dyDescent="0.25">
      <c r="A23" s="20" t="s">
        <v>24</v>
      </c>
      <c r="B23" s="1" t="s">
        <v>25</v>
      </c>
      <c r="C23" s="4" t="s">
        <v>2</v>
      </c>
      <c r="D23" s="537">
        <v>5910.4539999999997</v>
      </c>
      <c r="E23" s="541">
        <v>5100</v>
      </c>
      <c r="F23" s="545"/>
      <c r="G23" s="545"/>
      <c r="H23" s="547"/>
      <c r="I23" s="547"/>
      <c r="J23" s="552">
        <f>SUM(D23:E23)/2</f>
        <v>5505.2269999999999</v>
      </c>
      <c r="K23" s="8"/>
      <c r="L23" s="8"/>
      <c r="M23" s="14"/>
      <c r="N23" s="289">
        <f>+'[1]Est.Merk.2020'!L23</f>
        <v>4165</v>
      </c>
      <c r="O23" s="289">
        <f t="shared" ref="O23:O45" si="2">+J23-N23</f>
        <v>1340.2269999999999</v>
      </c>
      <c r="P23" s="289"/>
      <c r="Q23" s="289"/>
      <c r="R23" s="8"/>
    </row>
    <row r="24" spans="1:18" x14ac:dyDescent="0.25">
      <c r="A24" s="20" t="s">
        <v>26</v>
      </c>
      <c r="B24" s="1" t="s">
        <v>27</v>
      </c>
      <c r="C24" s="4" t="s">
        <v>2</v>
      </c>
      <c r="D24" s="537">
        <v>16314.672</v>
      </c>
      <c r="E24" s="543">
        <v>17800</v>
      </c>
      <c r="F24" s="545"/>
      <c r="G24" s="545"/>
      <c r="H24" s="547"/>
      <c r="I24" s="547"/>
      <c r="J24" s="552">
        <f t="shared" ref="J24:J34" si="3">SUM(D24:E24)/2</f>
        <v>17057.335999999999</v>
      </c>
      <c r="K24" s="8"/>
      <c r="L24" s="8"/>
      <c r="M24" s="9"/>
      <c r="N24" s="289">
        <f>+'[1]Est.Merk.2020'!L24</f>
        <v>17990</v>
      </c>
      <c r="O24" s="289">
        <f t="shared" si="2"/>
        <v>-932.66400000000067</v>
      </c>
      <c r="P24" s="289"/>
      <c r="Q24" s="289"/>
      <c r="R24" s="8"/>
    </row>
    <row r="25" spans="1:18" x14ac:dyDescent="0.25">
      <c r="A25" s="20" t="s">
        <v>28</v>
      </c>
      <c r="B25" s="1" t="s">
        <v>29</v>
      </c>
      <c r="C25" s="4" t="s">
        <v>2</v>
      </c>
      <c r="D25" s="537">
        <v>24430.084999999999</v>
      </c>
      <c r="E25" s="541">
        <v>25200</v>
      </c>
      <c r="F25" s="545"/>
      <c r="G25" s="545"/>
      <c r="H25" s="547"/>
      <c r="I25" s="547"/>
      <c r="J25" s="552">
        <f>SUM(D25:E25)/2</f>
        <v>24815.0425</v>
      </c>
      <c r="K25" s="8"/>
      <c r="L25" s="8"/>
      <c r="M25" s="9"/>
      <c r="N25" s="289">
        <f>+'[1]Est.Merk.2020'!L25</f>
        <v>31076</v>
      </c>
      <c r="O25" s="289">
        <f t="shared" si="2"/>
        <v>-6260.9575000000004</v>
      </c>
      <c r="P25" s="289"/>
      <c r="Q25" s="289"/>
      <c r="R25" s="8"/>
    </row>
    <row r="26" spans="1:18" x14ac:dyDescent="0.25">
      <c r="A26" s="20" t="s">
        <v>30</v>
      </c>
      <c r="B26" s="1" t="s">
        <v>31</v>
      </c>
      <c r="C26" s="4" t="s">
        <v>2</v>
      </c>
      <c r="D26" s="537">
        <v>49702.48133333333</v>
      </c>
      <c r="E26" s="541">
        <v>65100</v>
      </c>
      <c r="F26" s="545"/>
      <c r="G26" s="545"/>
      <c r="H26" s="547"/>
      <c r="I26" s="547"/>
      <c r="J26" s="552">
        <f t="shared" si="3"/>
        <v>57401.240666666665</v>
      </c>
      <c r="K26" s="8"/>
      <c r="L26" s="8"/>
      <c r="M26" s="9"/>
      <c r="N26" s="289">
        <f>+'[1]Est.Merk.2020'!L26</f>
        <v>38535</v>
      </c>
      <c r="O26" s="289">
        <f t="shared" si="2"/>
        <v>18866.240666666665</v>
      </c>
      <c r="P26" s="289"/>
      <c r="Q26" s="289"/>
      <c r="R26" s="8"/>
    </row>
    <row r="27" spans="1:18" x14ac:dyDescent="0.25">
      <c r="A27" s="20" t="s">
        <v>32</v>
      </c>
      <c r="B27" s="1" t="s">
        <v>33</v>
      </c>
      <c r="C27" s="4" t="s">
        <v>2</v>
      </c>
      <c r="D27" s="537">
        <v>15228.225</v>
      </c>
      <c r="E27" s="541">
        <v>18800</v>
      </c>
      <c r="F27" s="545"/>
      <c r="G27" s="545"/>
      <c r="H27" s="547"/>
      <c r="I27" s="547"/>
      <c r="J27" s="552">
        <f t="shared" si="3"/>
        <v>17014.112499999999</v>
      </c>
      <c r="K27" s="8"/>
      <c r="L27" s="8"/>
      <c r="M27" s="9"/>
      <c r="N27" s="289">
        <f>+'[1]Est.Merk.2020'!L27</f>
        <v>19950</v>
      </c>
      <c r="O27" s="289">
        <f t="shared" si="2"/>
        <v>-2935.8875000000007</v>
      </c>
      <c r="P27" s="289"/>
      <c r="Q27" s="289"/>
      <c r="R27" s="8"/>
    </row>
    <row r="28" spans="1:18" x14ac:dyDescent="0.25">
      <c r="A28" s="20" t="s">
        <v>34</v>
      </c>
      <c r="B28" s="1" t="s">
        <v>35</v>
      </c>
      <c r="C28" s="4" t="s">
        <v>36</v>
      </c>
      <c r="D28" s="537">
        <v>227264</v>
      </c>
      <c r="E28" s="541">
        <v>254600</v>
      </c>
      <c r="F28" s="545"/>
      <c r="G28" s="545"/>
      <c r="H28" s="547"/>
      <c r="I28" s="547"/>
      <c r="J28" s="552">
        <f t="shared" si="3"/>
        <v>240932</v>
      </c>
      <c r="K28" s="8"/>
      <c r="L28" s="8"/>
      <c r="M28" s="9"/>
      <c r="N28" s="289">
        <f>+'[1]Est.Merk.2020'!L28</f>
        <v>242363</v>
      </c>
      <c r="O28" s="289">
        <f t="shared" si="2"/>
        <v>-1431</v>
      </c>
      <c r="P28" s="289"/>
      <c r="Q28" s="289"/>
      <c r="R28" s="8"/>
    </row>
    <row r="29" spans="1:18" x14ac:dyDescent="0.25">
      <c r="A29" s="20" t="s">
        <v>37</v>
      </c>
      <c r="B29" s="1" t="s">
        <v>38</v>
      </c>
      <c r="C29" s="4" t="s">
        <v>20</v>
      </c>
      <c r="D29" s="537">
        <v>5713.4</v>
      </c>
      <c r="E29" s="541">
        <v>7644</v>
      </c>
      <c r="F29" s="545"/>
      <c r="G29" s="545"/>
      <c r="H29" s="547"/>
      <c r="I29" s="547"/>
      <c r="J29" s="552">
        <f t="shared" si="3"/>
        <v>6678.7</v>
      </c>
      <c r="K29" s="8"/>
      <c r="L29" s="8"/>
      <c r="M29" s="9"/>
      <c r="N29" s="289">
        <f>+'[1]Est.Merk.2020'!L29</f>
        <v>8013</v>
      </c>
      <c r="O29" s="289">
        <f t="shared" si="2"/>
        <v>-1334.3000000000002</v>
      </c>
      <c r="P29" s="289"/>
      <c r="Q29" s="289"/>
      <c r="R29" s="8"/>
    </row>
    <row r="30" spans="1:18" x14ac:dyDescent="0.25">
      <c r="A30" s="20" t="s">
        <v>39</v>
      </c>
      <c r="B30" s="1" t="s">
        <v>40</v>
      </c>
      <c r="C30" s="4" t="s">
        <v>2</v>
      </c>
      <c r="D30" s="537">
        <v>37895</v>
      </c>
      <c r="E30" s="541">
        <v>50700</v>
      </c>
      <c r="F30" s="545"/>
      <c r="G30" s="545"/>
      <c r="H30" s="547"/>
      <c r="I30" s="547"/>
      <c r="J30" s="552">
        <f t="shared" si="3"/>
        <v>44297.5</v>
      </c>
      <c r="K30" s="8"/>
      <c r="L30" s="8"/>
      <c r="M30" s="9"/>
      <c r="N30" s="289">
        <f>+'[1]Est.Merk.2020'!L30</f>
        <v>62300</v>
      </c>
      <c r="O30" s="289">
        <f t="shared" si="2"/>
        <v>-18002.5</v>
      </c>
      <c r="P30" s="289"/>
      <c r="Q30" s="289"/>
      <c r="R30" s="8"/>
    </row>
    <row r="31" spans="1:18" x14ac:dyDescent="0.25">
      <c r="A31" s="20" t="s">
        <v>41</v>
      </c>
      <c r="B31" s="1" t="s">
        <v>42</v>
      </c>
      <c r="C31" s="4" t="s">
        <v>2</v>
      </c>
      <c r="D31" s="537">
        <v>14016.026666666667</v>
      </c>
      <c r="E31" s="541">
        <v>17900</v>
      </c>
      <c r="F31" s="545"/>
      <c r="G31" s="545"/>
      <c r="H31" s="547"/>
      <c r="I31" s="547"/>
      <c r="J31" s="552">
        <f t="shared" si="3"/>
        <v>15958.013333333332</v>
      </c>
      <c r="K31" s="8"/>
      <c r="L31" s="8"/>
      <c r="M31" s="9"/>
      <c r="N31" s="289">
        <f>+'[1]Est.Merk.2020'!L31</f>
        <v>16779</v>
      </c>
      <c r="O31" s="289">
        <f t="shared" si="2"/>
        <v>-820.98666666666759</v>
      </c>
      <c r="P31" s="289"/>
      <c r="Q31" s="289"/>
      <c r="R31" s="8"/>
    </row>
    <row r="32" spans="1:18" x14ac:dyDescent="0.25">
      <c r="A32" s="20" t="s">
        <v>43</v>
      </c>
      <c r="B32" s="1" t="s">
        <v>44</v>
      </c>
      <c r="C32" s="4" t="s">
        <v>2</v>
      </c>
      <c r="D32" s="537">
        <v>40399.214666666667</v>
      </c>
      <c r="E32" s="543">
        <v>36100</v>
      </c>
      <c r="F32" s="545"/>
      <c r="G32" s="545"/>
      <c r="H32" s="547"/>
      <c r="I32" s="547"/>
      <c r="J32" s="552">
        <f t="shared" si="3"/>
        <v>38249.607333333333</v>
      </c>
      <c r="K32" s="8"/>
      <c r="L32" s="8"/>
      <c r="M32" s="9"/>
      <c r="N32" s="289">
        <f>+'[1]Est.Merk.2020'!L32</f>
        <v>27755</v>
      </c>
      <c r="O32" s="289">
        <f t="shared" si="2"/>
        <v>10494.607333333333</v>
      </c>
      <c r="P32" s="289"/>
      <c r="Q32" s="289"/>
      <c r="R32" s="8"/>
    </row>
    <row r="33" spans="1:18" x14ac:dyDescent="0.25">
      <c r="A33" s="20" t="s">
        <v>45</v>
      </c>
      <c r="B33" s="1" t="s">
        <v>46</v>
      </c>
      <c r="C33" s="4" t="s">
        <v>2</v>
      </c>
      <c r="D33" s="537">
        <v>17808</v>
      </c>
      <c r="E33" s="541">
        <v>23840</v>
      </c>
      <c r="F33" s="545"/>
      <c r="G33" s="545"/>
      <c r="H33" s="547"/>
      <c r="I33" s="547"/>
      <c r="J33" s="552">
        <f t="shared" si="3"/>
        <v>20824</v>
      </c>
      <c r="K33" s="8"/>
      <c r="L33" s="8"/>
      <c r="M33" s="9"/>
      <c r="N33" s="289">
        <f>+'[1]Est.Merk.2020'!L33</f>
        <v>8251</v>
      </c>
      <c r="O33" s="289">
        <f t="shared" si="2"/>
        <v>12573</v>
      </c>
      <c r="P33" s="289"/>
      <c r="Q33" s="289"/>
      <c r="R33" s="8"/>
    </row>
    <row r="34" spans="1:18" x14ac:dyDescent="0.25">
      <c r="A34" s="20" t="s">
        <v>52</v>
      </c>
      <c r="B34" s="1" t="s">
        <v>53</v>
      </c>
      <c r="C34" s="4" t="s">
        <v>2</v>
      </c>
      <c r="D34" s="537">
        <v>299374.79300000001</v>
      </c>
      <c r="E34" s="543">
        <v>325300</v>
      </c>
      <c r="F34" s="545"/>
      <c r="G34" s="545"/>
      <c r="H34" s="547"/>
      <c r="I34" s="547"/>
      <c r="J34" s="552">
        <f t="shared" si="3"/>
        <v>312337.39650000003</v>
      </c>
      <c r="K34" s="8"/>
      <c r="L34" s="8"/>
      <c r="M34" s="9"/>
      <c r="N34" s="289">
        <f>+'[1]Est.Merk.2020'!L34</f>
        <v>262788</v>
      </c>
      <c r="O34" s="289">
        <f t="shared" si="2"/>
        <v>49549.396500000032</v>
      </c>
      <c r="P34" s="289"/>
      <c r="Q34" s="289"/>
      <c r="R34" s="8"/>
    </row>
    <row r="35" spans="1:18" x14ac:dyDescent="0.25">
      <c r="A35" s="625" t="s">
        <v>83</v>
      </c>
      <c r="B35" s="626"/>
      <c r="C35" s="626"/>
      <c r="D35" s="626"/>
      <c r="E35" s="626"/>
      <c r="F35" s="626"/>
      <c r="G35" s="626"/>
      <c r="H35" s="626"/>
      <c r="I35" s="626"/>
      <c r="J35" s="627"/>
      <c r="K35" s="8"/>
      <c r="L35" s="8"/>
      <c r="M35" s="9"/>
      <c r="N35" s="289"/>
      <c r="O35" s="289"/>
      <c r="P35" s="8"/>
      <c r="Q35" s="8"/>
      <c r="R35" s="8"/>
    </row>
    <row r="36" spans="1:18" x14ac:dyDescent="0.25">
      <c r="A36" s="21" t="s">
        <v>61</v>
      </c>
      <c r="B36" s="3" t="s">
        <v>62</v>
      </c>
      <c r="C36" s="5" t="s">
        <v>63</v>
      </c>
      <c r="D36" s="537">
        <v>35849.199999999997</v>
      </c>
      <c r="E36" s="542">
        <v>38000</v>
      </c>
      <c r="F36" s="545"/>
      <c r="G36" s="545"/>
      <c r="H36" s="547"/>
      <c r="I36" s="547"/>
      <c r="J36" s="552">
        <f>SUM(D36:E36)/2</f>
        <v>36924.6</v>
      </c>
      <c r="K36" s="8"/>
      <c r="L36" s="8"/>
      <c r="M36" s="9"/>
      <c r="N36" s="289">
        <f>+'[1]Est.Merk.2020'!L36</f>
        <v>35140</v>
      </c>
      <c r="O36" s="289">
        <f>+J36-N36</f>
        <v>1784.5999999999985</v>
      </c>
      <c r="P36" s="289"/>
      <c r="Q36" s="8"/>
      <c r="R36" s="8"/>
    </row>
    <row r="37" spans="1:18" x14ac:dyDescent="0.25">
      <c r="A37" s="21" t="s">
        <v>64</v>
      </c>
      <c r="B37" s="3" t="s">
        <v>65</v>
      </c>
      <c r="C37" s="5" t="s">
        <v>63</v>
      </c>
      <c r="D37" s="537">
        <v>10504.670666666665</v>
      </c>
      <c r="E37" s="542">
        <v>7500</v>
      </c>
      <c r="F37" s="545"/>
      <c r="G37" s="545"/>
      <c r="H37" s="547"/>
      <c r="I37" s="547"/>
      <c r="J37" s="552">
        <f t="shared" ref="J37:J42" si="4">SUM(D37:E37)/2</f>
        <v>9002.3353333333325</v>
      </c>
      <c r="K37" s="8"/>
      <c r="L37" s="8"/>
      <c r="M37" s="9"/>
      <c r="N37" s="289">
        <f>+'[1]Est.Merk.2020'!L37</f>
        <v>17503</v>
      </c>
      <c r="O37" s="289">
        <f t="shared" si="2"/>
        <v>-8500.6646666666675</v>
      </c>
      <c r="P37" s="289"/>
      <c r="Q37" s="8"/>
      <c r="R37" s="8"/>
    </row>
    <row r="38" spans="1:18" x14ac:dyDescent="0.25">
      <c r="A38" s="21" t="s">
        <v>64</v>
      </c>
      <c r="B38" s="3" t="s">
        <v>66</v>
      </c>
      <c r="C38" s="5" t="s">
        <v>67</v>
      </c>
      <c r="D38" s="537">
        <v>8858.9146666666675</v>
      </c>
      <c r="E38" s="541">
        <v>6991</v>
      </c>
      <c r="F38" s="545"/>
      <c r="G38" s="545"/>
      <c r="H38" s="547"/>
      <c r="I38" s="547"/>
      <c r="J38" s="552">
        <f t="shared" si="4"/>
        <v>7924.9573333333337</v>
      </c>
      <c r="K38" s="8"/>
      <c r="L38" s="8"/>
      <c r="M38" s="9"/>
      <c r="N38" s="289">
        <f>+'[1]Est.Merk.2020'!L38</f>
        <v>7874</v>
      </c>
      <c r="O38" s="289">
        <f t="shared" si="2"/>
        <v>50.957333333333736</v>
      </c>
      <c r="P38" s="289"/>
      <c r="Q38" s="8"/>
      <c r="R38" s="8"/>
    </row>
    <row r="39" spans="1:18" x14ac:dyDescent="0.25">
      <c r="A39" s="21" t="s">
        <v>68</v>
      </c>
      <c r="B39" s="3" t="s">
        <v>69</v>
      </c>
      <c r="C39" s="5" t="s">
        <v>2</v>
      </c>
      <c r="D39" s="537">
        <v>596.77010666666672</v>
      </c>
      <c r="E39" s="541">
        <v>873</v>
      </c>
      <c r="F39" s="545"/>
      <c r="G39" s="545"/>
      <c r="H39" s="547"/>
      <c r="I39" s="547"/>
      <c r="J39" s="552">
        <f t="shared" si="4"/>
        <v>734.88505333333342</v>
      </c>
      <c r="K39" s="8"/>
      <c r="L39" s="8"/>
      <c r="M39" s="9"/>
      <c r="N39" s="289">
        <f>+'[1]Est.Merk.2020'!L39</f>
        <v>1336</v>
      </c>
      <c r="O39" s="289">
        <f t="shared" si="2"/>
        <v>-601.11494666666658</v>
      </c>
      <c r="P39" s="289"/>
      <c r="Q39" s="8"/>
      <c r="R39" s="8"/>
    </row>
    <row r="40" spans="1:18" x14ac:dyDescent="0.25">
      <c r="A40" s="21" t="s">
        <v>70</v>
      </c>
      <c r="B40" s="3" t="s">
        <v>71</v>
      </c>
      <c r="C40" s="5" t="s">
        <v>2</v>
      </c>
      <c r="D40" s="537">
        <v>4913.5239999999994</v>
      </c>
      <c r="E40" s="542">
        <v>10200</v>
      </c>
      <c r="F40" s="545"/>
      <c r="G40" s="545"/>
      <c r="H40" s="547"/>
      <c r="I40" s="547"/>
      <c r="J40" s="552">
        <f t="shared" si="4"/>
        <v>7556.7619999999997</v>
      </c>
      <c r="K40" s="8"/>
      <c r="L40" s="8"/>
      <c r="M40" s="9"/>
      <c r="N40" s="289">
        <f>+'[1]Est.Merk.2020'!L40</f>
        <v>10313</v>
      </c>
      <c r="O40" s="289">
        <f t="shared" si="2"/>
        <v>-2756.2380000000003</v>
      </c>
      <c r="P40" s="289"/>
      <c r="Q40" s="8"/>
      <c r="R40" s="8"/>
    </row>
    <row r="41" spans="1:18" x14ac:dyDescent="0.25">
      <c r="A41" s="21" t="s">
        <v>72</v>
      </c>
      <c r="B41" s="3" t="s">
        <v>73</v>
      </c>
      <c r="C41" s="5" t="s">
        <v>2</v>
      </c>
      <c r="D41" s="537">
        <v>31588</v>
      </c>
      <c r="E41" s="541">
        <v>38740</v>
      </c>
      <c r="F41" s="545"/>
      <c r="G41" s="545"/>
      <c r="H41" s="547"/>
      <c r="I41" s="547"/>
      <c r="J41" s="552">
        <f t="shared" si="4"/>
        <v>35164</v>
      </c>
      <c r="K41" s="8"/>
      <c r="L41" s="8"/>
      <c r="M41" s="9"/>
      <c r="N41" s="289">
        <f>+'[1]Est.Merk.2020'!L41</f>
        <v>19806</v>
      </c>
      <c r="O41" s="289">
        <f t="shared" si="2"/>
        <v>15358</v>
      </c>
      <c r="P41" s="289"/>
      <c r="Q41" s="8"/>
      <c r="R41" s="8"/>
    </row>
    <row r="42" spans="1:18" x14ac:dyDescent="0.25">
      <c r="A42" s="21" t="s">
        <v>74</v>
      </c>
      <c r="B42" s="3" t="s">
        <v>75</v>
      </c>
      <c r="C42" s="5" t="s">
        <v>2</v>
      </c>
      <c r="D42" s="537">
        <v>28090</v>
      </c>
      <c r="E42" s="541">
        <v>34450</v>
      </c>
      <c r="F42" s="545"/>
      <c r="G42" s="545"/>
      <c r="H42" s="547"/>
      <c r="I42" s="547"/>
      <c r="J42" s="552">
        <f t="shared" si="4"/>
        <v>31270</v>
      </c>
      <c r="K42" s="8"/>
      <c r="L42" s="8"/>
      <c r="M42" s="9"/>
      <c r="N42" s="289">
        <f>+'[1]Est.Merk.2020'!L42</f>
        <v>25044</v>
      </c>
      <c r="O42" s="289">
        <f t="shared" si="2"/>
        <v>6226</v>
      </c>
      <c r="P42" s="289"/>
      <c r="Q42" s="8"/>
      <c r="R42" s="8"/>
    </row>
    <row r="43" spans="1:18" x14ac:dyDescent="0.25">
      <c r="A43" s="625" t="s">
        <v>82</v>
      </c>
      <c r="B43" s="626"/>
      <c r="C43" s="626"/>
      <c r="D43" s="626"/>
      <c r="E43" s="626"/>
      <c r="F43" s="626"/>
      <c r="G43" s="626"/>
      <c r="H43" s="626"/>
      <c r="I43" s="626"/>
      <c r="J43" s="627"/>
      <c r="K43" s="8"/>
      <c r="L43" s="8"/>
      <c r="M43" s="9"/>
      <c r="N43" s="8"/>
      <c r="O43" s="8"/>
      <c r="P43" s="289"/>
      <c r="Q43" s="8"/>
      <c r="R43" s="8"/>
    </row>
    <row r="44" spans="1:18" ht="27.75" customHeight="1" x14ac:dyDescent="0.25">
      <c r="A44" s="20" t="s">
        <v>54</v>
      </c>
      <c r="B44" s="2" t="s">
        <v>55</v>
      </c>
      <c r="C44" s="4" t="s">
        <v>2</v>
      </c>
      <c r="D44" s="538">
        <v>30210</v>
      </c>
      <c r="E44" s="544">
        <v>37000</v>
      </c>
      <c r="F44" s="545"/>
      <c r="G44" s="545"/>
      <c r="H44" s="547"/>
      <c r="I44" s="547"/>
      <c r="J44" s="552">
        <f>SUM(D44:E44)/2</f>
        <v>33605</v>
      </c>
      <c r="K44" s="8"/>
      <c r="L44" s="8"/>
      <c r="M44" s="9"/>
      <c r="N44" s="289">
        <f>+'[1]Est.Merk.2020'!L44</f>
        <v>25228</v>
      </c>
      <c r="O44" s="289">
        <f t="shared" si="2"/>
        <v>8377</v>
      </c>
      <c r="P44" s="289"/>
      <c r="Q44" s="8"/>
      <c r="R44" s="8"/>
    </row>
    <row r="45" spans="1:18" ht="30.75" customHeight="1" thickBot="1" x14ac:dyDescent="0.3">
      <c r="A45" s="20" t="s">
        <v>56</v>
      </c>
      <c r="B45" s="2" t="s">
        <v>57</v>
      </c>
      <c r="C45" s="4" t="s">
        <v>2</v>
      </c>
      <c r="D45" s="538">
        <v>20034</v>
      </c>
      <c r="E45" s="544">
        <v>24500</v>
      </c>
      <c r="F45" s="545"/>
      <c r="G45" s="545"/>
      <c r="H45" s="547"/>
      <c r="I45" s="547"/>
      <c r="J45" s="552">
        <f>SUM(D45:G45)/2</f>
        <v>22267</v>
      </c>
      <c r="K45" s="8"/>
      <c r="L45" s="8"/>
      <c r="M45" s="9"/>
      <c r="N45" s="289">
        <f>+'[1]Est.Merk.2020'!L45</f>
        <v>14280</v>
      </c>
      <c r="O45" s="289">
        <f t="shared" si="2"/>
        <v>7987</v>
      </c>
      <c r="P45" s="289"/>
      <c r="Q45" s="8"/>
      <c r="R45" s="8"/>
    </row>
    <row r="46" spans="1:18" ht="15.75" thickBot="1" x14ac:dyDescent="0.3">
      <c r="A46" s="621" t="s">
        <v>81</v>
      </c>
      <c r="B46" s="622"/>
      <c r="C46" s="622"/>
      <c r="D46" s="622"/>
      <c r="E46" s="622"/>
      <c r="F46" s="622"/>
      <c r="G46" s="622"/>
      <c r="H46" s="623"/>
      <c r="I46" s="623"/>
      <c r="J46" s="624"/>
      <c r="K46" s="12"/>
      <c r="L46" s="8"/>
      <c r="M46" s="8"/>
      <c r="N46" s="9"/>
      <c r="O46" s="9"/>
      <c r="P46" s="8"/>
      <c r="Q46" s="8"/>
      <c r="R46" s="8"/>
    </row>
    <row r="47" spans="1:18" ht="45.75" thickBot="1" x14ac:dyDescent="0.3">
      <c r="A47" s="614" t="s">
        <v>0</v>
      </c>
      <c r="B47" s="615"/>
      <c r="C47" s="23" t="s">
        <v>78</v>
      </c>
      <c r="D47" s="284" t="s">
        <v>436</v>
      </c>
      <c r="E47" s="284" t="s">
        <v>448</v>
      </c>
      <c r="F47" s="284" t="s">
        <v>439</v>
      </c>
      <c r="G47" s="284" t="s">
        <v>440</v>
      </c>
      <c r="H47" s="561"/>
      <c r="I47" s="561"/>
      <c r="J47" s="561" t="s">
        <v>76</v>
      </c>
      <c r="K47" s="13"/>
      <c r="L47" s="8"/>
      <c r="M47" s="8"/>
      <c r="N47" s="9"/>
      <c r="O47" s="9"/>
      <c r="P47" s="8"/>
      <c r="Q47" s="8"/>
      <c r="R47" s="8"/>
    </row>
    <row r="48" spans="1:18" ht="71.25" customHeight="1" thickBot="1" x14ac:dyDescent="0.3">
      <c r="A48" s="26" t="s">
        <v>58</v>
      </c>
      <c r="B48" s="539" t="s">
        <v>449</v>
      </c>
      <c r="C48" s="22" t="s">
        <v>2</v>
      </c>
      <c r="D48" s="538">
        <v>6253.3333333333003</v>
      </c>
      <c r="E48" s="538"/>
      <c r="F48" s="458">
        <v>6000</v>
      </c>
      <c r="G48" s="458">
        <v>5200</v>
      </c>
      <c r="H48" s="549"/>
      <c r="I48" s="549"/>
      <c r="J48" s="552">
        <f>+SUM(D48:G48)/3</f>
        <v>5817.7777777777665</v>
      </c>
      <c r="K48" s="8"/>
      <c r="L48" s="8"/>
      <c r="M48" s="9"/>
      <c r="N48" s="289">
        <f>+'[1]Est.Merk.2020'!$L$50</f>
        <v>1343</v>
      </c>
      <c r="O48" s="289">
        <f>+J48-N48</f>
        <v>4474.7777777777665</v>
      </c>
      <c r="P48" s="8"/>
      <c r="Q48" s="8"/>
      <c r="R48" s="8"/>
    </row>
    <row r="49" spans="1:18" ht="42" customHeight="1" thickBot="1" x14ac:dyDescent="0.3">
      <c r="A49" s="614" t="s">
        <v>0</v>
      </c>
      <c r="B49" s="615"/>
      <c r="C49" s="23" t="s">
        <v>78</v>
      </c>
      <c r="D49" s="284" t="s">
        <v>446</v>
      </c>
      <c r="E49" s="284" t="s">
        <v>447</v>
      </c>
      <c r="F49" s="284"/>
      <c r="G49" s="284"/>
      <c r="H49" s="548"/>
      <c r="I49" s="548"/>
      <c r="J49" s="548" t="s">
        <v>76</v>
      </c>
      <c r="K49" s="8"/>
      <c r="L49" s="8"/>
      <c r="M49" s="9"/>
      <c r="N49" s="289"/>
      <c r="O49" s="289"/>
      <c r="P49" s="8"/>
      <c r="Q49" s="8"/>
      <c r="R49" s="8"/>
    </row>
    <row r="50" spans="1:18" ht="49.5" customHeight="1" x14ac:dyDescent="0.25">
      <c r="A50" s="25" t="s">
        <v>444</v>
      </c>
      <c r="B50" s="539" t="s">
        <v>445</v>
      </c>
      <c r="C50" s="5" t="s">
        <v>2</v>
      </c>
      <c r="D50" s="538">
        <v>13000</v>
      </c>
      <c r="E50" s="538">
        <v>13500</v>
      </c>
      <c r="F50" s="458"/>
      <c r="G50" s="458"/>
      <c r="H50" s="549"/>
      <c r="I50" s="549"/>
      <c r="J50" s="552">
        <f>+SUM(D50:E50)/2</f>
        <v>13250</v>
      </c>
      <c r="K50" s="9" t="s">
        <v>314</v>
      </c>
      <c r="L50" s="10"/>
      <c r="M50" s="11"/>
      <c r="N50" s="289">
        <f>+'[1]Est.Merk.2020'!$L$52</f>
        <v>6000</v>
      </c>
      <c r="O50" s="289">
        <f>+J50-N50</f>
        <v>7250</v>
      </c>
      <c r="P50" s="8"/>
      <c r="Q50" s="8"/>
      <c r="R50" s="8"/>
    </row>
    <row r="51" spans="1:18" x14ac:dyDescent="0.25">
      <c r="A51" s="25"/>
      <c r="B51" s="539"/>
      <c r="C51" s="5"/>
      <c r="D51" s="538"/>
      <c r="E51" s="538"/>
      <c r="F51" s="458"/>
      <c r="G51" s="458"/>
      <c r="H51" s="549"/>
      <c r="I51" s="549"/>
      <c r="J51" s="552"/>
      <c r="K51" s="8"/>
      <c r="L51" s="9"/>
      <c r="M51" s="8"/>
      <c r="N51" s="289">
        <f>+'[1]Est.Merk.2020'!$L$49</f>
        <v>3927</v>
      </c>
      <c r="O51" s="289">
        <f>+J51-N51</f>
        <v>-3927</v>
      </c>
      <c r="P51" s="8"/>
      <c r="Q51" s="8"/>
      <c r="R51" s="8"/>
    </row>
    <row r="52" spans="1:18" x14ac:dyDescent="0.25">
      <c r="A52" s="25"/>
      <c r="B52" s="27"/>
      <c r="C52" s="5"/>
      <c r="D52" s="458"/>
      <c r="E52" s="458"/>
      <c r="F52" s="458"/>
      <c r="G52" s="458"/>
      <c r="H52" s="549"/>
      <c r="I52" s="549"/>
      <c r="J52" s="552"/>
      <c r="K52" s="8"/>
      <c r="L52" s="9"/>
      <c r="M52" s="8"/>
      <c r="N52" s="289" t="e">
        <f>+'[2]Est.Merk.2020'!L51</f>
        <v>#REF!</v>
      </c>
      <c r="O52" s="289" t="e">
        <f>+J52-N52</f>
        <v>#REF!</v>
      </c>
      <c r="P52" s="8"/>
      <c r="Q52" s="8"/>
      <c r="R52" s="8"/>
    </row>
    <row r="53" spans="1:18" x14ac:dyDescent="0.25">
      <c r="A53" s="25" t="s">
        <v>59</v>
      </c>
      <c r="B53" s="4" t="s">
        <v>60</v>
      </c>
      <c r="C53" s="4" t="s">
        <v>2</v>
      </c>
      <c r="D53" s="458">
        <v>15900</v>
      </c>
      <c r="E53" s="458"/>
      <c r="F53" s="458">
        <v>9500</v>
      </c>
      <c r="G53" s="458">
        <v>11200</v>
      </c>
      <c r="H53" s="549"/>
      <c r="I53" s="549"/>
      <c r="J53" s="552">
        <f>SUM(D53:G53)/3</f>
        <v>12200</v>
      </c>
      <c r="K53" s="8"/>
      <c r="L53" s="8"/>
      <c r="M53" s="9"/>
      <c r="N53" s="289">
        <f>+'[1]Est.Merk.2020'!$L$53</f>
        <v>12867</v>
      </c>
      <c r="O53" s="289">
        <f>+J53-N53</f>
        <v>-667</v>
      </c>
      <c r="P53" s="8"/>
      <c r="Q53" s="8"/>
      <c r="R53" s="8"/>
    </row>
    <row r="54" spans="1:18" x14ac:dyDescent="0.25">
      <c r="D54" s="360"/>
      <c r="E54" s="553"/>
      <c r="F54" s="554"/>
      <c r="G54" s="554"/>
      <c r="H54" s="554"/>
      <c r="I54" s="554"/>
      <c r="J54" s="360"/>
      <c r="K54" s="8"/>
      <c r="L54" s="8"/>
      <c r="M54" s="9"/>
      <c r="N54" s="289"/>
      <c r="O54" s="289"/>
      <c r="P54" s="8"/>
      <c r="Q54" s="8"/>
      <c r="R54" s="8"/>
    </row>
    <row r="55" spans="1:18" ht="15.75" thickBot="1" x14ac:dyDescent="0.3">
      <c r="D55" s="360"/>
      <c r="E55" s="553"/>
      <c r="F55" s="554"/>
      <c r="G55" s="554"/>
      <c r="H55" s="554"/>
      <c r="I55" s="554"/>
      <c r="J55" s="360"/>
      <c r="K55" s="8"/>
      <c r="L55" s="8"/>
      <c r="M55" s="9"/>
      <c r="N55" s="8"/>
      <c r="O55" s="8"/>
      <c r="P55" s="8"/>
      <c r="Q55" s="8"/>
      <c r="R55" s="8"/>
    </row>
    <row r="56" spans="1:18" ht="15.75" thickBot="1" x14ac:dyDescent="0.3">
      <c r="A56" s="29" t="s">
        <v>84</v>
      </c>
      <c r="B56" s="29" t="s">
        <v>85</v>
      </c>
      <c r="E56" s="553"/>
      <c r="F56" s="554"/>
      <c r="G56" s="554"/>
      <c r="H56" s="554"/>
      <c r="I56" s="554"/>
      <c r="J56" s="360"/>
      <c r="K56" s="8"/>
      <c r="L56" s="8"/>
      <c r="M56" s="9"/>
      <c r="N56" s="8"/>
      <c r="O56" s="8"/>
      <c r="P56" s="8"/>
      <c r="Q56" s="8"/>
      <c r="R56" s="8"/>
    </row>
    <row r="57" spans="1:18" ht="15.75" thickBot="1" x14ac:dyDescent="0.3">
      <c r="A57" s="30" t="s">
        <v>86</v>
      </c>
      <c r="B57" s="291">
        <v>1000000</v>
      </c>
      <c r="C57">
        <f>+'[3]LIUIDACION Wdor'!B2</f>
        <v>908526</v>
      </c>
      <c r="E57" s="553"/>
      <c r="F57" s="554"/>
      <c r="G57" s="554"/>
      <c r="H57" s="554"/>
      <c r="I57" s="554"/>
      <c r="J57" s="360"/>
      <c r="K57" s="8"/>
      <c r="L57" s="8"/>
      <c r="M57" s="9"/>
      <c r="N57" s="8"/>
      <c r="O57" s="8"/>
      <c r="P57" s="8"/>
      <c r="Q57" s="8"/>
      <c r="R57" s="8"/>
    </row>
    <row r="58" spans="1:18" ht="15.75" thickBot="1" x14ac:dyDescent="0.3">
      <c r="A58" s="31" t="s">
        <v>87</v>
      </c>
      <c r="B58" s="292">
        <v>117172</v>
      </c>
      <c r="C58">
        <f>+'[3]LIUIDACION Wdor'!B3</f>
        <v>106454</v>
      </c>
      <c r="E58" s="553"/>
      <c r="F58" s="554"/>
      <c r="G58" s="554"/>
      <c r="H58" s="554"/>
      <c r="I58" s="554"/>
      <c r="J58" s="360"/>
      <c r="K58" s="8"/>
      <c r="L58" s="8"/>
      <c r="M58" s="9"/>
      <c r="N58" s="8"/>
      <c r="O58" s="8"/>
      <c r="P58" s="8"/>
      <c r="Q58" s="8"/>
      <c r="R58" s="8"/>
    </row>
    <row r="59" spans="1:18" ht="15.75" thickBot="1" x14ac:dyDescent="0.3">
      <c r="A59" s="31" t="s">
        <v>88</v>
      </c>
      <c r="B59" s="36">
        <f>+B57+B58</f>
        <v>1117172</v>
      </c>
      <c r="C59" s="36">
        <f>+C57+C58</f>
        <v>1014980</v>
      </c>
      <c r="E59" s="553"/>
      <c r="F59" s="554"/>
      <c r="G59" s="554"/>
      <c r="H59" s="554"/>
      <c r="I59" s="554"/>
      <c r="J59" s="360"/>
      <c r="K59" s="8"/>
      <c r="L59" s="8"/>
      <c r="M59" s="9"/>
      <c r="N59" s="8"/>
      <c r="O59" s="8"/>
      <c r="P59" s="8"/>
      <c r="Q59" s="8"/>
      <c r="R59" s="8"/>
    </row>
    <row r="60" spans="1:18" x14ac:dyDescent="0.25">
      <c r="A60" s="31" t="s">
        <v>89</v>
      </c>
      <c r="B60" s="34">
        <f>+B57*8.5%</f>
        <v>85000</v>
      </c>
      <c r="C60">
        <f>+'[3]LIUIDACION Wdor'!B5</f>
        <v>77225</v>
      </c>
      <c r="E60" s="553"/>
      <c r="F60" s="554"/>
      <c r="G60" s="554"/>
      <c r="H60" s="554"/>
      <c r="I60" s="554"/>
      <c r="J60" s="360"/>
      <c r="K60" s="8"/>
      <c r="L60" s="8"/>
      <c r="M60" s="9"/>
      <c r="N60" s="8"/>
      <c r="O60" s="8"/>
      <c r="P60" s="8"/>
      <c r="Q60" s="8"/>
      <c r="R60" s="8"/>
    </row>
    <row r="61" spans="1:18" x14ac:dyDescent="0.25">
      <c r="A61" s="31" t="s">
        <v>90</v>
      </c>
      <c r="B61" s="37">
        <f>+B57*8%</f>
        <v>80000</v>
      </c>
      <c r="C61">
        <f>+'[3]LIUIDACION Wdor'!B6</f>
        <v>72682</v>
      </c>
      <c r="D61" t="s">
        <v>319</v>
      </c>
      <c r="E61" s="360"/>
      <c r="F61" s="554"/>
      <c r="G61" s="554"/>
      <c r="H61" s="554"/>
      <c r="I61" s="554"/>
      <c r="J61" s="360"/>
      <c r="K61" s="8"/>
      <c r="L61" s="8"/>
      <c r="M61" s="9"/>
      <c r="N61" s="8"/>
      <c r="O61" s="8"/>
      <c r="P61" s="8"/>
      <c r="Q61" s="8"/>
      <c r="R61" s="8"/>
    </row>
    <row r="62" spans="1:18" x14ac:dyDescent="0.25">
      <c r="A62" s="31" t="s">
        <v>91</v>
      </c>
      <c r="B62" s="37">
        <f>+B57*2.436%</f>
        <v>24360</v>
      </c>
      <c r="C62">
        <f>+'[3]LIUIDACION Wdor'!B7</f>
        <v>22132</v>
      </c>
      <c r="E62" s="360"/>
      <c r="F62" s="554"/>
      <c r="G62" s="554"/>
      <c r="H62" s="554"/>
      <c r="I62" s="554"/>
      <c r="J62" s="360"/>
      <c r="K62" s="8"/>
      <c r="L62" s="8"/>
      <c r="M62" s="9"/>
      <c r="N62" s="8"/>
      <c r="O62" s="8"/>
      <c r="P62" s="8"/>
      <c r="Q62" s="8"/>
      <c r="R62" s="8"/>
    </row>
    <row r="63" spans="1:18" ht="15.75" thickBot="1" x14ac:dyDescent="0.3">
      <c r="A63" s="31" t="s">
        <v>92</v>
      </c>
      <c r="B63" s="35">
        <f>+B57*9%</f>
        <v>90000</v>
      </c>
      <c r="C63">
        <f>+'[3]LIUIDACION Wdor'!B8</f>
        <v>81767</v>
      </c>
      <c r="E63" s="360"/>
      <c r="F63" s="554"/>
      <c r="G63" s="554"/>
      <c r="H63" s="554"/>
      <c r="I63" s="554"/>
      <c r="J63" s="360"/>
      <c r="K63" s="8"/>
      <c r="L63" s="8"/>
      <c r="M63" s="9"/>
      <c r="N63" s="8"/>
      <c r="O63" s="8"/>
      <c r="P63" s="8"/>
      <c r="Q63" s="8"/>
      <c r="R63" s="8"/>
    </row>
    <row r="64" spans="1:18" ht="15.75" thickBot="1" x14ac:dyDescent="0.3">
      <c r="A64" s="32"/>
      <c r="B64" s="38">
        <f>SUM(B59:B63)</f>
        <v>1396532</v>
      </c>
      <c r="C64" s="38">
        <f>SUM(C59:C63)</f>
        <v>1268786</v>
      </c>
      <c r="E64" s="360"/>
      <c r="F64" s="554"/>
      <c r="G64" s="554"/>
      <c r="H64" s="554"/>
      <c r="I64" s="554"/>
      <c r="J64" s="360"/>
    </row>
    <row r="65" spans="1:10" x14ac:dyDescent="0.25">
      <c r="A65" s="31" t="s">
        <v>93</v>
      </c>
      <c r="B65" s="34"/>
      <c r="E65" s="360"/>
      <c r="F65" s="554"/>
      <c r="G65" s="554"/>
      <c r="H65" s="554"/>
      <c r="I65" s="554"/>
      <c r="J65" s="360"/>
    </row>
    <row r="66" spans="1:10" x14ac:dyDescent="0.25">
      <c r="A66" s="31" t="s">
        <v>94</v>
      </c>
      <c r="B66" s="37">
        <f>+B59*8.3333%</f>
        <v>93097.294275999986</v>
      </c>
      <c r="C66">
        <f>+'[3]LIUIDACION Wdor'!B11</f>
        <v>84581</v>
      </c>
      <c r="E66" s="360"/>
      <c r="F66" s="554"/>
      <c r="G66" s="554"/>
      <c r="H66" s="554"/>
      <c r="I66" s="554"/>
      <c r="J66" s="360"/>
    </row>
    <row r="67" spans="1:10" x14ac:dyDescent="0.25">
      <c r="A67" s="31" t="s">
        <v>95</v>
      </c>
      <c r="B67" s="37">
        <f>+B59*8.3333%</f>
        <v>93097.294275999986</v>
      </c>
      <c r="C67">
        <f>+'[3]LIUIDACION Wdor'!B12</f>
        <v>84581</v>
      </c>
      <c r="E67" s="360"/>
      <c r="F67" s="554"/>
      <c r="G67" s="554"/>
      <c r="H67" s="554"/>
      <c r="I67" s="554"/>
      <c r="J67" s="360"/>
    </row>
    <row r="68" spans="1:10" x14ac:dyDescent="0.25">
      <c r="A68" s="31" t="s">
        <v>96</v>
      </c>
      <c r="B68" s="296">
        <f>+((B67*30)*0.12/360)*12</f>
        <v>11171.675313119998</v>
      </c>
      <c r="C68" s="297">
        <f>+'[3]LIUIDACION Wdor'!B13</f>
        <v>10150</v>
      </c>
      <c r="E68" s="360"/>
      <c r="F68" s="554"/>
      <c r="G68" s="554"/>
      <c r="H68" s="554"/>
      <c r="I68" s="554"/>
      <c r="J68" s="360"/>
    </row>
    <row r="69" spans="1:10" ht="15.75" thickBot="1" x14ac:dyDescent="0.3">
      <c r="A69" s="31" t="s">
        <v>97</v>
      </c>
      <c r="B69" s="35">
        <f>+B57*4.17%</f>
        <v>41700</v>
      </c>
      <c r="C69">
        <f>+'[3]LIUIDACION Wdor'!B14</f>
        <v>37886</v>
      </c>
      <c r="E69" s="360"/>
      <c r="F69" s="554"/>
      <c r="G69" s="554"/>
      <c r="H69" s="554"/>
      <c r="I69" s="554"/>
      <c r="J69" s="360"/>
    </row>
    <row r="70" spans="1:10" ht="15.75" thickBot="1" x14ac:dyDescent="0.3">
      <c r="A70" s="31" t="s">
        <v>98</v>
      </c>
      <c r="B70" s="38">
        <f>SUM(B66:B69)</f>
        <v>239066.26386511998</v>
      </c>
      <c r="C70">
        <f>SUM(C66:C69)</f>
        <v>217198</v>
      </c>
      <c r="E70" s="555"/>
      <c r="F70" s="554"/>
      <c r="G70" s="554"/>
      <c r="H70" s="554"/>
      <c r="I70" s="554"/>
      <c r="J70" s="360"/>
    </row>
    <row r="71" spans="1:10" ht="15.75" thickBot="1" x14ac:dyDescent="0.3">
      <c r="A71" s="31" t="s">
        <v>99</v>
      </c>
      <c r="B71" s="38">
        <f>+B64+B70</f>
        <v>1635598.26386512</v>
      </c>
      <c r="C71" s="38">
        <f>+C64+C70</f>
        <v>1485984</v>
      </c>
      <c r="E71" s="360"/>
      <c r="F71" s="554"/>
      <c r="G71" s="554"/>
      <c r="H71" s="554"/>
      <c r="I71" s="554"/>
      <c r="J71" s="360"/>
    </row>
    <row r="72" spans="1:10" x14ac:dyDescent="0.25">
      <c r="A72" s="31" t="s">
        <v>100</v>
      </c>
      <c r="B72" s="34">
        <f>+B64/30</f>
        <v>46551.066666666666</v>
      </c>
      <c r="E72" s="360"/>
      <c r="F72" s="554"/>
      <c r="G72" s="554"/>
      <c r="H72" s="554"/>
      <c r="I72" s="554"/>
      <c r="J72" s="360"/>
    </row>
    <row r="73" spans="1:10" ht="15.75" thickBot="1" x14ac:dyDescent="0.3">
      <c r="A73" s="33" t="s">
        <v>101</v>
      </c>
      <c r="B73" s="39">
        <f>ROUND(B71/30,0)</f>
        <v>54520</v>
      </c>
      <c r="E73" s="555"/>
      <c r="F73" s="554"/>
      <c r="G73" s="554"/>
      <c r="H73" s="554"/>
      <c r="I73" s="554"/>
      <c r="J73" s="360"/>
    </row>
    <row r="74" spans="1:10" x14ac:dyDescent="0.25">
      <c r="E74" s="553"/>
      <c r="F74" s="554"/>
      <c r="G74" s="554"/>
      <c r="H74" s="554"/>
      <c r="I74" s="554"/>
      <c r="J74" s="360"/>
    </row>
    <row r="75" spans="1:10" x14ac:dyDescent="0.25">
      <c r="E75" s="553"/>
      <c r="F75" s="554"/>
      <c r="G75" s="554"/>
      <c r="H75" s="554"/>
      <c r="I75" s="554"/>
      <c r="J75" s="360"/>
    </row>
    <row r="76" spans="1:10" ht="15.75" thickBot="1" x14ac:dyDescent="0.3">
      <c r="A76" s="625" t="s">
        <v>336</v>
      </c>
      <c r="B76" s="626"/>
      <c r="C76" s="626"/>
      <c r="D76" s="626"/>
      <c r="E76" s="626"/>
      <c r="F76" s="626"/>
      <c r="G76" s="626"/>
      <c r="H76" s="626"/>
      <c r="I76" s="626"/>
      <c r="J76" s="627"/>
    </row>
    <row r="77" spans="1:10" ht="45.75" thickBot="1" x14ac:dyDescent="0.3">
      <c r="A77" s="614" t="s">
        <v>0</v>
      </c>
      <c r="B77" s="615"/>
      <c r="C77" s="23" t="s">
        <v>78</v>
      </c>
      <c r="D77" s="284" t="s">
        <v>436</v>
      </c>
      <c r="E77" s="24" t="s">
        <v>341</v>
      </c>
      <c r="F77" s="528" t="s">
        <v>342</v>
      </c>
      <c r="G77" s="528" t="s">
        <v>342</v>
      </c>
      <c r="H77" s="528"/>
      <c r="I77" s="528"/>
      <c r="J77" s="529" t="s">
        <v>76</v>
      </c>
    </row>
    <row r="78" spans="1:10" ht="45" customHeight="1" x14ac:dyDescent="0.25">
      <c r="A78" s="20" t="s">
        <v>337</v>
      </c>
      <c r="B78" s="540" t="s">
        <v>437</v>
      </c>
      <c r="C78" s="4" t="s">
        <v>2</v>
      </c>
      <c r="D78" s="28">
        <v>3180000</v>
      </c>
      <c r="E78" s="28">
        <v>7800000</v>
      </c>
      <c r="F78" s="523">
        <v>0</v>
      </c>
      <c r="G78" s="523"/>
      <c r="H78" s="550"/>
      <c r="I78" s="550"/>
      <c r="J78" s="524">
        <f>SUM(D78:G78)/2</f>
        <v>5490000</v>
      </c>
    </row>
    <row r="79" spans="1:10" ht="26.25" x14ac:dyDescent="0.25">
      <c r="A79" s="20" t="s">
        <v>338</v>
      </c>
      <c r="B79" s="2" t="s">
        <v>57</v>
      </c>
      <c r="C79" s="4" t="s">
        <v>2</v>
      </c>
      <c r="D79" s="28"/>
      <c r="E79" s="28"/>
      <c r="F79" s="523">
        <v>0</v>
      </c>
      <c r="G79" s="523"/>
      <c r="H79" s="550"/>
      <c r="I79" s="550"/>
      <c r="J79" s="524">
        <f>SUM(D79:G79)/2</f>
        <v>0</v>
      </c>
    </row>
    <row r="80" spans="1:10" ht="26.25" x14ac:dyDescent="0.25">
      <c r="A80" s="20" t="s">
        <v>339</v>
      </c>
      <c r="B80" s="2" t="s">
        <v>57</v>
      </c>
      <c r="C80" s="4" t="s">
        <v>2</v>
      </c>
      <c r="D80" s="28"/>
      <c r="E80" s="28"/>
      <c r="F80" s="523">
        <v>0</v>
      </c>
      <c r="G80" s="523"/>
      <c r="H80" s="550"/>
      <c r="I80" s="550"/>
      <c r="J80" s="524">
        <f>SUM(D80:G80)/2</f>
        <v>0</v>
      </c>
    </row>
    <row r="81" spans="1:10" ht="26.25" x14ac:dyDescent="0.25">
      <c r="A81" s="20" t="s">
        <v>340</v>
      </c>
      <c r="B81" s="2" t="s">
        <v>57</v>
      </c>
      <c r="C81" s="4" t="s">
        <v>2</v>
      </c>
      <c r="D81" s="28"/>
      <c r="E81" s="28"/>
      <c r="F81" s="523">
        <v>0</v>
      </c>
      <c r="G81" s="523"/>
      <c r="H81" s="550"/>
      <c r="I81" s="550"/>
      <c r="J81" s="524">
        <f>SUM(D81:G81)/2</f>
        <v>0</v>
      </c>
    </row>
    <row r="82" spans="1:10" ht="15.75" thickBot="1" x14ac:dyDescent="0.3">
      <c r="A82" s="625" t="s">
        <v>352</v>
      </c>
      <c r="B82" s="626"/>
      <c r="C82" s="626"/>
      <c r="D82" s="626"/>
      <c r="E82" s="626"/>
      <c r="F82" s="626"/>
      <c r="G82" s="626"/>
      <c r="H82" s="626"/>
      <c r="I82" s="626"/>
      <c r="J82" s="627"/>
    </row>
    <row r="83" spans="1:10" ht="45.75" thickBot="1" x14ac:dyDescent="0.3">
      <c r="A83" s="614" t="s">
        <v>0</v>
      </c>
      <c r="B83" s="615"/>
      <c r="C83" s="23" t="s">
        <v>78</v>
      </c>
      <c r="D83" s="24" t="s">
        <v>354</v>
      </c>
      <c r="E83" s="24" t="s">
        <v>353</v>
      </c>
      <c r="F83" s="24" t="s">
        <v>355</v>
      </c>
      <c r="G83" s="24" t="s">
        <v>342</v>
      </c>
      <c r="H83" s="24"/>
      <c r="I83" s="24"/>
      <c r="J83" s="529" t="s">
        <v>76</v>
      </c>
    </row>
    <row r="84" spans="1:10" ht="30" x14ac:dyDescent="0.25">
      <c r="A84" s="451" t="s">
        <v>343</v>
      </c>
      <c r="B84" s="451" t="s">
        <v>344</v>
      </c>
      <c r="C84" s="451" t="s">
        <v>335</v>
      </c>
      <c r="D84" s="28">
        <v>310000</v>
      </c>
      <c r="E84" s="28">
        <v>380000</v>
      </c>
      <c r="F84" s="556"/>
      <c r="G84" s="556"/>
      <c r="H84" s="556"/>
      <c r="I84" s="556"/>
      <c r="J84" s="525">
        <f>+(D84+E84+F84)/2</f>
        <v>345000</v>
      </c>
    </row>
    <row r="85" spans="1:10" ht="60" x14ac:dyDescent="0.25">
      <c r="A85" s="451" t="s">
        <v>345</v>
      </c>
      <c r="B85" s="451" t="s">
        <v>346</v>
      </c>
      <c r="C85" s="451" t="s">
        <v>351</v>
      </c>
      <c r="D85" s="28">
        <v>216000</v>
      </c>
      <c r="E85" s="28"/>
      <c r="F85" s="556">
        <v>165000</v>
      </c>
      <c r="G85" s="556"/>
      <c r="H85" s="556"/>
      <c r="I85" s="556"/>
      <c r="J85" s="525">
        <f>+(D85+E85+F85)/2</f>
        <v>190500</v>
      </c>
    </row>
    <row r="86" spans="1:10" ht="45" x14ac:dyDescent="0.25">
      <c r="A86" s="451" t="s">
        <v>347</v>
      </c>
      <c r="B86" s="451" t="s">
        <v>348</v>
      </c>
      <c r="C86" s="451" t="s">
        <v>351</v>
      </c>
      <c r="D86" s="28">
        <v>518400</v>
      </c>
      <c r="E86" s="28"/>
      <c r="F86" s="556">
        <v>315000</v>
      </c>
      <c r="G86" s="556"/>
      <c r="H86" s="556"/>
      <c r="I86" s="556"/>
      <c r="J86" s="525">
        <f>+(D86+E86+F86)/2</f>
        <v>416700</v>
      </c>
    </row>
    <row r="87" spans="1:10" ht="45" x14ac:dyDescent="0.25">
      <c r="A87" s="451" t="s">
        <v>349</v>
      </c>
      <c r="B87" s="451" t="s">
        <v>350</v>
      </c>
      <c r="C87" s="451" t="s">
        <v>351</v>
      </c>
      <c r="D87" s="28">
        <v>33300</v>
      </c>
      <c r="E87" s="28">
        <v>40000</v>
      </c>
      <c r="F87" s="556"/>
      <c r="G87" s="556"/>
      <c r="H87" s="556"/>
      <c r="I87" s="556"/>
      <c r="J87" s="525">
        <f>+(D87+E87+F87)/2</f>
        <v>36650</v>
      </c>
    </row>
    <row r="88" spans="1:10" x14ac:dyDescent="0.25">
      <c r="A88" s="628" t="s">
        <v>285</v>
      </c>
      <c r="B88" s="628"/>
      <c r="C88" s="452"/>
      <c r="D88" s="453">
        <f>+SUM(D84:D87)</f>
        <v>1077700</v>
      </c>
      <c r="E88" s="533">
        <f>+SUM(E84:F87)</f>
        <v>900000</v>
      </c>
      <c r="F88" s="534"/>
      <c r="G88" s="534"/>
      <c r="H88" s="551"/>
      <c r="I88" s="551"/>
      <c r="J88" s="535">
        <f>SUM(J84:J87)</f>
        <v>988850</v>
      </c>
    </row>
    <row r="89" spans="1:10" x14ac:dyDescent="0.25">
      <c r="E89" s="536">
        <f>+(E88+D88)/2</f>
        <v>988850</v>
      </c>
    </row>
  </sheetData>
  <mergeCells count="14">
    <mergeCell ref="A82:J82"/>
    <mergeCell ref="A83:B83"/>
    <mergeCell ref="A76:J76"/>
    <mergeCell ref="A77:B77"/>
    <mergeCell ref="A88:B88"/>
    <mergeCell ref="A49:B49"/>
    <mergeCell ref="N2:Q2"/>
    <mergeCell ref="A1:J1"/>
    <mergeCell ref="A46:J46"/>
    <mergeCell ref="A47:B47"/>
    <mergeCell ref="A3:J3"/>
    <mergeCell ref="A21:J21"/>
    <mergeCell ref="A43:J43"/>
    <mergeCell ref="A35:J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98"/>
  <sheetViews>
    <sheetView topLeftCell="A52" workbookViewId="0">
      <selection activeCell="G29" sqref="G29"/>
    </sheetView>
  </sheetViews>
  <sheetFormatPr baseColWidth="10" defaultRowHeight="15" x14ac:dyDescent="0.25"/>
  <cols>
    <col min="2" max="2" width="33.28515625" customWidth="1"/>
    <col min="3" max="3" width="17.7109375" customWidth="1"/>
    <col min="5" max="5" width="15.5703125" customWidth="1"/>
    <col min="6" max="6" width="13.85546875" bestFit="1" customWidth="1"/>
    <col min="7" max="7" width="16.85546875" customWidth="1"/>
    <col min="8" max="8" width="16.85546875" style="360" customWidth="1"/>
    <col min="9" max="9" width="15.140625" bestFit="1" customWidth="1"/>
  </cols>
  <sheetData>
    <row r="3" spans="2:8" x14ac:dyDescent="0.25">
      <c r="B3" s="644" t="s">
        <v>102</v>
      </c>
      <c r="C3" s="644"/>
      <c r="D3" s="644"/>
      <c r="E3" s="644"/>
      <c r="F3" s="644"/>
      <c r="G3" s="644"/>
      <c r="H3" s="240"/>
    </row>
    <row r="4" spans="2:8" x14ac:dyDescent="0.25">
      <c r="B4" s="40" t="s">
        <v>103</v>
      </c>
      <c r="C4" s="645" t="s">
        <v>104</v>
      </c>
      <c r="D4" s="645"/>
      <c r="E4" s="645"/>
      <c r="F4" s="645"/>
      <c r="G4" s="645"/>
      <c r="H4" s="241"/>
    </row>
    <row r="5" spans="2:8" x14ac:dyDescent="0.25">
      <c r="B5" s="40" t="s">
        <v>105</v>
      </c>
      <c r="C5" s="646" t="s">
        <v>106</v>
      </c>
      <c r="D5" s="646"/>
      <c r="E5" s="646"/>
      <c r="F5" s="646"/>
      <c r="G5" s="646"/>
      <c r="H5" s="240"/>
    </row>
    <row r="6" spans="2:8" ht="27" customHeight="1" x14ac:dyDescent="0.25">
      <c r="B6" s="40" t="s">
        <v>107</v>
      </c>
      <c r="C6" s="647" t="s">
        <v>458</v>
      </c>
      <c r="D6" s="647"/>
      <c r="E6" s="647"/>
      <c r="F6" s="647"/>
      <c r="G6" s="647"/>
      <c r="H6" s="242"/>
    </row>
    <row r="7" spans="2:8" x14ac:dyDescent="0.25">
      <c r="B7" s="41"/>
      <c r="C7" s="41"/>
      <c r="D7" s="41"/>
      <c r="E7" s="41"/>
      <c r="F7" s="41"/>
      <c r="G7" s="41"/>
      <c r="H7" s="243"/>
    </row>
    <row r="8" spans="2:8" x14ac:dyDescent="0.25">
      <c r="B8" s="42" t="s">
        <v>108</v>
      </c>
      <c r="C8" s="43" t="s">
        <v>109</v>
      </c>
      <c r="D8" s="41"/>
      <c r="E8" s="44" t="s">
        <v>110</v>
      </c>
      <c r="F8" s="41"/>
      <c r="G8" s="41"/>
      <c r="H8" s="243"/>
    </row>
    <row r="9" spans="2:8" x14ac:dyDescent="0.25">
      <c r="B9" s="45"/>
      <c r="C9" s="46"/>
      <c r="D9" s="46"/>
      <c r="E9" s="45"/>
      <c r="F9" s="45"/>
      <c r="G9" s="45"/>
      <c r="H9" s="46"/>
    </row>
    <row r="10" spans="2:8" x14ac:dyDescent="0.25">
      <c r="B10" s="47" t="str">
        <f>+[4]Establec.!B10</f>
        <v>1. Número de Plántulas Arboreas por Ha</v>
      </c>
      <c r="C10" s="48"/>
      <c r="D10" s="49">
        <v>800</v>
      </c>
      <c r="E10" s="50"/>
      <c r="F10" s="51"/>
      <c r="G10" s="557"/>
      <c r="H10" s="244"/>
    </row>
    <row r="11" spans="2:8" ht="15" customHeight="1" x14ac:dyDescent="0.25">
      <c r="B11" s="648" t="s">
        <v>443</v>
      </c>
      <c r="C11" s="649"/>
      <c r="D11" s="49">
        <v>400</v>
      </c>
      <c r="E11" s="50"/>
      <c r="F11" s="51"/>
      <c r="G11" s="53"/>
      <c r="H11" s="245"/>
    </row>
    <row r="12" spans="2:8" x14ac:dyDescent="0.25">
      <c r="B12" s="650" t="str">
        <f>+[4]Establec.!B12</f>
        <v>3. Porcentaje de reposición  %</v>
      </c>
      <c r="C12" s="651"/>
      <c r="D12" s="298">
        <v>0.1</v>
      </c>
      <c r="E12" s="50"/>
      <c r="F12" s="45"/>
      <c r="G12" s="45"/>
      <c r="H12" s="46"/>
    </row>
    <row r="13" spans="2:8" ht="22.5" x14ac:dyDescent="0.25">
      <c r="B13" s="47" t="s">
        <v>112</v>
      </c>
      <c r="C13" s="55" t="s">
        <v>1</v>
      </c>
      <c r="D13" s="56" t="s">
        <v>113</v>
      </c>
      <c r="E13" s="57" t="s">
        <v>114</v>
      </c>
      <c r="F13" s="45"/>
      <c r="G13" s="45"/>
      <c r="H13" s="46"/>
    </row>
    <row r="14" spans="2:8" ht="22.5" x14ac:dyDescent="0.25">
      <c r="B14" s="47" t="s">
        <v>115</v>
      </c>
      <c r="C14" s="58" t="s">
        <v>116</v>
      </c>
      <c r="D14" s="59">
        <v>50</v>
      </c>
      <c r="E14" s="60"/>
      <c r="F14" s="45"/>
      <c r="G14" s="45"/>
      <c r="H14" s="46"/>
    </row>
    <row r="15" spans="2:8" ht="22.5" x14ac:dyDescent="0.25">
      <c r="B15" s="47" t="s">
        <v>115</v>
      </c>
      <c r="C15" s="58" t="s">
        <v>117</v>
      </c>
      <c r="D15" s="59">
        <v>50</v>
      </c>
      <c r="E15" s="60"/>
      <c r="F15" s="45"/>
      <c r="G15" s="45"/>
      <c r="H15" s="46"/>
    </row>
    <row r="16" spans="2:8" x14ac:dyDescent="0.25">
      <c r="B16" s="47" t="s">
        <v>118</v>
      </c>
      <c r="C16" s="58" t="s">
        <v>10</v>
      </c>
      <c r="D16" s="59">
        <v>50</v>
      </c>
      <c r="E16" s="60"/>
      <c r="F16" s="45"/>
      <c r="G16" s="45"/>
      <c r="H16" s="46"/>
    </row>
    <row r="17" spans="2:8" x14ac:dyDescent="0.25">
      <c r="B17" s="47" t="s">
        <v>119</v>
      </c>
      <c r="C17" s="58" t="s">
        <v>4</v>
      </c>
      <c r="D17" s="59">
        <v>200</v>
      </c>
      <c r="E17" s="60"/>
      <c r="F17" s="45"/>
      <c r="G17" s="45"/>
      <c r="H17" s="46"/>
    </row>
    <row r="18" spans="2:8" x14ac:dyDescent="0.25">
      <c r="B18" s="47" t="s">
        <v>120</v>
      </c>
      <c r="C18" s="58" t="s">
        <v>121</v>
      </c>
      <c r="D18" s="59">
        <v>150</v>
      </c>
      <c r="E18" s="61"/>
      <c r="F18" s="45"/>
      <c r="G18" s="45"/>
      <c r="H18" s="46"/>
    </row>
    <row r="19" spans="2:8" x14ac:dyDescent="0.25">
      <c r="B19" s="47" t="s">
        <v>122</v>
      </c>
      <c r="C19" s="58" t="s">
        <v>12</v>
      </c>
      <c r="D19" s="59">
        <v>0.5</v>
      </c>
      <c r="E19" s="61"/>
      <c r="F19" s="45"/>
      <c r="G19" s="45"/>
      <c r="H19" s="46"/>
    </row>
    <row r="20" spans="2:8" x14ac:dyDescent="0.25">
      <c r="B20" s="47" t="s">
        <v>123</v>
      </c>
      <c r="C20" s="58" t="s">
        <v>124</v>
      </c>
      <c r="D20" s="59">
        <v>1</v>
      </c>
      <c r="E20" s="61"/>
      <c r="F20" s="45"/>
      <c r="G20" s="45"/>
      <c r="H20" s="46"/>
    </row>
    <row r="21" spans="2:8" x14ac:dyDescent="0.25">
      <c r="B21" s="47" t="s">
        <v>125</v>
      </c>
      <c r="C21" s="58" t="s">
        <v>307</v>
      </c>
      <c r="D21" s="59">
        <v>0.2</v>
      </c>
      <c r="E21" s="61"/>
      <c r="F21" s="45"/>
      <c r="G21" s="45"/>
      <c r="H21" s="46"/>
    </row>
    <row r="22" spans="2:8" x14ac:dyDescent="0.25">
      <c r="B22" s="47" t="s">
        <v>127</v>
      </c>
      <c r="C22" s="58" t="s">
        <v>306</v>
      </c>
      <c r="D22" s="59">
        <v>1</v>
      </c>
      <c r="E22" s="60"/>
      <c r="F22" s="45"/>
      <c r="G22" s="45"/>
      <c r="H22" s="46"/>
    </row>
    <row r="23" spans="2:8" x14ac:dyDescent="0.25">
      <c r="B23" s="47" t="s">
        <v>128</v>
      </c>
      <c r="C23" s="58" t="s">
        <v>18</v>
      </c>
      <c r="D23" s="59">
        <v>50</v>
      </c>
      <c r="E23" s="60"/>
      <c r="F23" s="45"/>
      <c r="G23" s="45"/>
      <c r="H23" s="46"/>
    </row>
    <row r="24" spans="2:8" x14ac:dyDescent="0.25">
      <c r="B24" s="47" t="s">
        <v>129</v>
      </c>
      <c r="C24" s="58" t="s">
        <v>19</v>
      </c>
      <c r="D24" s="59">
        <v>3</v>
      </c>
      <c r="E24" s="61"/>
      <c r="F24" s="45"/>
      <c r="G24" s="45"/>
      <c r="H24" s="46"/>
    </row>
    <row r="25" spans="2:8" ht="33.75" x14ac:dyDescent="0.25">
      <c r="B25" s="47" t="s">
        <v>130</v>
      </c>
      <c r="C25" s="58" t="s">
        <v>131</v>
      </c>
      <c r="D25" s="49" t="s">
        <v>132</v>
      </c>
      <c r="E25" s="60"/>
      <c r="F25" s="62"/>
      <c r="G25" s="45"/>
      <c r="H25" s="46"/>
    </row>
    <row r="26" spans="2:8" x14ac:dyDescent="0.25">
      <c r="B26" s="47" t="s">
        <v>133</v>
      </c>
      <c r="C26" s="58" t="s">
        <v>132</v>
      </c>
      <c r="D26" s="63">
        <v>4.9999871009084693E-2</v>
      </c>
      <c r="E26" s="64"/>
      <c r="F26" s="45"/>
      <c r="G26" s="45"/>
      <c r="H26" s="46"/>
    </row>
    <row r="27" spans="2:8" ht="22.5" x14ac:dyDescent="0.25">
      <c r="B27" s="47" t="s">
        <v>134</v>
      </c>
      <c r="C27" s="58" t="s">
        <v>132</v>
      </c>
      <c r="D27" s="63">
        <v>4.9999871009084693E-2</v>
      </c>
      <c r="E27" s="64"/>
      <c r="F27" s="45"/>
      <c r="G27" s="45"/>
      <c r="H27" s="46"/>
    </row>
    <row r="28" spans="2:8" ht="22.5" x14ac:dyDescent="0.25">
      <c r="B28" s="47" t="s">
        <v>135</v>
      </c>
      <c r="C28" s="58" t="s">
        <v>136</v>
      </c>
      <c r="D28" s="294">
        <v>35000</v>
      </c>
      <c r="E28" s="64"/>
      <c r="F28" s="45"/>
      <c r="G28" s="45"/>
      <c r="H28" s="46"/>
    </row>
    <row r="29" spans="2:8" ht="22.5" x14ac:dyDescent="0.25">
      <c r="B29" s="47" t="s">
        <v>137</v>
      </c>
      <c r="C29" s="58" t="s">
        <v>132</v>
      </c>
      <c r="D29" s="66">
        <v>0.15</v>
      </c>
      <c r="E29" s="64"/>
      <c r="F29" s="45"/>
      <c r="G29" s="45"/>
      <c r="H29" s="46"/>
    </row>
    <row r="30" spans="2:8" x14ac:dyDescent="0.25">
      <c r="B30" s="67"/>
      <c r="C30" s="68"/>
      <c r="D30" s="69"/>
      <c r="E30" s="70"/>
      <c r="F30" s="71"/>
      <c r="G30" s="72"/>
      <c r="H30" s="247"/>
    </row>
    <row r="31" spans="2:8" ht="15.75" thickBot="1" x14ac:dyDescent="0.3">
      <c r="B31" s="67"/>
      <c r="C31" s="68"/>
      <c r="D31" s="69"/>
      <c r="E31" s="70"/>
      <c r="F31" s="71"/>
      <c r="G31" s="72"/>
      <c r="H31" s="247"/>
    </row>
    <row r="32" spans="2:8" ht="26.25" customHeight="1" thickBot="1" x14ac:dyDescent="0.3">
      <c r="B32" s="652" t="s">
        <v>434</v>
      </c>
      <c r="C32" s="653"/>
      <c r="D32" s="653" t="s">
        <v>138</v>
      </c>
      <c r="E32" s="653"/>
      <c r="F32" s="654"/>
      <c r="G32" s="611">
        <v>12.5</v>
      </c>
      <c r="H32" s="248"/>
    </row>
    <row r="33" spans="2:8" x14ac:dyDescent="0.25">
      <c r="B33" s="74" t="s">
        <v>435</v>
      </c>
      <c r="C33" s="1"/>
      <c r="D33" s="1"/>
      <c r="E33" s="307"/>
      <c r="F33" s="319"/>
      <c r="G33" s="313"/>
      <c r="H33" s="249"/>
    </row>
    <row r="34" spans="2:8" x14ac:dyDescent="0.25">
      <c r="B34" s="76" t="s">
        <v>139</v>
      </c>
      <c r="C34" s="3"/>
      <c r="D34" s="3"/>
      <c r="E34" s="308"/>
      <c r="F34" s="320"/>
      <c r="G34" s="314"/>
      <c r="H34" s="249"/>
    </row>
    <row r="35" spans="2:8" ht="33.75" x14ac:dyDescent="0.25">
      <c r="B35" s="78" t="s">
        <v>140</v>
      </c>
      <c r="C35" s="79" t="s">
        <v>2</v>
      </c>
      <c r="D35" s="80" t="s">
        <v>141</v>
      </c>
      <c r="E35" s="309" t="s">
        <v>142</v>
      </c>
      <c r="F35" s="321" t="s">
        <v>143</v>
      </c>
      <c r="G35" s="315" t="s">
        <v>144</v>
      </c>
      <c r="H35" s="250"/>
    </row>
    <row r="36" spans="2:8" x14ac:dyDescent="0.25">
      <c r="B36" s="82" t="s">
        <v>145</v>
      </c>
      <c r="C36" s="83"/>
      <c r="D36" s="83"/>
      <c r="E36" s="310"/>
      <c r="F36" s="322"/>
      <c r="G36" s="316"/>
      <c r="H36" s="251"/>
    </row>
    <row r="37" spans="2:8" x14ac:dyDescent="0.25">
      <c r="B37" s="85" t="s">
        <v>146</v>
      </c>
      <c r="C37" s="655" t="s">
        <v>147</v>
      </c>
      <c r="D37" s="655"/>
      <c r="E37" s="311"/>
      <c r="F37" s="323"/>
      <c r="G37" s="317"/>
      <c r="H37" s="251"/>
    </row>
    <row r="38" spans="2:8" x14ac:dyDescent="0.25">
      <c r="B38" s="88" t="s">
        <v>148</v>
      </c>
      <c r="C38" s="89" t="s">
        <v>149</v>
      </c>
      <c r="D38" s="90">
        <v>10000</v>
      </c>
      <c r="E38" s="312"/>
      <c r="F38" s="324">
        <f>+D38*E38</f>
        <v>0</v>
      </c>
      <c r="G38" s="318">
        <f>+F38*$G$32</f>
        <v>0</v>
      </c>
      <c r="H38" s="252"/>
    </row>
    <row r="39" spans="2:8" x14ac:dyDescent="0.25">
      <c r="B39" s="88" t="s">
        <v>150</v>
      </c>
      <c r="C39" s="89" t="s">
        <v>59</v>
      </c>
      <c r="D39" s="90">
        <f>+$D$10+$D$11</f>
        <v>1200</v>
      </c>
      <c r="E39" s="312"/>
      <c r="F39" s="324">
        <f t="shared" ref="F39:F49" si="0">+D39*E39</f>
        <v>0</v>
      </c>
      <c r="G39" s="318">
        <f>+F39*$G$32</f>
        <v>0</v>
      </c>
      <c r="H39" s="252"/>
    </row>
    <row r="40" spans="2:8" x14ac:dyDescent="0.25">
      <c r="B40" s="93" t="s">
        <v>151</v>
      </c>
      <c r="C40" s="89" t="s">
        <v>152</v>
      </c>
      <c r="D40" s="90">
        <f>+$D$10+$D$11</f>
        <v>1200</v>
      </c>
      <c r="E40" s="312"/>
      <c r="F40" s="324">
        <f t="shared" si="0"/>
        <v>0</v>
      </c>
      <c r="G40" s="318">
        <f t="shared" ref="G40:G49" si="1">+F40*$G$32</f>
        <v>0</v>
      </c>
      <c r="H40" s="252"/>
    </row>
    <row r="41" spans="2:8" x14ac:dyDescent="0.25">
      <c r="B41" s="93" t="s">
        <v>153</v>
      </c>
      <c r="C41" s="89" t="s">
        <v>59</v>
      </c>
      <c r="D41" s="90">
        <f>+$D$10+$D$11</f>
        <v>1200</v>
      </c>
      <c r="E41" s="312"/>
      <c r="F41" s="324">
        <f t="shared" si="0"/>
        <v>0</v>
      </c>
      <c r="G41" s="318">
        <f t="shared" si="1"/>
        <v>0</v>
      </c>
      <c r="H41" s="252"/>
    </row>
    <row r="42" spans="2:8" x14ac:dyDescent="0.25">
      <c r="B42" s="93" t="s">
        <v>154</v>
      </c>
      <c r="C42" s="89" t="s">
        <v>59</v>
      </c>
      <c r="D42" s="90">
        <f>+$D$10+$D$11</f>
        <v>1200</v>
      </c>
      <c r="E42" s="312"/>
      <c r="F42" s="324">
        <f>+D42*E42</f>
        <v>0</v>
      </c>
      <c r="G42" s="318">
        <f t="shared" si="1"/>
        <v>0</v>
      </c>
      <c r="H42" s="252"/>
    </row>
    <row r="43" spans="2:8" x14ac:dyDescent="0.25">
      <c r="B43" s="93" t="s">
        <v>155</v>
      </c>
      <c r="C43" s="89" t="s">
        <v>59</v>
      </c>
      <c r="D43" s="90">
        <f>+$D$10+$D$11</f>
        <v>1200</v>
      </c>
      <c r="E43" s="312"/>
      <c r="F43" s="324">
        <f>+D43*E43</f>
        <v>0</v>
      </c>
      <c r="G43" s="318">
        <f t="shared" si="1"/>
        <v>0</v>
      </c>
      <c r="H43" s="252"/>
    </row>
    <row r="44" spans="2:8" x14ac:dyDescent="0.25">
      <c r="B44" s="93" t="s">
        <v>156</v>
      </c>
      <c r="C44" s="89" t="s">
        <v>136</v>
      </c>
      <c r="D44" s="90">
        <f>+D90</f>
        <v>10</v>
      </c>
      <c r="E44" s="312"/>
      <c r="F44" s="324">
        <f>+D44*E44</f>
        <v>0</v>
      </c>
      <c r="G44" s="318">
        <f t="shared" si="1"/>
        <v>0</v>
      </c>
      <c r="H44" s="252"/>
    </row>
    <row r="45" spans="2:8" x14ac:dyDescent="0.25">
      <c r="B45" s="93" t="s">
        <v>157</v>
      </c>
      <c r="C45" s="89" t="s">
        <v>59</v>
      </c>
      <c r="D45" s="90">
        <f>+$D$10+$D$11</f>
        <v>1200</v>
      </c>
      <c r="E45" s="312"/>
      <c r="F45" s="324">
        <f t="shared" si="0"/>
        <v>0</v>
      </c>
      <c r="G45" s="318">
        <f t="shared" si="1"/>
        <v>0</v>
      </c>
      <c r="H45" s="252"/>
    </row>
    <row r="46" spans="2:8" x14ac:dyDescent="0.25">
      <c r="B46" s="93" t="s">
        <v>158</v>
      </c>
      <c r="C46" s="89" t="s">
        <v>59</v>
      </c>
      <c r="D46" s="90">
        <f>+$D$10+$D$11</f>
        <v>1200</v>
      </c>
      <c r="E46" s="312"/>
      <c r="F46" s="324">
        <f>+D46*E46</f>
        <v>0</v>
      </c>
      <c r="G46" s="318">
        <f t="shared" si="1"/>
        <v>0</v>
      </c>
      <c r="H46" s="252"/>
    </row>
    <row r="47" spans="2:8" x14ac:dyDescent="0.25">
      <c r="B47" s="93" t="s">
        <v>159</v>
      </c>
      <c r="C47" s="89" t="s">
        <v>59</v>
      </c>
      <c r="D47" s="90">
        <f>+($D$10+$D$11)*D12</f>
        <v>120</v>
      </c>
      <c r="E47" s="312"/>
      <c r="F47" s="324">
        <f>+D47*E47</f>
        <v>0</v>
      </c>
      <c r="G47" s="318">
        <f t="shared" si="1"/>
        <v>0</v>
      </c>
      <c r="H47" s="252"/>
    </row>
    <row r="48" spans="2:8" x14ac:dyDescent="0.25">
      <c r="B48" s="94" t="s">
        <v>160</v>
      </c>
      <c r="C48" s="89" t="s">
        <v>149</v>
      </c>
      <c r="D48" s="90">
        <v>10000</v>
      </c>
      <c r="E48" s="312"/>
      <c r="F48" s="324">
        <f>+D48*E48</f>
        <v>0</v>
      </c>
      <c r="G48" s="318">
        <f t="shared" si="1"/>
        <v>0</v>
      </c>
      <c r="H48" s="252"/>
    </row>
    <row r="49" spans="2:8" ht="15.75" thickBot="1" x14ac:dyDescent="0.3">
      <c r="B49" s="326" t="s">
        <v>161</v>
      </c>
      <c r="C49" s="327" t="s">
        <v>162</v>
      </c>
      <c r="D49" s="328">
        <v>167</v>
      </c>
      <c r="E49" s="329"/>
      <c r="F49" s="330">
        <f t="shared" si="0"/>
        <v>0</v>
      </c>
      <c r="G49" s="331">
        <f t="shared" si="1"/>
        <v>0</v>
      </c>
      <c r="H49" s="252"/>
    </row>
    <row r="50" spans="2:8" ht="15.75" thickBot="1" x14ac:dyDescent="0.3">
      <c r="B50" s="333" t="s">
        <v>163</v>
      </c>
      <c r="C50" s="334"/>
      <c r="D50" s="335"/>
      <c r="E50" s="336"/>
      <c r="F50" s="337">
        <f>+SUM(F38:F49)</f>
        <v>0</v>
      </c>
      <c r="G50" s="338">
        <f>+SUM(G38:G49)</f>
        <v>0</v>
      </c>
      <c r="H50" s="253"/>
    </row>
    <row r="51" spans="2:8" ht="15.75" thickBot="1" x14ac:dyDescent="0.3">
      <c r="B51" s="656" t="s">
        <v>164</v>
      </c>
      <c r="C51" s="657"/>
      <c r="D51" s="657"/>
      <c r="E51" s="657"/>
      <c r="F51" s="658"/>
      <c r="G51" s="332"/>
      <c r="H51" s="252"/>
    </row>
    <row r="52" spans="2:8" ht="15.75" thickBot="1" x14ac:dyDescent="0.3">
      <c r="B52" s="93" t="s">
        <v>165</v>
      </c>
      <c r="C52" s="89" t="s">
        <v>166</v>
      </c>
      <c r="D52" s="90">
        <f>+D10*(1+D12)</f>
        <v>880.00000000000011</v>
      </c>
      <c r="E52" s="312"/>
      <c r="F52" s="325">
        <f t="shared" ref="F52:F60" si="2">+D52*E52</f>
        <v>0</v>
      </c>
      <c r="G52" s="318">
        <f>+F52*$G$32</f>
        <v>0</v>
      </c>
    </row>
    <row r="53" spans="2:8" x14ac:dyDescent="0.25">
      <c r="B53" s="93" t="s">
        <v>165</v>
      </c>
      <c r="C53" s="89" t="s">
        <v>166</v>
      </c>
      <c r="D53" s="90">
        <f>+D11*(1+D12)</f>
        <v>440.00000000000006</v>
      </c>
      <c r="E53" s="312"/>
      <c r="F53" s="325">
        <f t="shared" si="2"/>
        <v>0</v>
      </c>
      <c r="G53" s="318">
        <f>+F53*$G$32</f>
        <v>0</v>
      </c>
    </row>
    <row r="54" spans="2:8" x14ac:dyDescent="0.25">
      <c r="B54" s="93" t="s">
        <v>167</v>
      </c>
      <c r="C54" s="89" t="s">
        <v>168</v>
      </c>
      <c r="D54" s="457">
        <f>((($D$10*(1+$D$12))*D15)/1000)</f>
        <v>44.000000000000007</v>
      </c>
      <c r="E54" s="312"/>
      <c r="F54" s="324">
        <f t="shared" si="2"/>
        <v>0</v>
      </c>
      <c r="G54" s="318">
        <f t="shared" ref="G54:G60" si="3">+F54*$G$32</f>
        <v>0</v>
      </c>
      <c r="H54" s="252"/>
    </row>
    <row r="55" spans="2:8" ht="22.5" x14ac:dyDescent="0.25">
      <c r="B55" s="93" t="s">
        <v>169</v>
      </c>
      <c r="C55" s="89" t="s">
        <v>168</v>
      </c>
      <c r="D55" s="101">
        <f>((($D$10*(1+$D$12))*D14)/1000)</f>
        <v>44.000000000000007</v>
      </c>
      <c r="E55" s="312"/>
      <c r="F55" s="324">
        <f t="shared" si="2"/>
        <v>0</v>
      </c>
      <c r="G55" s="318">
        <f t="shared" si="3"/>
        <v>0</v>
      </c>
      <c r="H55" s="252"/>
    </row>
    <row r="56" spans="2:8" x14ac:dyDescent="0.25">
      <c r="B56" s="93" t="s">
        <v>4</v>
      </c>
      <c r="C56" s="89" t="s">
        <v>168</v>
      </c>
      <c r="D56" s="456">
        <f>((($D$10*(1+$D$12))*D17)/1000)</f>
        <v>176.00000000000003</v>
      </c>
      <c r="E56" s="312"/>
      <c r="F56" s="324">
        <f t="shared" si="2"/>
        <v>0</v>
      </c>
      <c r="G56" s="318">
        <f t="shared" si="3"/>
        <v>0</v>
      </c>
      <c r="H56" s="252"/>
    </row>
    <row r="57" spans="2:8" x14ac:dyDescent="0.25">
      <c r="B57" s="93" t="s">
        <v>170</v>
      </c>
      <c r="C57" s="89" t="s">
        <v>171</v>
      </c>
      <c r="D57" s="456">
        <f>+D19</f>
        <v>0.5</v>
      </c>
      <c r="E57" s="312"/>
      <c r="F57" s="324">
        <f t="shared" si="2"/>
        <v>0</v>
      </c>
      <c r="G57" s="318">
        <f t="shared" si="3"/>
        <v>0</v>
      </c>
      <c r="H57" s="252"/>
    </row>
    <row r="58" spans="2:8" x14ac:dyDescent="0.25">
      <c r="B58" s="93" t="s">
        <v>172</v>
      </c>
      <c r="C58" s="89" t="s">
        <v>168</v>
      </c>
      <c r="D58" s="456">
        <f>ROUNDUP((($D$10*(1+$D$12)*D22)/1000),0)</f>
        <v>1</v>
      </c>
      <c r="E58" s="312"/>
      <c r="F58" s="324">
        <f t="shared" si="2"/>
        <v>0</v>
      </c>
      <c r="G58" s="318">
        <f t="shared" si="3"/>
        <v>0</v>
      </c>
      <c r="H58" s="252"/>
    </row>
    <row r="59" spans="2:8" x14ac:dyDescent="0.25">
      <c r="B59" s="93" t="str">
        <f>+C23</f>
        <v>Caldolomita</v>
      </c>
      <c r="C59" s="89" t="s">
        <v>168</v>
      </c>
      <c r="D59" s="456">
        <f>ROUNDUP((($D$10*(1+$D$12)*D23)/1000),0)</f>
        <v>44</v>
      </c>
      <c r="E59" s="312"/>
      <c r="F59" s="324">
        <f t="shared" si="2"/>
        <v>0</v>
      </c>
      <c r="G59" s="318">
        <f t="shared" si="3"/>
        <v>0</v>
      </c>
      <c r="H59" s="252"/>
    </row>
    <row r="60" spans="2:8" ht="15.75" thickBot="1" x14ac:dyDescent="0.3">
      <c r="B60" s="339" t="str">
        <f>+C24</f>
        <v>Hidroretenedor</v>
      </c>
      <c r="C60" s="327" t="s">
        <v>168</v>
      </c>
      <c r="D60" s="456">
        <f>ROUNDUP((($D$10*(1+$D$12)*D24)/1000),0)</f>
        <v>3</v>
      </c>
      <c r="E60" s="329"/>
      <c r="F60" s="330">
        <f t="shared" si="2"/>
        <v>0</v>
      </c>
      <c r="G60" s="331">
        <f t="shared" si="3"/>
        <v>0</v>
      </c>
      <c r="H60" s="252"/>
    </row>
    <row r="61" spans="2:8" ht="15.75" thickBot="1" x14ac:dyDescent="0.3">
      <c r="B61" s="659" t="s">
        <v>173</v>
      </c>
      <c r="C61" s="660"/>
      <c r="D61" s="660"/>
      <c r="E61" s="661"/>
      <c r="F61" s="340">
        <f>+SUM(F52:F60)</f>
        <v>0</v>
      </c>
      <c r="G61" s="341">
        <f>+SUM(G52:G60)</f>
        <v>0</v>
      </c>
      <c r="H61" s="257"/>
    </row>
    <row r="62" spans="2:8" ht="15.75" thickBot="1" x14ac:dyDescent="0.3">
      <c r="B62" s="642" t="s">
        <v>174</v>
      </c>
      <c r="C62" s="643"/>
      <c r="D62" s="643"/>
      <c r="E62" s="643"/>
      <c r="F62" s="344">
        <f>+F50+F61</f>
        <v>0</v>
      </c>
      <c r="G62" s="345">
        <f>+F62*$G$32</f>
        <v>0</v>
      </c>
      <c r="H62" s="520"/>
    </row>
    <row r="63" spans="2:8" x14ac:dyDescent="0.25">
      <c r="B63" s="638" t="s">
        <v>175</v>
      </c>
      <c r="C63" s="639"/>
      <c r="D63" s="639"/>
      <c r="E63" s="639"/>
      <c r="F63" s="342"/>
      <c r="G63" s="343"/>
      <c r="H63" s="64"/>
    </row>
    <row r="64" spans="2:8" x14ac:dyDescent="0.25">
      <c r="B64" s="640" t="s">
        <v>176</v>
      </c>
      <c r="C64" s="641"/>
      <c r="D64" s="641"/>
      <c r="E64" s="641"/>
      <c r="F64" s="108">
        <f>+$F$50*$D$26</f>
        <v>0</v>
      </c>
      <c r="G64" s="109">
        <f>+F64*G32</f>
        <v>0</v>
      </c>
      <c r="H64" s="354"/>
    </row>
    <row r="65" spans="2:9" x14ac:dyDescent="0.25">
      <c r="B65" s="640" t="s">
        <v>177</v>
      </c>
      <c r="C65" s="641"/>
      <c r="D65" s="641"/>
      <c r="E65" s="641"/>
      <c r="F65" s="108">
        <f>$F$50*$D$26</f>
        <v>0</v>
      </c>
      <c r="G65" s="109">
        <f>+F65*G32</f>
        <v>0</v>
      </c>
      <c r="H65" s="521"/>
    </row>
    <row r="66" spans="2:9" ht="15.75" thickBot="1" x14ac:dyDescent="0.3">
      <c r="B66" s="629" t="s">
        <v>178</v>
      </c>
      <c r="C66" s="630"/>
      <c r="D66" s="630"/>
      <c r="E66" s="630"/>
      <c r="F66" s="346">
        <f>ROUNDUP(F61*D29,0)</f>
        <v>0</v>
      </c>
      <c r="G66" s="347">
        <f>+F66*$G$32</f>
        <v>0</v>
      </c>
      <c r="H66" s="355"/>
    </row>
    <row r="67" spans="2:9" ht="15.75" thickBot="1" x14ac:dyDescent="0.3">
      <c r="B67" s="631" t="s">
        <v>179</v>
      </c>
      <c r="C67" s="632"/>
      <c r="D67" s="632"/>
      <c r="E67" s="632"/>
      <c r="F67" s="350">
        <f>SUM(F64:F66)</f>
        <v>0</v>
      </c>
      <c r="G67" s="351">
        <f>SUM(G64:G66)</f>
        <v>0</v>
      </c>
      <c r="H67" s="262"/>
    </row>
    <row r="68" spans="2:9" ht="15.75" thickBot="1" x14ac:dyDescent="0.3">
      <c r="B68" s="636" t="s">
        <v>180</v>
      </c>
      <c r="C68" s="637"/>
      <c r="D68" s="637"/>
      <c r="E68" s="637"/>
      <c r="F68" s="348">
        <f>+F62+F67</f>
        <v>0</v>
      </c>
      <c r="G68" s="349">
        <f>+G62+G67</f>
        <v>0</v>
      </c>
      <c r="H68" s="262"/>
    </row>
    <row r="69" spans="2:9" x14ac:dyDescent="0.25">
      <c r="B69" s="116" t="s">
        <v>140</v>
      </c>
      <c r="C69" s="117" t="s">
        <v>181</v>
      </c>
      <c r="D69" s="118" t="s">
        <v>182</v>
      </c>
      <c r="E69" s="118" t="s">
        <v>183</v>
      </c>
      <c r="F69" s="118" t="s">
        <v>184</v>
      </c>
      <c r="G69" s="119" t="s">
        <v>185</v>
      </c>
      <c r="H69" s="356"/>
    </row>
    <row r="70" spans="2:9" x14ac:dyDescent="0.25">
      <c r="B70" s="120" t="s">
        <v>186</v>
      </c>
      <c r="C70" s="121"/>
      <c r="D70" s="122"/>
      <c r="E70" s="122"/>
      <c r="F70" s="122"/>
      <c r="G70" s="123"/>
      <c r="H70" s="357"/>
    </row>
    <row r="71" spans="2:9" x14ac:dyDescent="0.25">
      <c r="B71" s="124" t="s">
        <v>187</v>
      </c>
      <c r="C71" s="125">
        <v>0.01</v>
      </c>
      <c r="D71" s="454" t="s">
        <v>188</v>
      </c>
      <c r="E71" s="454">
        <v>8</v>
      </c>
      <c r="F71" s="455"/>
      <c r="G71" s="126">
        <f>+F71*$G$32</f>
        <v>0</v>
      </c>
      <c r="H71" s="267"/>
    </row>
    <row r="72" spans="2:9" ht="15.75" thickBot="1" x14ac:dyDescent="0.3">
      <c r="B72" s="127" t="s">
        <v>189</v>
      </c>
      <c r="C72" s="128"/>
      <c r="D72" s="129"/>
      <c r="E72" s="129"/>
      <c r="F72" s="299"/>
      <c r="G72" s="130">
        <f>+G71</f>
        <v>0</v>
      </c>
      <c r="H72" s="358"/>
    </row>
    <row r="73" spans="2:9" ht="15.75" thickBot="1" x14ac:dyDescent="0.3">
      <c r="B73" s="304" t="s">
        <v>190</v>
      </c>
      <c r="C73" s="305"/>
      <c r="D73" s="305"/>
      <c r="E73" s="305"/>
      <c r="F73" s="306">
        <f>+F68+F72</f>
        <v>0</v>
      </c>
      <c r="G73" s="306">
        <f>+G68+G72</f>
        <v>0</v>
      </c>
      <c r="H73" s="358"/>
    </row>
    <row r="74" spans="2:9" x14ac:dyDescent="0.25">
      <c r="B74" s="300" t="s">
        <v>331</v>
      </c>
      <c r="C74" s="301">
        <v>0.1</v>
      </c>
      <c r="D74" s="302"/>
      <c r="E74" s="302"/>
      <c r="F74" s="303">
        <f>+C74*G73</f>
        <v>0</v>
      </c>
      <c r="G74" s="126">
        <f>+F74</f>
        <v>0</v>
      </c>
      <c r="H74" s="267"/>
    </row>
    <row r="75" spans="2:9" x14ac:dyDescent="0.25">
      <c r="B75" s="134" t="s">
        <v>324</v>
      </c>
      <c r="C75" s="135">
        <v>0.01</v>
      </c>
      <c r="D75" s="136"/>
      <c r="E75" s="136"/>
      <c r="F75" s="303">
        <f>+C75*G73</f>
        <v>0</v>
      </c>
      <c r="G75" s="126">
        <f>+F75</f>
        <v>0</v>
      </c>
      <c r="H75" s="267"/>
    </row>
    <row r="76" spans="2:9" x14ac:dyDescent="0.25">
      <c r="B76" s="134" t="s">
        <v>332</v>
      </c>
      <c r="C76" s="135">
        <v>4.9999999959683988E-2</v>
      </c>
      <c r="D76" s="136"/>
      <c r="E76" s="136"/>
      <c r="F76" s="303">
        <f>+C76*G73</f>
        <v>0</v>
      </c>
      <c r="G76" s="126">
        <f>+F76</f>
        <v>0</v>
      </c>
      <c r="H76" s="267"/>
    </row>
    <row r="77" spans="2:9" ht="15.75" thickBot="1" x14ac:dyDescent="0.3">
      <c r="B77" s="134" t="s">
        <v>325</v>
      </c>
      <c r="C77" s="135">
        <v>0.19</v>
      </c>
      <c r="D77" s="136"/>
      <c r="E77" s="136"/>
      <c r="F77" s="137">
        <f>+C77*G76</f>
        <v>0</v>
      </c>
      <c r="G77" s="126">
        <f>+F77</f>
        <v>0</v>
      </c>
      <c r="H77" s="267"/>
      <c r="I77" s="558"/>
    </row>
    <row r="78" spans="2:9" ht="15.75" hidden="1" thickBot="1" x14ac:dyDescent="0.3">
      <c r="B78" s="285" t="s">
        <v>323</v>
      </c>
      <c r="C78" s="352">
        <v>0</v>
      </c>
      <c r="D78" s="286"/>
      <c r="E78" s="286"/>
      <c r="F78" s="287"/>
      <c r="G78" s="126">
        <f>+F78*$G$32</f>
        <v>0</v>
      </c>
      <c r="H78" s="267"/>
    </row>
    <row r="79" spans="2:9" ht="15.75" thickBot="1" x14ac:dyDescent="0.3">
      <c r="B79" s="633" t="s">
        <v>195</v>
      </c>
      <c r="C79" s="634"/>
      <c r="D79" s="634"/>
      <c r="E79" s="634"/>
      <c r="F79" s="138">
        <f>SUM(F73:F78)</f>
        <v>0</v>
      </c>
      <c r="G79" s="138">
        <f>+G73+G74+G75+G76+G77+G78</f>
        <v>0</v>
      </c>
      <c r="H79" s="358"/>
    </row>
    <row r="80" spans="2:9" x14ac:dyDescent="0.25">
      <c r="B80" s="45"/>
      <c r="C80" s="139"/>
      <c r="D80" s="45"/>
      <c r="E80" s="45"/>
      <c r="F80" s="45"/>
      <c r="G80" s="140"/>
      <c r="H80" s="273"/>
    </row>
    <row r="81" spans="2:8" x14ac:dyDescent="0.25">
      <c r="B81" s="45"/>
      <c r="C81" s="45"/>
      <c r="D81" s="45"/>
      <c r="E81" s="45"/>
      <c r="F81" s="45"/>
      <c r="G81" s="141"/>
      <c r="H81" s="141"/>
    </row>
    <row r="82" spans="2:8" ht="15.75" thickBot="1" x14ac:dyDescent="0.3">
      <c r="B82" s="635" t="s">
        <v>196</v>
      </c>
      <c r="C82" s="635"/>
      <c r="D82" s="635"/>
      <c r="E82" s="45"/>
      <c r="F82" s="45"/>
      <c r="G82" s="142"/>
      <c r="H82" s="359"/>
    </row>
    <row r="83" spans="2:8" x14ac:dyDescent="0.25">
      <c r="B83" s="143" t="s">
        <v>197</v>
      </c>
      <c r="C83" s="144" t="s">
        <v>198</v>
      </c>
      <c r="D83" s="145" t="s">
        <v>199</v>
      </c>
      <c r="E83" s="45"/>
      <c r="F83" s="45"/>
      <c r="G83" s="45"/>
      <c r="H83" s="46"/>
    </row>
    <row r="84" spans="2:8" x14ac:dyDescent="0.25">
      <c r="B84" s="146" t="s">
        <v>200</v>
      </c>
      <c r="C84" s="147" t="s">
        <v>131</v>
      </c>
      <c r="D84" s="148">
        <v>6</v>
      </c>
      <c r="E84" s="45"/>
      <c r="F84" s="148">
        <v>6</v>
      </c>
      <c r="G84" s="45"/>
      <c r="H84" s="46"/>
    </row>
    <row r="85" spans="2:8" x14ac:dyDescent="0.25">
      <c r="B85" s="146" t="s">
        <v>150</v>
      </c>
      <c r="C85" s="147" t="s">
        <v>131</v>
      </c>
      <c r="D85" s="148">
        <v>2</v>
      </c>
      <c r="E85" s="45"/>
      <c r="F85" s="148">
        <v>2</v>
      </c>
      <c r="G85" s="45"/>
      <c r="H85" s="46"/>
    </row>
    <row r="86" spans="2:8" x14ac:dyDescent="0.25">
      <c r="B86" s="146" t="s">
        <v>152</v>
      </c>
      <c r="C86" s="147" t="s">
        <v>131</v>
      </c>
      <c r="D86" s="148">
        <v>6</v>
      </c>
      <c r="E86" s="45"/>
      <c r="F86" s="148">
        <v>6</v>
      </c>
      <c r="G86" s="45"/>
      <c r="H86" s="46"/>
    </row>
    <row r="87" spans="2:8" x14ac:dyDescent="0.25">
      <c r="B87" s="93" t="s">
        <v>201</v>
      </c>
      <c r="C87" s="89" t="s">
        <v>131</v>
      </c>
      <c r="D87" s="149">
        <v>8</v>
      </c>
      <c r="E87" s="150"/>
      <c r="F87" s="361">
        <v>8</v>
      </c>
      <c r="G87" s="151"/>
      <c r="H87" s="275"/>
    </row>
    <row r="88" spans="2:8" x14ac:dyDescent="0.25">
      <c r="B88" s="93" t="s">
        <v>154</v>
      </c>
      <c r="C88" s="89" t="s">
        <v>131</v>
      </c>
      <c r="D88" s="149">
        <v>2</v>
      </c>
      <c r="E88" s="150"/>
      <c r="F88" s="361">
        <v>2</v>
      </c>
      <c r="G88" s="45"/>
      <c r="H88" s="46"/>
    </row>
    <row r="89" spans="2:8" x14ac:dyDescent="0.25">
      <c r="B89" s="93" t="s">
        <v>202</v>
      </c>
      <c r="C89" s="89" t="s">
        <v>131</v>
      </c>
      <c r="D89" s="149">
        <v>2</v>
      </c>
      <c r="E89" s="150"/>
      <c r="F89" s="361">
        <v>3</v>
      </c>
      <c r="G89" s="45"/>
      <c r="H89" s="46"/>
    </row>
    <row r="90" spans="2:8" x14ac:dyDescent="0.25">
      <c r="B90" s="93" t="s">
        <v>156</v>
      </c>
      <c r="C90" s="89" t="s">
        <v>136</v>
      </c>
      <c r="D90" s="149">
        <v>10</v>
      </c>
      <c r="E90" s="150"/>
      <c r="F90" s="361">
        <v>10</v>
      </c>
      <c r="G90" s="45"/>
      <c r="H90" s="46"/>
    </row>
    <row r="91" spans="2:8" x14ac:dyDescent="0.25">
      <c r="B91" s="93" t="s">
        <v>203</v>
      </c>
      <c r="C91" s="89" t="s">
        <v>131</v>
      </c>
      <c r="D91" s="149">
        <v>5</v>
      </c>
      <c r="E91" s="150"/>
      <c r="F91" s="361">
        <v>5</v>
      </c>
      <c r="G91" s="45"/>
      <c r="H91" s="46"/>
    </row>
    <row r="92" spans="2:8" x14ac:dyDescent="0.25">
      <c r="B92" s="93" t="s">
        <v>158</v>
      </c>
      <c r="C92" s="89" t="s">
        <v>131</v>
      </c>
      <c r="D92" s="149">
        <v>1</v>
      </c>
      <c r="E92" s="150"/>
      <c r="F92" s="361">
        <v>1</v>
      </c>
      <c r="G92" s="45"/>
      <c r="H92" s="46"/>
    </row>
    <row r="93" spans="2:8" x14ac:dyDescent="0.25">
      <c r="B93" s="93" t="s">
        <v>159</v>
      </c>
      <c r="C93" s="89" t="s">
        <v>131</v>
      </c>
      <c r="D93" s="149">
        <v>2</v>
      </c>
      <c r="E93" s="150"/>
      <c r="F93" s="361">
        <v>2</v>
      </c>
      <c r="G93" s="45"/>
      <c r="H93" s="46"/>
    </row>
    <row r="94" spans="2:8" x14ac:dyDescent="0.25">
      <c r="B94" s="93" t="s">
        <v>204</v>
      </c>
      <c r="C94" s="89" t="s">
        <v>131</v>
      </c>
      <c r="D94" s="149">
        <v>6</v>
      </c>
      <c r="E94" s="150"/>
      <c r="F94" s="361">
        <v>6</v>
      </c>
      <c r="G94" s="45"/>
      <c r="H94" s="46"/>
    </row>
    <row r="95" spans="2:8" ht="15.75" thickBot="1" x14ac:dyDescent="0.3">
      <c r="B95" s="93" t="s">
        <v>161</v>
      </c>
      <c r="C95" s="89" t="s">
        <v>131</v>
      </c>
      <c r="D95" s="149">
        <v>2</v>
      </c>
      <c r="E95" s="150"/>
      <c r="F95" s="362">
        <v>2</v>
      </c>
      <c r="G95" s="45"/>
      <c r="H95" s="46"/>
    </row>
    <row r="98" spans="2:7" x14ac:dyDescent="0.25">
      <c r="B98" s="449"/>
      <c r="C98" s="449"/>
      <c r="D98" s="449"/>
      <c r="E98" s="449"/>
      <c r="F98" s="449"/>
      <c r="G98" s="449"/>
    </row>
  </sheetData>
  <mergeCells count="20">
    <mergeCell ref="B63:E63"/>
    <mergeCell ref="B64:E64"/>
    <mergeCell ref="B65:E65"/>
    <mergeCell ref="B62:E62"/>
    <mergeCell ref="B3:G3"/>
    <mergeCell ref="C4:G4"/>
    <mergeCell ref="C5:G5"/>
    <mergeCell ref="C6:G6"/>
    <mergeCell ref="B11:C11"/>
    <mergeCell ref="B12:C12"/>
    <mergeCell ref="B32:C32"/>
    <mergeCell ref="D32:F32"/>
    <mergeCell ref="C37:D37"/>
    <mergeCell ref="B51:F51"/>
    <mergeCell ref="B61:E61"/>
    <mergeCell ref="B66:E66"/>
    <mergeCell ref="B67:E67"/>
    <mergeCell ref="B79:E79"/>
    <mergeCell ref="B82:D82"/>
    <mergeCell ref="B68:E68"/>
  </mergeCells>
  <conditionalFormatting sqref="F67">
    <cfRule type="cellIs" dxfId="16" priority="2" stopIfTrue="1" operator="greaterThan">
      <formula>0</formula>
    </cfRule>
  </conditionalFormatting>
  <conditionalFormatting sqref="G67:H67">
    <cfRule type="cellIs" dxfId="15" priority="1" stopIfTrue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L109"/>
  <sheetViews>
    <sheetView topLeftCell="A107" zoomScaleNormal="100" workbookViewId="0">
      <selection activeCell="F117" sqref="F117"/>
    </sheetView>
  </sheetViews>
  <sheetFormatPr baseColWidth="10" defaultRowHeight="15" x14ac:dyDescent="0.25"/>
  <cols>
    <col min="1" max="1" width="22.5703125" customWidth="1"/>
    <col min="2" max="2" width="34.28515625" customWidth="1"/>
    <col min="3" max="3" width="12.85546875" bestFit="1" customWidth="1"/>
    <col min="4" max="4" width="14.28515625" customWidth="1"/>
    <col min="6" max="6" width="13.85546875" bestFit="1" customWidth="1"/>
    <col min="7" max="7" width="17.5703125" customWidth="1"/>
    <col min="8" max="8" width="14.140625" bestFit="1" customWidth="1"/>
    <col min="10" max="10" width="17.85546875" bestFit="1" customWidth="1"/>
    <col min="11" max="12" width="16.85546875" bestFit="1" customWidth="1"/>
  </cols>
  <sheetData>
    <row r="3" spans="2:8" x14ac:dyDescent="0.25">
      <c r="B3" s="644" t="s">
        <v>205</v>
      </c>
      <c r="C3" s="644"/>
      <c r="D3" s="644"/>
      <c r="E3" s="644"/>
      <c r="F3" s="644"/>
      <c r="G3" s="644"/>
    </row>
    <row r="4" spans="2:8" x14ac:dyDescent="0.25">
      <c r="B4" s="40" t="s">
        <v>103</v>
      </c>
      <c r="C4" s="645" t="s">
        <v>206</v>
      </c>
      <c r="D4" s="645"/>
      <c r="E4" s="645"/>
      <c r="F4" s="645"/>
      <c r="G4" s="645"/>
    </row>
    <row r="5" spans="2:8" ht="15" customHeight="1" x14ac:dyDescent="0.25">
      <c r="B5" s="40" t="s">
        <v>105</v>
      </c>
      <c r="C5" s="646" t="s">
        <v>106</v>
      </c>
      <c r="D5" s="646"/>
      <c r="E5" s="646"/>
      <c r="F5" s="646"/>
      <c r="G5" s="646"/>
    </row>
    <row r="6" spans="2:8" ht="39.75" customHeight="1" x14ac:dyDescent="0.25">
      <c r="B6" s="40" t="s">
        <v>107</v>
      </c>
      <c r="C6" s="647" t="s">
        <v>458</v>
      </c>
      <c r="D6" s="647"/>
      <c r="E6" s="647"/>
      <c r="F6" s="647"/>
      <c r="G6" s="647"/>
    </row>
    <row r="8" spans="2:8" ht="25.5" hidden="1" x14ac:dyDescent="0.25">
      <c r="B8" s="152" t="s">
        <v>207</v>
      </c>
      <c r="C8" s="153">
        <v>50</v>
      </c>
      <c r="D8" s="681" t="s">
        <v>208</v>
      </c>
      <c r="E8" s="682"/>
      <c r="F8" s="154"/>
    </row>
    <row r="9" spans="2:8" x14ac:dyDescent="0.25">
      <c r="B9" s="155"/>
      <c r="C9" s="156"/>
      <c r="D9" s="156"/>
      <c r="E9" s="156"/>
      <c r="F9" s="154"/>
    </row>
    <row r="10" spans="2:8" ht="22.5" x14ac:dyDescent="0.25">
      <c r="B10" s="678" t="s">
        <v>209</v>
      </c>
      <c r="C10" s="679"/>
      <c r="D10" s="680"/>
      <c r="E10" s="157" t="s">
        <v>210</v>
      </c>
      <c r="F10" s="154"/>
    </row>
    <row r="11" spans="2:8" x14ac:dyDescent="0.25">
      <c r="B11" s="662" t="s">
        <v>211</v>
      </c>
      <c r="C11" s="663"/>
      <c r="D11" s="158">
        <v>2.5</v>
      </c>
      <c r="E11" s="159"/>
      <c r="F11" s="160"/>
    </row>
    <row r="12" spans="2:8" x14ac:dyDescent="0.25">
      <c r="B12" s="662" t="s">
        <v>212</v>
      </c>
      <c r="C12" s="663"/>
      <c r="D12" s="161">
        <v>30</v>
      </c>
      <c r="E12" s="159"/>
      <c r="F12" s="160"/>
      <c r="G12" s="363"/>
      <c r="H12" s="363"/>
    </row>
    <row r="13" spans="2:8" x14ac:dyDescent="0.25">
      <c r="B13" s="662" t="s">
        <v>213</v>
      </c>
      <c r="C13" s="663"/>
      <c r="D13" s="158">
        <v>4</v>
      </c>
      <c r="E13" s="159"/>
      <c r="F13" s="160"/>
      <c r="G13" s="363"/>
      <c r="H13" s="363"/>
    </row>
    <row r="14" spans="2:8" x14ac:dyDescent="0.25">
      <c r="B14" s="662" t="s">
        <v>320</v>
      </c>
      <c r="C14" s="663"/>
      <c r="D14" s="162">
        <v>400</v>
      </c>
      <c r="E14" s="164"/>
      <c r="F14" s="163"/>
      <c r="G14" s="411"/>
      <c r="H14" s="411"/>
    </row>
    <row r="15" spans="2:8" x14ac:dyDescent="0.25">
      <c r="B15" s="662" t="s">
        <v>214</v>
      </c>
      <c r="C15" s="663"/>
      <c r="D15" s="162">
        <v>34</v>
      </c>
      <c r="E15" s="164"/>
      <c r="F15" s="163"/>
      <c r="G15" s="412"/>
      <c r="H15" s="412"/>
    </row>
    <row r="16" spans="2:8" x14ac:dyDescent="0.25">
      <c r="B16" s="662" t="s">
        <v>215</v>
      </c>
      <c r="C16" s="663"/>
      <c r="D16" s="162">
        <v>0</v>
      </c>
      <c r="E16" s="164"/>
      <c r="F16" s="163"/>
      <c r="G16" s="412"/>
      <c r="H16" s="412"/>
    </row>
    <row r="17" spans="2:8" x14ac:dyDescent="0.25">
      <c r="B17" s="662" t="s">
        <v>216</v>
      </c>
      <c r="C17" s="663"/>
      <c r="D17" s="165">
        <v>12</v>
      </c>
      <c r="E17" s="164"/>
      <c r="F17" s="163"/>
      <c r="G17" s="412"/>
      <c r="H17" s="412"/>
    </row>
    <row r="18" spans="2:8" x14ac:dyDescent="0.25">
      <c r="B18" s="662" t="s">
        <v>217</v>
      </c>
      <c r="C18" s="663"/>
      <c r="D18" s="165">
        <v>9</v>
      </c>
      <c r="E18" s="164"/>
      <c r="F18" s="163"/>
      <c r="G18" s="412"/>
      <c r="H18" s="412"/>
    </row>
    <row r="19" spans="2:8" x14ac:dyDescent="0.25">
      <c r="B19" s="166" t="s">
        <v>218</v>
      </c>
      <c r="C19" s="167"/>
      <c r="D19" s="165">
        <v>1</v>
      </c>
      <c r="E19" s="164"/>
      <c r="F19" s="163"/>
      <c r="G19" s="412"/>
      <c r="H19" s="412"/>
    </row>
    <row r="20" spans="2:8" x14ac:dyDescent="0.25">
      <c r="B20" s="166" t="s">
        <v>219</v>
      </c>
      <c r="C20" s="167"/>
      <c r="D20" s="165">
        <v>1</v>
      </c>
      <c r="E20" s="164"/>
      <c r="F20" s="163"/>
      <c r="G20" s="412"/>
      <c r="H20" s="412"/>
    </row>
    <row r="21" spans="2:8" x14ac:dyDescent="0.25">
      <c r="B21" s="662" t="s">
        <v>313</v>
      </c>
      <c r="C21" s="663"/>
      <c r="D21" s="165">
        <v>1</v>
      </c>
      <c r="E21" s="164"/>
      <c r="F21" s="163"/>
      <c r="G21" s="412"/>
      <c r="H21" s="412"/>
    </row>
    <row r="22" spans="2:8" x14ac:dyDescent="0.25">
      <c r="B22" s="662" t="s">
        <v>308</v>
      </c>
      <c r="C22" s="663"/>
      <c r="D22" s="168"/>
      <c r="E22" s="169"/>
      <c r="F22" s="170"/>
      <c r="G22" s="412"/>
      <c r="H22" s="412"/>
    </row>
    <row r="23" spans="2:8" x14ac:dyDescent="0.25">
      <c r="B23" s="662" t="s">
        <v>309</v>
      </c>
      <c r="C23" s="663"/>
      <c r="D23" s="171">
        <v>0.15000000615004408</v>
      </c>
      <c r="E23" s="172"/>
      <c r="F23" s="172"/>
    </row>
    <row r="24" spans="2:8" x14ac:dyDescent="0.25">
      <c r="B24" s="662" t="s">
        <v>310</v>
      </c>
      <c r="C24" s="663"/>
      <c r="D24" s="173">
        <v>5.0000016496495263E-2</v>
      </c>
      <c r="E24" s="172"/>
      <c r="F24" s="172"/>
    </row>
    <row r="25" spans="2:8" x14ac:dyDescent="0.25">
      <c r="B25" s="662" t="s">
        <v>311</v>
      </c>
      <c r="C25" s="663"/>
      <c r="D25" s="173">
        <v>0.05</v>
      </c>
      <c r="E25" s="172"/>
      <c r="F25" s="172"/>
    </row>
    <row r="26" spans="2:8" x14ac:dyDescent="0.25">
      <c r="B26" s="662" t="s">
        <v>312</v>
      </c>
      <c r="C26" s="663"/>
      <c r="D26" s="173">
        <v>0.02</v>
      </c>
      <c r="E26" s="172"/>
      <c r="F26" s="172"/>
    </row>
    <row r="27" spans="2:8" ht="15.75" thickBot="1" x14ac:dyDescent="0.3"/>
    <row r="28" spans="2:8" ht="15.75" thickBot="1" x14ac:dyDescent="0.3">
      <c r="E28" s="667" t="s">
        <v>220</v>
      </c>
      <c r="F28" s="668"/>
      <c r="G28" s="669"/>
    </row>
    <row r="29" spans="2:8" ht="15.75" thickBot="1" x14ac:dyDescent="0.3">
      <c r="E29" s="174">
        <v>2</v>
      </c>
      <c r="F29" s="175"/>
      <c r="G29" s="176" t="s">
        <v>221</v>
      </c>
    </row>
    <row r="30" spans="2:8" ht="15.75" thickBot="1" x14ac:dyDescent="0.3"/>
    <row r="31" spans="2:8" x14ac:dyDescent="0.25">
      <c r="B31" s="670" t="s">
        <v>222</v>
      </c>
      <c r="C31" s="672" t="s">
        <v>223</v>
      </c>
      <c r="D31" s="672"/>
      <c r="E31" s="672"/>
      <c r="F31" s="391"/>
      <c r="G31" s="673" t="s">
        <v>224</v>
      </c>
    </row>
    <row r="32" spans="2:8" ht="33.75" x14ac:dyDescent="0.25">
      <c r="B32" s="671"/>
      <c r="C32" s="177" t="s">
        <v>2</v>
      </c>
      <c r="D32" s="178" t="s">
        <v>225</v>
      </c>
      <c r="E32" s="295" t="s">
        <v>226</v>
      </c>
      <c r="F32" s="295" t="s">
        <v>227</v>
      </c>
      <c r="G32" s="674"/>
    </row>
    <row r="33" spans="1:7" x14ac:dyDescent="0.25">
      <c r="B33" s="85" t="s">
        <v>228</v>
      </c>
      <c r="C33" s="95"/>
      <c r="D33" s="95"/>
      <c r="E33" s="96"/>
      <c r="F33" s="96"/>
      <c r="G33" s="392"/>
    </row>
    <row r="34" spans="1:7" x14ac:dyDescent="0.25">
      <c r="B34" s="85" t="s">
        <v>229</v>
      </c>
      <c r="C34" s="95"/>
      <c r="D34" s="95"/>
      <c r="E34" s="96"/>
      <c r="F34" s="96"/>
      <c r="G34" s="392"/>
    </row>
    <row r="35" spans="1:7" x14ac:dyDescent="0.25">
      <c r="A35" s="519">
        <v>4433211012658180</v>
      </c>
      <c r="B35" s="393" t="s">
        <v>150</v>
      </c>
      <c r="C35" s="179" t="s">
        <v>230</v>
      </c>
      <c r="D35" s="180">
        <v>1000</v>
      </c>
      <c r="E35" s="181"/>
      <c r="F35" s="181">
        <f t="shared" ref="F35:F41" si="0">ROUND(D35*E35,0)</f>
        <v>0</v>
      </c>
      <c r="G35" s="182">
        <f t="shared" ref="G35:G41" si="1">+F35*$E$29</f>
        <v>0</v>
      </c>
    </row>
    <row r="36" spans="1:7" x14ac:dyDescent="0.25">
      <c r="A36" s="519"/>
      <c r="B36" s="393" t="s">
        <v>459</v>
      </c>
      <c r="C36" s="179" t="s">
        <v>230</v>
      </c>
      <c r="D36" s="180">
        <v>1000</v>
      </c>
      <c r="E36" s="181"/>
      <c r="F36" s="181">
        <f t="shared" si="0"/>
        <v>0</v>
      </c>
      <c r="G36" s="182">
        <f t="shared" si="1"/>
        <v>0</v>
      </c>
    </row>
    <row r="37" spans="1:7" x14ac:dyDescent="0.25">
      <c r="B37" s="393" t="s">
        <v>231</v>
      </c>
      <c r="C37" s="179" t="s">
        <v>230</v>
      </c>
      <c r="D37" s="180">
        <v>1000</v>
      </c>
      <c r="E37" s="181"/>
      <c r="F37" s="181">
        <f t="shared" si="0"/>
        <v>0</v>
      </c>
      <c r="G37" s="394">
        <f t="shared" si="1"/>
        <v>0</v>
      </c>
    </row>
    <row r="38" spans="1:7" x14ac:dyDescent="0.25">
      <c r="B38" s="393" t="s">
        <v>460</v>
      </c>
      <c r="C38" s="179" t="s">
        <v>136</v>
      </c>
      <c r="D38" s="180">
        <v>75</v>
      </c>
      <c r="E38" s="183"/>
      <c r="F38" s="181">
        <f t="shared" si="0"/>
        <v>0</v>
      </c>
      <c r="G38" s="182">
        <f t="shared" si="1"/>
        <v>0</v>
      </c>
    </row>
    <row r="39" spans="1:7" x14ac:dyDescent="0.25">
      <c r="B39" s="393" t="s">
        <v>233</v>
      </c>
      <c r="C39" s="179" t="s">
        <v>230</v>
      </c>
      <c r="D39" s="180">
        <v>1000</v>
      </c>
      <c r="E39" s="181"/>
      <c r="F39" s="181">
        <f t="shared" si="0"/>
        <v>0</v>
      </c>
      <c r="G39" s="182">
        <f t="shared" si="1"/>
        <v>0</v>
      </c>
    </row>
    <row r="40" spans="1:7" x14ac:dyDescent="0.25">
      <c r="B40" s="393" t="s">
        <v>234</v>
      </c>
      <c r="C40" s="179" t="s">
        <v>230</v>
      </c>
      <c r="D40" s="180">
        <v>1000</v>
      </c>
      <c r="E40" s="181"/>
      <c r="F40" s="181">
        <f t="shared" si="0"/>
        <v>0</v>
      </c>
      <c r="G40" s="182">
        <f t="shared" si="1"/>
        <v>0</v>
      </c>
    </row>
    <row r="41" spans="1:7" x14ac:dyDescent="0.25">
      <c r="B41" s="393" t="s">
        <v>235</v>
      </c>
      <c r="C41" s="179" t="s">
        <v>230</v>
      </c>
      <c r="D41" s="180">
        <v>1000</v>
      </c>
      <c r="E41" s="181"/>
      <c r="F41" s="181">
        <f t="shared" si="0"/>
        <v>0</v>
      </c>
      <c r="G41" s="182">
        <f t="shared" si="1"/>
        <v>0</v>
      </c>
    </row>
    <row r="42" spans="1:7" x14ac:dyDescent="0.25">
      <c r="B42" s="82" t="s">
        <v>236</v>
      </c>
      <c r="C42" s="184">
        <f>SUM(C35:C41)</f>
        <v>0</v>
      </c>
      <c r="D42" s="185"/>
      <c r="E42" s="186"/>
      <c r="F42" s="187">
        <f>+SUM(F35:F41)</f>
        <v>0</v>
      </c>
      <c r="G42" s="395">
        <f>+SUM(G35:G41)</f>
        <v>0</v>
      </c>
    </row>
    <row r="43" spans="1:7" x14ac:dyDescent="0.25">
      <c r="B43" s="85" t="s">
        <v>237</v>
      </c>
      <c r="C43" s="188"/>
      <c r="D43" s="189"/>
      <c r="E43" s="190"/>
      <c r="F43" s="190"/>
      <c r="G43" s="396"/>
    </row>
    <row r="44" spans="1:7" x14ac:dyDescent="0.25">
      <c r="B44" s="397" t="s">
        <v>238</v>
      </c>
      <c r="C44" s="191" t="s">
        <v>36</v>
      </c>
      <c r="D44" s="191">
        <f>+D17</f>
        <v>12</v>
      </c>
      <c r="E44" s="192"/>
      <c r="F44" s="193">
        <f t="shared" ref="F44:F50" si="2">+D44*E44</f>
        <v>0</v>
      </c>
      <c r="G44" s="398">
        <f t="shared" ref="G44:G50" si="3">+F44*$E$29</f>
        <v>0</v>
      </c>
    </row>
    <row r="45" spans="1:7" x14ac:dyDescent="0.25">
      <c r="B45" s="397" t="s">
        <v>461</v>
      </c>
      <c r="C45" s="191" t="s">
        <v>241</v>
      </c>
      <c r="D45" s="191">
        <v>4</v>
      </c>
      <c r="E45" s="192"/>
      <c r="F45" s="193">
        <f t="shared" si="2"/>
        <v>0</v>
      </c>
      <c r="G45" s="398">
        <f t="shared" si="3"/>
        <v>0</v>
      </c>
    </row>
    <row r="46" spans="1:7" x14ac:dyDescent="0.25">
      <c r="B46" s="393" t="s">
        <v>451</v>
      </c>
      <c r="C46" s="194" t="s">
        <v>239</v>
      </c>
      <c r="D46" s="194">
        <f>+D14</f>
        <v>400</v>
      </c>
      <c r="E46" s="192"/>
      <c r="F46" s="193">
        <f t="shared" si="2"/>
        <v>0</v>
      </c>
      <c r="G46" s="398">
        <f t="shared" si="3"/>
        <v>0</v>
      </c>
    </row>
    <row r="47" spans="1:7" x14ac:dyDescent="0.25">
      <c r="B47" s="393" t="s">
        <v>450</v>
      </c>
      <c r="C47" s="194" t="s">
        <v>239</v>
      </c>
      <c r="D47" s="194">
        <f>+D15</f>
        <v>34</v>
      </c>
      <c r="E47" s="192"/>
      <c r="F47" s="193">
        <f t="shared" si="2"/>
        <v>0</v>
      </c>
      <c r="G47" s="398">
        <f t="shared" si="3"/>
        <v>0</v>
      </c>
    </row>
    <row r="48" spans="1:7" x14ac:dyDescent="0.25">
      <c r="B48" s="397" t="s">
        <v>240</v>
      </c>
      <c r="C48" s="191" t="s">
        <v>241</v>
      </c>
      <c r="D48" s="191">
        <f>+D18</f>
        <v>9</v>
      </c>
      <c r="E48" s="192"/>
      <c r="F48" s="193">
        <f t="shared" si="2"/>
        <v>0</v>
      </c>
      <c r="G48" s="398">
        <f t="shared" si="3"/>
        <v>0</v>
      </c>
    </row>
    <row r="49" spans="2:12" x14ac:dyDescent="0.25">
      <c r="B49" s="399" t="s">
        <v>242</v>
      </c>
      <c r="C49" s="191" t="s">
        <v>49</v>
      </c>
      <c r="D49" s="191">
        <v>0.5</v>
      </c>
      <c r="E49" s="192"/>
      <c r="F49" s="193">
        <f t="shared" si="2"/>
        <v>0</v>
      </c>
      <c r="G49" s="398">
        <f t="shared" si="3"/>
        <v>0</v>
      </c>
    </row>
    <row r="50" spans="2:12" x14ac:dyDescent="0.25">
      <c r="B50" s="399" t="s">
        <v>243</v>
      </c>
      <c r="C50" s="191" t="s">
        <v>49</v>
      </c>
      <c r="D50" s="191">
        <v>0.5</v>
      </c>
      <c r="E50" s="192"/>
      <c r="F50" s="193">
        <f t="shared" si="2"/>
        <v>0</v>
      </c>
      <c r="G50" s="398">
        <f t="shared" si="3"/>
        <v>0</v>
      </c>
    </row>
    <row r="51" spans="2:12" x14ac:dyDescent="0.25">
      <c r="B51" s="82" t="s">
        <v>244</v>
      </c>
      <c r="C51" s="195"/>
      <c r="D51" s="185"/>
      <c r="E51" s="196"/>
      <c r="F51" s="197">
        <f>+SUM(F44:F50)</f>
        <v>0</v>
      </c>
      <c r="G51" s="400">
        <f>SUM(G44:G50)</f>
        <v>0</v>
      </c>
      <c r="H51" s="353"/>
    </row>
    <row r="52" spans="2:12" ht="15.75" thickBot="1" x14ac:dyDescent="0.3">
      <c r="B52" s="82" t="s">
        <v>245</v>
      </c>
      <c r="C52" s="195"/>
      <c r="D52" s="185"/>
      <c r="E52" s="196"/>
      <c r="F52" s="386">
        <f>+F42+F51</f>
        <v>0</v>
      </c>
      <c r="G52" s="401">
        <f>+G42+G51</f>
        <v>0</v>
      </c>
    </row>
    <row r="53" spans="2:12" x14ac:dyDescent="0.25">
      <c r="B53" s="85" t="s">
        <v>175</v>
      </c>
      <c r="C53" s="198"/>
      <c r="D53" s="199"/>
      <c r="E53" s="375"/>
      <c r="F53" s="387"/>
      <c r="G53" s="402"/>
    </row>
    <row r="54" spans="2:12" x14ac:dyDescent="0.25">
      <c r="B54" s="403" t="s">
        <v>246</v>
      </c>
      <c r="C54" s="200"/>
      <c r="D54" s="201"/>
      <c r="E54" s="382"/>
      <c r="F54" s="388">
        <f>$F$42*$D$24</f>
        <v>0</v>
      </c>
      <c r="G54" s="404">
        <f>+F54*$E$29</f>
        <v>0</v>
      </c>
    </row>
    <row r="55" spans="2:12" x14ac:dyDescent="0.25">
      <c r="B55" s="405" t="s">
        <v>247</v>
      </c>
      <c r="C55" s="202"/>
      <c r="D55" s="180"/>
      <c r="E55" s="383"/>
      <c r="F55" s="388">
        <f>$F$42*$D$24</f>
        <v>0</v>
      </c>
      <c r="G55" s="404">
        <f>+F55*$E$29</f>
        <v>0</v>
      </c>
      <c r="H55" s="353"/>
    </row>
    <row r="56" spans="2:12" x14ac:dyDescent="0.25">
      <c r="B56" s="405" t="s">
        <v>248</v>
      </c>
      <c r="C56" s="202"/>
      <c r="D56" s="180"/>
      <c r="E56" s="383"/>
      <c r="F56" s="388">
        <f>$F$51*$D$23</f>
        <v>0</v>
      </c>
      <c r="G56" s="404">
        <f>+F56*$E$29</f>
        <v>0</v>
      </c>
      <c r="H56" s="522"/>
    </row>
    <row r="57" spans="2:12" x14ac:dyDescent="0.25">
      <c r="B57" s="406" t="s">
        <v>249</v>
      </c>
      <c r="C57" s="203"/>
      <c r="D57" s="204"/>
      <c r="E57" s="384"/>
      <c r="F57" s="389">
        <f>SUM(F54:F56)</f>
        <v>0</v>
      </c>
      <c r="G57" s="385">
        <f>SUM(G54:G56)</f>
        <v>0</v>
      </c>
      <c r="H57" s="353"/>
    </row>
    <row r="58" spans="2:12" ht="15.75" thickBot="1" x14ac:dyDescent="0.3">
      <c r="B58" s="675" t="s">
        <v>250</v>
      </c>
      <c r="C58" s="676"/>
      <c r="D58" s="676"/>
      <c r="E58" s="676"/>
      <c r="F58" s="390">
        <f>+F52+F57</f>
        <v>0</v>
      </c>
      <c r="G58" s="385">
        <f>+G52+G57</f>
        <v>0</v>
      </c>
    </row>
    <row r="59" spans="2:12" x14ac:dyDescent="0.25">
      <c r="B59" s="116" t="s">
        <v>140</v>
      </c>
      <c r="C59" s="205" t="s">
        <v>181</v>
      </c>
      <c r="D59" s="206" t="s">
        <v>182</v>
      </c>
      <c r="E59" s="374" t="s">
        <v>183</v>
      </c>
      <c r="F59" s="379" t="s">
        <v>184</v>
      </c>
      <c r="G59" s="377" t="s">
        <v>251</v>
      </c>
    </row>
    <row r="60" spans="2:12" x14ac:dyDescent="0.25">
      <c r="B60" s="85" t="s">
        <v>252</v>
      </c>
      <c r="C60" s="198"/>
      <c r="D60" s="199"/>
      <c r="E60" s="375"/>
      <c r="F60" s="380"/>
      <c r="G60" s="402"/>
    </row>
    <row r="61" spans="2:12" x14ac:dyDescent="0.25">
      <c r="B61" s="124" t="s">
        <v>187</v>
      </c>
      <c r="C61" s="125">
        <v>0.01</v>
      </c>
      <c r="D61" s="454" t="s">
        <v>188</v>
      </c>
      <c r="E61" s="454">
        <v>4</v>
      </c>
      <c r="F61" s="455"/>
      <c r="G61" s="126">
        <f>+F61*$E$29</f>
        <v>0</v>
      </c>
      <c r="K61" s="495"/>
      <c r="L61" s="495"/>
    </row>
    <row r="62" spans="2:12" ht="15.75" thickBot="1" x14ac:dyDescent="0.3">
      <c r="B62" s="207" t="s">
        <v>253</v>
      </c>
      <c r="C62" s="208"/>
      <c r="D62" s="209"/>
      <c r="E62" s="376"/>
      <c r="F62" s="381"/>
      <c r="G62" s="378">
        <f>+G61</f>
        <v>0</v>
      </c>
      <c r="K62" s="495"/>
      <c r="L62" s="495"/>
    </row>
    <row r="63" spans="2:12" ht="15.75" thickBot="1" x14ac:dyDescent="0.3">
      <c r="B63" s="446" t="s">
        <v>254</v>
      </c>
      <c r="C63" s="447"/>
      <c r="D63" s="447"/>
      <c r="E63" s="447"/>
      <c r="F63" s="448">
        <f>+F58+F61</f>
        <v>0</v>
      </c>
      <c r="G63" s="448">
        <f>+G58+G62</f>
        <v>0</v>
      </c>
      <c r="L63" s="495"/>
    </row>
    <row r="64" spans="2:12" x14ac:dyDescent="0.25">
      <c r="B64" s="300" t="s">
        <v>191</v>
      </c>
      <c r="C64" s="301">
        <f>+Establecimiento!C74</f>
        <v>0.1</v>
      </c>
      <c r="D64" s="302"/>
      <c r="E64" s="408"/>
      <c r="F64" s="409">
        <f>ROUND($F$63*C64,0)</f>
        <v>0</v>
      </c>
      <c r="G64" s="410">
        <f>+F64*$E$29</f>
        <v>0</v>
      </c>
      <c r="K64" s="495"/>
    </row>
    <row r="65" spans="2:11" x14ac:dyDescent="0.25">
      <c r="B65" s="134" t="s">
        <v>192</v>
      </c>
      <c r="C65" s="135">
        <f>+Establecimiento!C75</f>
        <v>0.01</v>
      </c>
      <c r="D65" s="136"/>
      <c r="E65" s="370"/>
      <c r="F65" s="372">
        <f>ROUND($F$63*C65,0)</f>
        <v>0</v>
      </c>
      <c r="G65" s="407">
        <f>+F65*$E$29</f>
        <v>0</v>
      </c>
      <c r="K65" s="353"/>
    </row>
    <row r="66" spans="2:11" x14ac:dyDescent="0.25">
      <c r="B66" s="134" t="s">
        <v>193</v>
      </c>
      <c r="C66" s="135">
        <f>+Establecimiento!C76</f>
        <v>4.9999999959683988E-2</v>
      </c>
      <c r="D66" s="136"/>
      <c r="E66" s="370"/>
      <c r="F66" s="372">
        <f>ROUND($F$63*C66,0)</f>
        <v>0</v>
      </c>
      <c r="G66" s="407">
        <f>+F66*$E$29</f>
        <v>0</v>
      </c>
      <c r="H66" s="353"/>
    </row>
    <row r="67" spans="2:11" ht="15.75" thickBot="1" x14ac:dyDescent="0.3">
      <c r="B67" s="134" t="s">
        <v>321</v>
      </c>
      <c r="C67" s="135">
        <f>+Establecimiento!C77</f>
        <v>0.19</v>
      </c>
      <c r="D67" s="136"/>
      <c r="E67" s="370"/>
      <c r="F67" s="372">
        <f>ROUND(F66*C67,0)</f>
        <v>0</v>
      </c>
      <c r="G67" s="407">
        <f>+F67*$E$29</f>
        <v>0</v>
      </c>
      <c r="H67" s="559"/>
    </row>
    <row r="68" spans="2:11" ht="15.75" hidden="1" thickBot="1" x14ac:dyDescent="0.3">
      <c r="B68" s="285" t="s">
        <v>323</v>
      </c>
      <c r="C68" s="368">
        <v>0</v>
      </c>
      <c r="D68" s="369"/>
      <c r="E68" s="371"/>
      <c r="F68" s="373">
        <f>ROUND(F63*C68,0)</f>
        <v>0</v>
      </c>
      <c r="G68" s="407">
        <f>+F68*$E$29</f>
        <v>0</v>
      </c>
    </row>
    <row r="69" spans="2:11" ht="15.75" thickBot="1" x14ac:dyDescent="0.3">
      <c r="B69" s="633" t="s">
        <v>322</v>
      </c>
      <c r="C69" s="634"/>
      <c r="D69" s="634"/>
      <c r="E69" s="677"/>
      <c r="F69" s="366">
        <f>+F63+F64+F65+F66+F67+F68</f>
        <v>0</v>
      </c>
      <c r="G69" s="367">
        <f>+G63+G64+G65+G66+G67+G68</f>
        <v>0</v>
      </c>
      <c r="H69" s="522"/>
    </row>
    <row r="70" spans="2:11" x14ac:dyDescent="0.25">
      <c r="B70" s="210"/>
      <c r="C70" s="211"/>
      <c r="D70" s="212"/>
      <c r="E70" s="212"/>
      <c r="F70" s="365"/>
      <c r="G70" s="212"/>
      <c r="H70" s="353"/>
    </row>
    <row r="71" spans="2:11" x14ac:dyDescent="0.25">
      <c r="B71" s="210"/>
      <c r="C71" s="211"/>
      <c r="D71" s="212"/>
      <c r="E71" s="212"/>
      <c r="F71" s="365"/>
      <c r="G71" s="212"/>
      <c r="J71" s="562"/>
    </row>
    <row r="72" spans="2:11" x14ac:dyDescent="0.25">
      <c r="B72" s="210"/>
      <c r="C72" s="560"/>
      <c r="D72" s="212"/>
      <c r="E72" s="212"/>
      <c r="F72" s="365"/>
      <c r="G72" s="212"/>
      <c r="J72" s="495"/>
    </row>
    <row r="73" spans="2:11" x14ac:dyDescent="0.25">
      <c r="B73" s="210"/>
      <c r="C73" s="560"/>
      <c r="D73" s="212"/>
      <c r="E73" s="212"/>
      <c r="F73" s="365"/>
      <c r="G73" s="212"/>
    </row>
    <row r="74" spans="2:11" x14ac:dyDescent="0.25">
      <c r="B74" s="210"/>
      <c r="C74" s="211"/>
      <c r="D74" s="212"/>
      <c r="E74" s="212"/>
      <c r="F74" s="365"/>
      <c r="G74" s="212"/>
    </row>
    <row r="75" spans="2:11" x14ac:dyDescent="0.25">
      <c r="B75" s="210"/>
      <c r="C75" s="211"/>
      <c r="D75" s="212"/>
      <c r="E75" s="212"/>
      <c r="F75" s="365"/>
      <c r="G75" s="212"/>
    </row>
    <row r="76" spans="2:11" x14ac:dyDescent="0.25">
      <c r="B76" s="210"/>
      <c r="C76" s="211"/>
      <c r="D76" s="212"/>
      <c r="E76" s="212"/>
      <c r="F76" s="212"/>
      <c r="G76" s="212"/>
    </row>
    <row r="77" spans="2:11" x14ac:dyDescent="0.25">
      <c r="B77" s="210"/>
      <c r="C77" s="211"/>
      <c r="D77" s="212"/>
      <c r="E77" s="212"/>
      <c r="F77" s="212"/>
      <c r="G77" s="212"/>
    </row>
    <row r="78" spans="2:11" x14ac:dyDescent="0.25">
      <c r="B78" s="213" t="s">
        <v>255</v>
      </c>
      <c r="C78" s="214"/>
      <c r="D78" s="215"/>
      <c r="E78" s="215"/>
      <c r="F78" s="215"/>
      <c r="G78" s="215"/>
    </row>
    <row r="79" spans="2:11" ht="33.75" x14ac:dyDescent="0.25">
      <c r="B79" s="216" t="s">
        <v>256</v>
      </c>
      <c r="C79" s="217" t="s">
        <v>257</v>
      </c>
      <c r="D79" s="218"/>
      <c r="E79" s="219" t="s">
        <v>258</v>
      </c>
      <c r="F79" s="219"/>
      <c r="G79" s="220">
        <v>4</v>
      </c>
    </row>
    <row r="80" spans="2:11" ht="22.5" x14ac:dyDescent="0.25">
      <c r="B80" s="221" t="s">
        <v>259</v>
      </c>
      <c r="C80" s="222" t="s">
        <v>260</v>
      </c>
      <c r="D80" s="218"/>
      <c r="E80" s="219" t="s">
        <v>261</v>
      </c>
      <c r="F80" s="219"/>
      <c r="G80" s="223" t="s">
        <v>262</v>
      </c>
    </row>
    <row r="81" spans="2:7" ht="33.75" x14ac:dyDescent="0.25">
      <c r="B81" s="221" t="s">
        <v>263</v>
      </c>
      <c r="C81" s="222" t="s">
        <v>264</v>
      </c>
      <c r="D81" s="218"/>
      <c r="E81" s="219" t="s">
        <v>265</v>
      </c>
      <c r="F81" s="219"/>
      <c r="G81" s="223">
        <v>350</v>
      </c>
    </row>
    <row r="82" spans="2:7" ht="33.75" x14ac:dyDescent="0.25">
      <c r="B82" s="216" t="s">
        <v>266</v>
      </c>
      <c r="C82" s="220">
        <v>2.5</v>
      </c>
      <c r="D82" s="218"/>
      <c r="E82" s="219" t="s">
        <v>267</v>
      </c>
      <c r="F82" s="219"/>
      <c r="G82" s="224" t="s">
        <v>268</v>
      </c>
    </row>
    <row r="83" spans="2:7" ht="33.75" x14ac:dyDescent="0.25">
      <c r="B83" s="216" t="s">
        <v>269</v>
      </c>
      <c r="C83" s="220">
        <v>30</v>
      </c>
      <c r="D83" s="218"/>
      <c r="E83" s="219" t="s">
        <v>270</v>
      </c>
      <c r="F83" s="219"/>
      <c r="G83" s="224">
        <v>4</v>
      </c>
    </row>
    <row r="84" spans="2:7" ht="22.5" x14ac:dyDescent="0.25">
      <c r="B84" s="216" t="s">
        <v>271</v>
      </c>
      <c r="C84" s="225">
        <v>12.5</v>
      </c>
      <c r="D84" s="218"/>
      <c r="E84" s="219" t="s">
        <v>272</v>
      </c>
      <c r="F84" s="219"/>
      <c r="G84" s="194">
        <v>434</v>
      </c>
    </row>
    <row r="85" spans="2:7" ht="22.5" x14ac:dyDescent="0.25">
      <c r="B85" s="216" t="s">
        <v>273</v>
      </c>
      <c r="C85" s="220">
        <v>12</v>
      </c>
      <c r="D85" s="226"/>
      <c r="E85" s="219" t="s">
        <v>274</v>
      </c>
      <c r="F85" s="219"/>
      <c r="G85" s="227">
        <v>9</v>
      </c>
    </row>
    <row r="86" spans="2:7" x14ac:dyDescent="0.25">
      <c r="B86" s="228" t="s">
        <v>275</v>
      </c>
      <c r="C86" s="229">
        <v>8</v>
      </c>
    </row>
    <row r="87" spans="2:7" ht="22.5" x14ac:dyDescent="0.25">
      <c r="B87" s="228" t="s">
        <v>276</v>
      </c>
      <c r="C87" s="229">
        <v>10</v>
      </c>
    </row>
    <row r="88" spans="2:7" x14ac:dyDescent="0.25">
      <c r="B88" s="228" t="s">
        <v>277</v>
      </c>
      <c r="C88" s="230">
        <v>20000</v>
      </c>
    </row>
    <row r="89" spans="2:7" x14ac:dyDescent="0.25">
      <c r="B89" s="228" t="s">
        <v>278</v>
      </c>
      <c r="C89" s="230">
        <f>+(G84/C87)*C88</f>
        <v>868000</v>
      </c>
      <c r="G89" s="231"/>
    </row>
    <row r="91" spans="2:7" x14ac:dyDescent="0.25">
      <c r="B91" s="232" t="s">
        <v>279</v>
      </c>
      <c r="C91" s="233">
        <f>+[5]EK2018!I34</f>
        <v>15138</v>
      </c>
      <c r="D91" s="664">
        <f>+C91*C92</f>
        <v>6569892</v>
      </c>
    </row>
    <row r="92" spans="2:7" x14ac:dyDescent="0.25">
      <c r="B92" s="232" t="s">
        <v>280</v>
      </c>
      <c r="C92" s="234">
        <v>434</v>
      </c>
      <c r="D92" s="664"/>
    </row>
    <row r="93" spans="2:7" x14ac:dyDescent="0.25">
      <c r="B93" s="232" t="s">
        <v>281</v>
      </c>
      <c r="C93" s="234">
        <v>16</v>
      </c>
    </row>
    <row r="94" spans="2:7" ht="22.5" x14ac:dyDescent="0.25">
      <c r="B94" s="232" t="s">
        <v>276</v>
      </c>
      <c r="C94" s="234">
        <v>4</v>
      </c>
    </row>
    <row r="95" spans="2:7" x14ac:dyDescent="0.25">
      <c r="B95" s="232" t="s">
        <v>277</v>
      </c>
      <c r="C95" s="233">
        <v>20000</v>
      </c>
    </row>
    <row r="96" spans="2:7" x14ac:dyDescent="0.25">
      <c r="B96" s="232" t="s">
        <v>278</v>
      </c>
      <c r="C96" s="233">
        <f>+(G84/C94)*C95</f>
        <v>2170000</v>
      </c>
    </row>
    <row r="97" spans="2:6" x14ac:dyDescent="0.25">
      <c r="B97" s="235"/>
      <c r="C97" s="235"/>
    </row>
    <row r="98" spans="2:6" ht="22.5" x14ac:dyDescent="0.25">
      <c r="B98" s="236" t="s">
        <v>282</v>
      </c>
      <c r="C98" s="237">
        <f>+C89+E46</f>
        <v>868000</v>
      </c>
      <c r="D98" s="665"/>
      <c r="E98" s="666"/>
      <c r="F98" s="238"/>
    </row>
    <row r="99" spans="2:6" x14ac:dyDescent="0.25">
      <c r="B99" s="236" t="s">
        <v>283</v>
      </c>
      <c r="C99" s="237">
        <f>+C96+D91</f>
        <v>8739892</v>
      </c>
    </row>
    <row r="101" spans="2:6" ht="15.75" thickBot="1" x14ac:dyDescent="0.3">
      <c r="B101" s="635" t="s">
        <v>196</v>
      </c>
      <c r="C101" s="635"/>
      <c r="D101" s="635"/>
    </row>
    <row r="102" spans="2:6" x14ac:dyDescent="0.25">
      <c r="B102" s="143" t="s">
        <v>197</v>
      </c>
      <c r="C102" s="144" t="s">
        <v>198</v>
      </c>
      <c r="D102" s="145" t="s">
        <v>199</v>
      </c>
    </row>
    <row r="103" spans="2:6" x14ac:dyDescent="0.25">
      <c r="B103" s="146" t="s">
        <v>150</v>
      </c>
      <c r="C103" s="147" t="s">
        <v>131</v>
      </c>
      <c r="D103" s="148">
        <v>4</v>
      </c>
      <c r="F103" s="148">
        <f>1+3</f>
        <v>4</v>
      </c>
    </row>
    <row r="104" spans="2:6" x14ac:dyDescent="0.25">
      <c r="B104" s="93" t="s">
        <v>201</v>
      </c>
      <c r="C104" s="89" t="s">
        <v>131</v>
      </c>
      <c r="D104" s="149">
        <v>10</v>
      </c>
      <c r="F104" s="361">
        <f>10+3</f>
        <v>13</v>
      </c>
    </row>
    <row r="105" spans="2:6" x14ac:dyDescent="0.25">
      <c r="B105" s="93" t="s">
        <v>232</v>
      </c>
      <c r="C105" s="89" t="s">
        <v>136</v>
      </c>
      <c r="D105" s="149">
        <v>65</v>
      </c>
      <c r="F105" s="361">
        <v>60</v>
      </c>
    </row>
    <row r="106" spans="2:6" x14ac:dyDescent="0.25">
      <c r="B106" s="93" t="s">
        <v>233</v>
      </c>
      <c r="C106" s="89" t="s">
        <v>131</v>
      </c>
      <c r="D106" s="149">
        <v>4</v>
      </c>
      <c r="F106" s="361">
        <f>4+3</f>
        <v>7</v>
      </c>
    </row>
    <row r="107" spans="2:6" x14ac:dyDescent="0.25">
      <c r="B107" s="93" t="s">
        <v>234</v>
      </c>
      <c r="C107" s="89" t="s">
        <v>131</v>
      </c>
      <c r="D107" s="149">
        <v>5</v>
      </c>
      <c r="F107" s="361">
        <f>4+3</f>
        <v>7</v>
      </c>
    </row>
    <row r="108" spans="2:6" x14ac:dyDescent="0.25">
      <c r="B108" s="93" t="s">
        <v>284</v>
      </c>
      <c r="C108" s="89" t="s">
        <v>131</v>
      </c>
      <c r="D108" s="149">
        <v>3</v>
      </c>
      <c r="F108" s="364">
        <f>1+3</f>
        <v>4</v>
      </c>
    </row>
    <row r="109" spans="2:6" x14ac:dyDescent="0.25">
      <c r="B109" s="45" t="s">
        <v>285</v>
      </c>
      <c r="C109" s="45"/>
      <c r="D109" s="239"/>
    </row>
  </sheetData>
  <mergeCells count="29">
    <mergeCell ref="B16:C16"/>
    <mergeCell ref="B17:C17"/>
    <mergeCell ref="B18:C18"/>
    <mergeCell ref="B11:C11"/>
    <mergeCell ref="B12:C12"/>
    <mergeCell ref="B13:C13"/>
    <mergeCell ref="B14:C14"/>
    <mergeCell ref="B15:C15"/>
    <mergeCell ref="B10:D10"/>
    <mergeCell ref="B3:G3"/>
    <mergeCell ref="C4:G4"/>
    <mergeCell ref="C5:G5"/>
    <mergeCell ref="C6:G6"/>
    <mergeCell ref="D8:E8"/>
    <mergeCell ref="B21:C21"/>
    <mergeCell ref="D91:D92"/>
    <mergeCell ref="D98:E98"/>
    <mergeCell ref="B101:D101"/>
    <mergeCell ref="E28:G28"/>
    <mergeCell ref="B31:B32"/>
    <mergeCell ref="C31:E31"/>
    <mergeCell ref="G31:G32"/>
    <mergeCell ref="B58:E58"/>
    <mergeCell ref="B69:E69"/>
    <mergeCell ref="B26:C26"/>
    <mergeCell ref="B25:C25"/>
    <mergeCell ref="B22:C22"/>
    <mergeCell ref="B23:C23"/>
    <mergeCell ref="B24:C24"/>
  </mergeCells>
  <conditionalFormatting sqref="D14:D16 E51 G51 E52:G53 F69:G69 E70:G77">
    <cfRule type="cellIs" dxfId="14" priority="8" stopIfTrue="1" operator="greaterThan">
      <formula>0</formula>
    </cfRule>
  </conditionalFormatting>
  <conditionalFormatting sqref="G84 C46:C47">
    <cfRule type="cellIs" dxfId="13" priority="7" stopIfTrue="1" operator="greaterThan">
      <formula>0</formula>
    </cfRule>
  </conditionalFormatting>
  <conditionalFormatting sqref="D46:D47">
    <cfRule type="cellIs" dxfId="12" priority="6" stopIfTrue="1" operator="greaterThan">
      <formula>0</formula>
    </cfRule>
  </conditionalFormatting>
  <conditionalFormatting sqref="F57">
    <cfRule type="cellIs" dxfId="11" priority="5" stopIfTrue="1" operator="greaterThan">
      <formula>0</formula>
    </cfRule>
  </conditionalFormatting>
  <conditionalFormatting sqref="G57">
    <cfRule type="cellIs" dxfId="10" priority="4" stopIfTrue="1" operator="greaterThan">
      <formula>0</formula>
    </cfRule>
  </conditionalFormatting>
  <conditionalFormatting sqref="E60:G60">
    <cfRule type="cellIs" dxfId="9" priority="3" stopIfTrue="1" operator="greaterThan">
      <formula>0</formula>
    </cfRule>
  </conditionalFormatting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R83"/>
  <sheetViews>
    <sheetView topLeftCell="A28" workbookViewId="0">
      <selection activeCell="G34" sqref="G34"/>
    </sheetView>
  </sheetViews>
  <sheetFormatPr baseColWidth="10" defaultColWidth="11.42578125" defaultRowHeight="12.75" x14ac:dyDescent="0.2"/>
  <cols>
    <col min="1" max="1" width="11.42578125" style="45"/>
    <col min="2" max="2" width="28" style="45" customWidth="1"/>
    <col min="3" max="3" width="13.85546875" style="45" bestFit="1" customWidth="1"/>
    <col min="4" max="4" width="12.28515625" style="45" customWidth="1"/>
    <col min="5" max="5" width="14.85546875" style="45" customWidth="1"/>
    <col min="6" max="6" width="13.85546875" style="45" bestFit="1" customWidth="1"/>
    <col min="7" max="7" width="17" style="45" bestFit="1" customWidth="1"/>
    <col min="8" max="8" width="22.5703125" style="46" customWidth="1"/>
    <col min="9" max="10" width="16.5703125" style="45" bestFit="1" customWidth="1"/>
    <col min="11" max="11" width="15.85546875" style="45" bestFit="1" customWidth="1"/>
    <col min="12" max="12" width="12.85546875" style="45" bestFit="1" customWidth="1"/>
    <col min="13" max="13" width="17.42578125" style="45" customWidth="1"/>
    <col min="14" max="16384" width="11.42578125" style="45"/>
  </cols>
  <sheetData>
    <row r="3" spans="2:8" ht="25.5" customHeight="1" x14ac:dyDescent="0.2">
      <c r="B3" s="644" t="s">
        <v>286</v>
      </c>
      <c r="C3" s="644"/>
      <c r="D3" s="644"/>
      <c r="E3" s="644"/>
      <c r="F3" s="644"/>
      <c r="G3" s="644"/>
      <c r="H3" s="240"/>
    </row>
    <row r="4" spans="2:8" x14ac:dyDescent="0.2">
      <c r="B4" s="40" t="s">
        <v>103</v>
      </c>
      <c r="C4" s="645" t="s">
        <v>104</v>
      </c>
      <c r="D4" s="645"/>
      <c r="E4" s="645"/>
      <c r="F4" s="645"/>
      <c r="G4" s="645"/>
      <c r="H4" s="241"/>
    </row>
    <row r="5" spans="2:8" x14ac:dyDescent="0.2">
      <c r="B5" s="40" t="s">
        <v>105</v>
      </c>
      <c r="C5" s="646" t="s">
        <v>106</v>
      </c>
      <c r="D5" s="646"/>
      <c r="E5" s="646"/>
      <c r="F5" s="646"/>
      <c r="G5" s="646"/>
      <c r="H5" s="240"/>
    </row>
    <row r="6" spans="2:8" ht="36" customHeight="1" x14ac:dyDescent="0.2">
      <c r="B6" s="40" t="s">
        <v>107</v>
      </c>
      <c r="C6" s="689" t="s">
        <v>356</v>
      </c>
      <c r="D6" s="689"/>
      <c r="E6" s="689"/>
      <c r="F6" s="689"/>
      <c r="G6" s="689"/>
      <c r="H6" s="242"/>
    </row>
    <row r="7" spans="2:8" x14ac:dyDescent="0.2">
      <c r="B7" s="41"/>
      <c r="C7" s="41"/>
      <c r="D7" s="41"/>
      <c r="E7" s="41"/>
      <c r="F7" s="41"/>
      <c r="G7" s="41"/>
      <c r="H7" s="243"/>
    </row>
    <row r="8" spans="2:8" x14ac:dyDescent="0.2">
      <c r="B8" s="42" t="s">
        <v>108</v>
      </c>
      <c r="C8" s="43" t="s">
        <v>109</v>
      </c>
      <c r="D8" s="41"/>
      <c r="E8" s="44" t="s">
        <v>110</v>
      </c>
      <c r="F8" s="41"/>
      <c r="G8" s="41"/>
      <c r="H8" s="243"/>
    </row>
    <row r="9" spans="2:8" ht="10.5" customHeight="1" x14ac:dyDescent="0.2">
      <c r="C9" s="46"/>
      <c r="D9" s="46"/>
    </row>
    <row r="10" spans="2:8" ht="22.5" x14ac:dyDescent="0.2">
      <c r="B10" s="47" t="str">
        <f>+[4]Establec.!B10</f>
        <v>1. Número de Plántulas Arboreas por Ha</v>
      </c>
      <c r="C10" s="48"/>
      <c r="D10" s="49">
        <v>1110</v>
      </c>
      <c r="E10" s="50">
        <f>+'Estudio de Mercado'!J48</f>
        <v>5817.7777777777665</v>
      </c>
      <c r="F10" s="51"/>
      <c r="G10" s="52"/>
      <c r="H10" s="244"/>
    </row>
    <row r="11" spans="2:8" x14ac:dyDescent="0.2">
      <c r="B11" s="650" t="s">
        <v>111</v>
      </c>
      <c r="C11" s="651"/>
      <c r="D11" s="49">
        <v>0</v>
      </c>
      <c r="E11" s="50">
        <v>0</v>
      </c>
      <c r="F11" s="51"/>
      <c r="G11" s="53"/>
      <c r="H11" s="245"/>
    </row>
    <row r="12" spans="2:8" x14ac:dyDescent="0.2">
      <c r="B12" s="650" t="str">
        <f>+[4]Establec.!B12</f>
        <v>3. Porcentaje de reposición  %</v>
      </c>
      <c r="C12" s="651"/>
      <c r="D12" s="54">
        <v>0.1</v>
      </c>
      <c r="E12" s="50"/>
    </row>
    <row r="13" spans="2:8" ht="25.5" customHeight="1" x14ac:dyDescent="0.2">
      <c r="B13" s="47" t="s">
        <v>112</v>
      </c>
      <c r="C13" s="55" t="s">
        <v>1</v>
      </c>
      <c r="D13" s="56" t="s">
        <v>113</v>
      </c>
      <c r="E13" s="57" t="s">
        <v>114</v>
      </c>
    </row>
    <row r="14" spans="2:8" ht="22.5" customHeight="1" x14ac:dyDescent="0.2">
      <c r="B14" s="47" t="s">
        <v>115</v>
      </c>
      <c r="C14" s="58" t="s">
        <v>287</v>
      </c>
      <c r="D14" s="59">
        <v>32</v>
      </c>
      <c r="E14" s="60">
        <f>+'Estudio de Mercado'!K7</f>
        <v>2206.75</v>
      </c>
    </row>
    <row r="15" spans="2:8" ht="22.5" x14ac:dyDescent="0.2">
      <c r="B15" s="47" t="s">
        <v>118</v>
      </c>
      <c r="C15" s="58" t="s">
        <v>10</v>
      </c>
      <c r="D15" s="59">
        <v>50</v>
      </c>
      <c r="E15" s="60">
        <f>+'Estudio de Mercado'!K8</f>
        <v>3707.5949999999998</v>
      </c>
    </row>
    <row r="16" spans="2:8" x14ac:dyDescent="0.2">
      <c r="B16" s="47" t="s">
        <v>119</v>
      </c>
      <c r="C16" s="58" t="s">
        <v>4</v>
      </c>
      <c r="D16" s="59">
        <v>200</v>
      </c>
      <c r="E16" s="60">
        <f>ROUND('Estudio de Mercado'!K4,0)</f>
        <v>1097</v>
      </c>
    </row>
    <row r="17" spans="2:12" ht="21.75" customHeight="1" x14ac:dyDescent="0.2">
      <c r="B17" s="47" t="s">
        <v>115</v>
      </c>
      <c r="C17" s="58" t="s">
        <v>288</v>
      </c>
      <c r="D17" s="59">
        <v>40</v>
      </c>
      <c r="E17" s="60">
        <f>ROUND('Estudio de Mercado'!K5,0)</f>
        <v>3348</v>
      </c>
    </row>
    <row r="18" spans="2:12" ht="14.25" customHeight="1" x14ac:dyDescent="0.2">
      <c r="B18" s="281" t="s">
        <v>123</v>
      </c>
      <c r="C18" s="58" t="s">
        <v>289</v>
      </c>
      <c r="D18" s="59">
        <v>1</v>
      </c>
      <c r="E18" s="60"/>
    </row>
    <row r="19" spans="2:12" x14ac:dyDescent="0.2">
      <c r="B19" s="281" t="s">
        <v>123</v>
      </c>
      <c r="C19" s="58" t="s">
        <v>124</v>
      </c>
      <c r="D19" s="59">
        <v>0.5</v>
      </c>
      <c r="E19" s="60">
        <f>+'Estudio de Mercado'!J12</f>
        <v>34013.5</v>
      </c>
    </row>
    <row r="20" spans="2:12" x14ac:dyDescent="0.2">
      <c r="B20" s="281" t="s">
        <v>125</v>
      </c>
      <c r="C20" s="58" t="s">
        <v>126</v>
      </c>
      <c r="D20" s="59">
        <v>0.2</v>
      </c>
      <c r="E20" s="60">
        <f>ROUND('Estudio de Mercado'!J13,0)</f>
        <v>217019</v>
      </c>
    </row>
    <row r="21" spans="2:12" x14ac:dyDescent="0.2">
      <c r="B21" s="47" t="s">
        <v>290</v>
      </c>
      <c r="C21" s="58" t="s">
        <v>15</v>
      </c>
      <c r="D21" s="59">
        <v>0.5</v>
      </c>
      <c r="E21" s="60">
        <f>+'Estudio de Mercado'!J10</f>
        <v>26794.5</v>
      </c>
    </row>
    <row r="22" spans="2:12" x14ac:dyDescent="0.2">
      <c r="B22" s="47" t="s">
        <v>291</v>
      </c>
      <c r="C22" s="58" t="s">
        <v>18</v>
      </c>
      <c r="D22" s="59">
        <v>1</v>
      </c>
      <c r="E22" s="60">
        <f>ROUND('Estudio de Mercado'!K15,0)</f>
        <v>236</v>
      </c>
    </row>
    <row r="23" spans="2:12" ht="17.25" customHeight="1" x14ac:dyDescent="0.2">
      <c r="B23" s="47" t="s">
        <v>129</v>
      </c>
      <c r="C23" s="58" t="s">
        <v>19</v>
      </c>
      <c r="D23" s="59">
        <v>3</v>
      </c>
      <c r="E23" s="61">
        <f>+'Estudio de Mercado'!J16</f>
        <v>45342.95</v>
      </c>
    </row>
    <row r="24" spans="2:12" ht="45" x14ac:dyDescent="0.2">
      <c r="B24" s="47" t="s">
        <v>130</v>
      </c>
      <c r="C24" s="58" t="s">
        <v>131</v>
      </c>
      <c r="D24" s="49" t="s">
        <v>132</v>
      </c>
      <c r="E24" s="60">
        <f>+'Estudio de Mercado'!B73</f>
        <v>54520</v>
      </c>
      <c r="F24" s="62"/>
      <c r="K24" s="151"/>
      <c r="L24" s="246"/>
    </row>
    <row r="25" spans="2:12" x14ac:dyDescent="0.2">
      <c r="B25" s="47" t="s">
        <v>133</v>
      </c>
      <c r="C25" s="58" t="s">
        <v>132</v>
      </c>
      <c r="D25" s="63">
        <v>0.05</v>
      </c>
      <c r="E25" s="64"/>
    </row>
    <row r="26" spans="2:12" ht="22.5" x14ac:dyDescent="0.2">
      <c r="B26" s="47" t="s">
        <v>134</v>
      </c>
      <c r="C26" s="58" t="s">
        <v>132</v>
      </c>
      <c r="D26" s="63">
        <v>0.05</v>
      </c>
      <c r="E26" s="64"/>
      <c r="K26" s="246"/>
    </row>
    <row r="27" spans="2:12" ht="20.25" customHeight="1" x14ac:dyDescent="0.2">
      <c r="B27" s="47" t="s">
        <v>135</v>
      </c>
      <c r="C27" s="58" t="s">
        <v>136</v>
      </c>
      <c r="D27" s="65">
        <f>+Aislamiento!E21</f>
        <v>0</v>
      </c>
      <c r="E27" s="64"/>
    </row>
    <row r="28" spans="2:12" ht="19.5" customHeight="1" x14ac:dyDescent="0.2">
      <c r="B28" s="47" t="s">
        <v>137</v>
      </c>
      <c r="C28" s="58" t="s">
        <v>132</v>
      </c>
      <c r="D28" s="66">
        <v>0.1</v>
      </c>
      <c r="E28" s="64"/>
      <c r="G28" s="45">
        <v>1962</v>
      </c>
      <c r="H28" s="46">
        <v>359</v>
      </c>
      <c r="I28" s="45">
        <f>162.5+685</f>
        <v>847.5</v>
      </c>
      <c r="J28" s="45">
        <f>70.5+685</f>
        <v>755.5</v>
      </c>
    </row>
    <row r="29" spans="2:12" ht="6" customHeight="1" x14ac:dyDescent="0.2">
      <c r="B29" s="67"/>
      <c r="C29" s="68"/>
      <c r="D29" s="69"/>
      <c r="E29" s="70"/>
      <c r="F29" s="71"/>
      <c r="G29" s="72"/>
      <c r="H29" s="247"/>
    </row>
    <row r="30" spans="2:12" ht="6.75" customHeight="1" thickBot="1" x14ac:dyDescent="0.25">
      <c r="B30" s="67"/>
      <c r="C30" s="68"/>
      <c r="D30" s="69"/>
      <c r="E30" s="70"/>
      <c r="F30" s="71"/>
      <c r="G30" s="72"/>
      <c r="H30" s="247"/>
    </row>
    <row r="31" spans="2:12" ht="22.5" customHeight="1" x14ac:dyDescent="0.2">
      <c r="B31" s="652" t="s">
        <v>433</v>
      </c>
      <c r="C31" s="653"/>
      <c r="D31" s="653" t="s">
        <v>292</v>
      </c>
      <c r="E31" s="653"/>
      <c r="F31" s="653"/>
      <c r="G31" s="73">
        <v>0</v>
      </c>
      <c r="H31" s="248">
        <f>668.2*2</f>
        <v>1336.4</v>
      </c>
      <c r="I31" s="45">
        <f>+G31+685</f>
        <v>685</v>
      </c>
    </row>
    <row r="32" spans="2:12" hidden="1" x14ac:dyDescent="0.2">
      <c r="B32" s="74" t="s">
        <v>293</v>
      </c>
      <c r="C32" s="1"/>
      <c r="D32" s="1"/>
      <c r="E32" s="1"/>
      <c r="F32" s="1"/>
      <c r="G32" s="75"/>
      <c r="H32" s="249"/>
    </row>
    <row r="33" spans="2:18" s="46" customFormat="1" ht="26.25" hidden="1" customHeight="1" x14ac:dyDescent="0.2">
      <c r="B33" s="76" t="s">
        <v>139</v>
      </c>
      <c r="C33" s="3">
        <v>8</v>
      </c>
      <c r="D33" s="3"/>
      <c r="E33" s="3"/>
      <c r="F33" s="3"/>
      <c r="G33" s="77"/>
      <c r="H33" s="249"/>
    </row>
    <row r="34" spans="2:18" ht="30.75" customHeight="1" x14ac:dyDescent="0.2">
      <c r="B34" s="78" t="s">
        <v>140</v>
      </c>
      <c r="C34" s="79" t="s">
        <v>2</v>
      </c>
      <c r="D34" s="80" t="s">
        <v>141</v>
      </c>
      <c r="E34" s="80" t="s">
        <v>142</v>
      </c>
      <c r="F34" s="80" t="s">
        <v>143</v>
      </c>
      <c r="G34" s="81" t="s">
        <v>144</v>
      </c>
      <c r="H34" s="250"/>
    </row>
    <row r="35" spans="2:18" x14ac:dyDescent="0.2">
      <c r="B35" s="82" t="s">
        <v>145</v>
      </c>
      <c r="C35" s="83"/>
      <c r="D35" s="83"/>
      <c r="E35" s="83"/>
      <c r="F35" s="83"/>
      <c r="G35" s="84"/>
      <c r="H35" s="251"/>
    </row>
    <row r="36" spans="2:18" ht="15.75" customHeight="1" x14ac:dyDescent="0.2">
      <c r="B36" s="85" t="s">
        <v>146</v>
      </c>
      <c r="C36" s="655" t="s">
        <v>147</v>
      </c>
      <c r="D36" s="655"/>
      <c r="E36" s="86"/>
      <c r="F36" s="86"/>
      <c r="G36" s="87"/>
      <c r="H36" s="251"/>
      <c r="I36" s="45">
        <v>2020</v>
      </c>
      <c r="K36" s="151"/>
    </row>
    <row r="37" spans="2:18" x14ac:dyDescent="0.2">
      <c r="B37" s="93" t="s">
        <v>294</v>
      </c>
      <c r="C37" s="89" t="s">
        <v>152</v>
      </c>
      <c r="D37" s="90">
        <f>+$D$10+$D$11</f>
        <v>1110</v>
      </c>
      <c r="E37" s="91">
        <f>+(($E$24*D75)/D37)</f>
        <v>589.40540540540542</v>
      </c>
      <c r="F37" s="91">
        <f t="shared" ref="F37:F43" si="0">+D37*E37</f>
        <v>654240</v>
      </c>
      <c r="G37" s="92">
        <f t="shared" ref="G37:G43" si="1">+F37*$G$31</f>
        <v>0</v>
      </c>
      <c r="H37" s="252"/>
      <c r="I37" s="92">
        <f>+'[1]P 5 C.Mant. B.P.'!$F$40</f>
        <v>291930</v>
      </c>
      <c r="J37" s="151"/>
      <c r="K37" s="151"/>
    </row>
    <row r="38" spans="2:18" x14ac:dyDescent="0.2">
      <c r="B38" s="93" t="s">
        <v>156</v>
      </c>
      <c r="C38" s="89" t="s">
        <v>136</v>
      </c>
      <c r="D38" s="90">
        <f>+D76</f>
        <v>4</v>
      </c>
      <c r="E38" s="91">
        <f>+D27</f>
        <v>0</v>
      </c>
      <c r="F38" s="91">
        <f>+D38*E38</f>
        <v>0</v>
      </c>
      <c r="G38" s="92">
        <f t="shared" si="1"/>
        <v>0</v>
      </c>
      <c r="H38" s="252"/>
      <c r="I38" s="92">
        <f>+'[1]P 5 C.Mant. B.P.'!$F$44</f>
        <v>75000</v>
      </c>
      <c r="J38" s="151"/>
      <c r="K38" s="151"/>
    </row>
    <row r="39" spans="2:18" x14ac:dyDescent="0.2">
      <c r="B39" s="93" t="s">
        <v>159</v>
      </c>
      <c r="C39" s="89" t="s">
        <v>59</v>
      </c>
      <c r="D39" s="90">
        <f>+($D$10+$D$11)*D12</f>
        <v>111</v>
      </c>
      <c r="E39" s="91">
        <f>+(($E$24*D77)/D39)</f>
        <v>982.34234234234236</v>
      </c>
      <c r="F39" s="91">
        <f>+D39*E39</f>
        <v>109040</v>
      </c>
      <c r="G39" s="92">
        <f t="shared" si="1"/>
        <v>0</v>
      </c>
      <c r="H39" s="252"/>
      <c r="I39" s="92">
        <f>+'[1]P 5 C.Mant. B.P.'!$F$47</f>
        <v>97458</v>
      </c>
      <c r="J39" s="151"/>
      <c r="K39" s="151"/>
    </row>
    <row r="40" spans="2:18" x14ac:dyDescent="0.2">
      <c r="B40" s="93" t="s">
        <v>154</v>
      </c>
      <c r="C40" s="89" t="s">
        <v>59</v>
      </c>
      <c r="D40" s="90">
        <f>+$D$10+$D$11</f>
        <v>1110</v>
      </c>
      <c r="E40" s="91">
        <f>+(($E$24*D78)/D40)</f>
        <v>98.234234234234236</v>
      </c>
      <c r="F40" s="91">
        <f t="shared" si="0"/>
        <v>109040</v>
      </c>
      <c r="G40" s="92">
        <f t="shared" si="1"/>
        <v>0</v>
      </c>
      <c r="H40" s="252"/>
      <c r="I40" s="92">
        <f>+'[1]P 5 C.Mant. B.P.'!$F$42</f>
        <v>48840</v>
      </c>
      <c r="J40" s="151"/>
      <c r="K40" s="151"/>
    </row>
    <row r="41" spans="2:18" x14ac:dyDescent="0.2">
      <c r="B41" s="93" t="s">
        <v>295</v>
      </c>
      <c r="C41" s="89" t="s">
        <v>59</v>
      </c>
      <c r="D41" s="90">
        <f>+$D$10+$D$11</f>
        <v>1110</v>
      </c>
      <c r="E41" s="91">
        <f>+(($E$24*D79)/D41)</f>
        <v>98.234234234234236</v>
      </c>
      <c r="F41" s="91">
        <f t="shared" si="0"/>
        <v>109040</v>
      </c>
      <c r="G41" s="92">
        <f t="shared" si="1"/>
        <v>0</v>
      </c>
      <c r="H41" s="252"/>
      <c r="I41" s="92">
        <f>+'[1]P 5 C.Mant. B.P.'!$F$43</f>
        <v>48840</v>
      </c>
      <c r="J41" s="151"/>
      <c r="K41" s="151"/>
    </row>
    <row r="42" spans="2:18" x14ac:dyDescent="0.2">
      <c r="B42" s="93" t="s">
        <v>158</v>
      </c>
      <c r="C42" s="89" t="s">
        <v>59</v>
      </c>
      <c r="D42" s="90">
        <f>+$D$10+$D$11</f>
        <v>1110</v>
      </c>
      <c r="E42" s="91">
        <f>+(($E$24*D80)/D42)</f>
        <v>98.234234234234236</v>
      </c>
      <c r="F42" s="91">
        <f t="shared" si="0"/>
        <v>109040</v>
      </c>
      <c r="G42" s="92">
        <f t="shared" si="1"/>
        <v>0</v>
      </c>
      <c r="H42" s="252"/>
      <c r="I42" s="92">
        <f>+'[1]P 5 C.Mant. B.P.'!$F$46</f>
        <v>97680</v>
      </c>
      <c r="J42" s="151"/>
      <c r="K42" s="151"/>
    </row>
    <row r="43" spans="2:18" x14ac:dyDescent="0.2">
      <c r="B43" s="94" t="s">
        <v>296</v>
      </c>
      <c r="C43" s="89" t="s">
        <v>149</v>
      </c>
      <c r="D43" s="90">
        <v>10000</v>
      </c>
      <c r="E43" s="91">
        <f>+(($E$24*D81)/D43)</f>
        <v>65.424000000000007</v>
      </c>
      <c r="F43" s="91">
        <f t="shared" si="0"/>
        <v>654240.00000000012</v>
      </c>
      <c r="G43" s="92">
        <f t="shared" si="1"/>
        <v>0</v>
      </c>
      <c r="H43" s="252"/>
      <c r="I43" s="92">
        <f>+'[1]P 5 C.Mant. B.P.'!$F$48</f>
        <v>290000</v>
      </c>
      <c r="J43" s="151"/>
      <c r="K43" s="151"/>
    </row>
    <row r="44" spans="2:18" x14ac:dyDescent="0.2">
      <c r="B44" s="413" t="s">
        <v>161</v>
      </c>
      <c r="C44" s="89"/>
      <c r="D44" s="90"/>
      <c r="E44" s="91"/>
      <c r="F44" s="91"/>
      <c r="G44" s="92"/>
      <c r="H44" s="252"/>
      <c r="I44" s="92">
        <f>+'[1]P 5 C.Mant. B.P.'!$F$49</f>
        <v>97528</v>
      </c>
      <c r="J44" s="151"/>
      <c r="K44" s="151"/>
    </row>
    <row r="45" spans="2:18" x14ac:dyDescent="0.2">
      <c r="B45" s="85" t="s">
        <v>163</v>
      </c>
      <c r="C45" s="95"/>
      <c r="D45" s="96"/>
      <c r="E45" s="97"/>
      <c r="F45" s="98">
        <f>+SUM(F37:F44)</f>
        <v>1744640</v>
      </c>
      <c r="G45" s="99">
        <f>+SUM(G37:G44)</f>
        <v>0</v>
      </c>
      <c r="H45" s="253"/>
      <c r="I45" s="99">
        <f>SUM(I37:I44)</f>
        <v>1047276</v>
      </c>
      <c r="J45" s="246"/>
      <c r="K45" s="246"/>
    </row>
    <row r="46" spans="2:18" ht="15.75" customHeight="1" x14ac:dyDescent="0.2">
      <c r="B46" s="690" t="s">
        <v>164</v>
      </c>
      <c r="C46" s="691"/>
      <c r="D46" s="691"/>
      <c r="E46" s="691"/>
      <c r="F46" s="691"/>
      <c r="G46" s="100"/>
      <c r="H46" s="64"/>
    </row>
    <row r="47" spans="2:18" x14ac:dyDescent="0.2">
      <c r="B47" s="93" t="s">
        <v>297</v>
      </c>
      <c r="C47" s="89" t="s">
        <v>166</v>
      </c>
      <c r="D47" s="101">
        <f>ROUNDUP(D10*D12,0)</f>
        <v>111</v>
      </c>
      <c r="E47" s="91">
        <f>+E10</f>
        <v>5817.7777777777665</v>
      </c>
      <c r="F47" s="91">
        <f t="shared" ref="F47:F52" si="2">+D47*E47</f>
        <v>645773.33333333209</v>
      </c>
      <c r="G47" s="92">
        <f t="shared" ref="G47:G53" si="3">+F47*$G$31</f>
        <v>0</v>
      </c>
      <c r="H47" s="414">
        <f>+'[1]P 5 C.Mant. B.P.'!$D$52</f>
        <v>111</v>
      </c>
      <c r="I47" s="92">
        <f>+'[1]P 5 C.Mant. B.P.'!$F$52</f>
        <v>149073</v>
      </c>
      <c r="J47" s="151" t="s">
        <v>326</v>
      </c>
      <c r="K47" s="68"/>
      <c r="L47" s="68"/>
      <c r="M47" s="68"/>
      <c r="N47" s="68"/>
      <c r="O47" s="68"/>
      <c r="P47" s="68"/>
      <c r="Q47" s="68"/>
      <c r="R47" s="68"/>
    </row>
    <row r="48" spans="2:18" x14ac:dyDescent="0.2">
      <c r="B48" s="93" t="s">
        <v>288</v>
      </c>
      <c r="C48" s="89" t="s">
        <v>168</v>
      </c>
      <c r="D48" s="101">
        <f>ROUNDUP(($D$10*D17*2)/1000,0)</f>
        <v>89</v>
      </c>
      <c r="E48" s="91">
        <f>+E17</f>
        <v>3348</v>
      </c>
      <c r="F48" s="91">
        <f t="shared" si="2"/>
        <v>297972</v>
      </c>
      <c r="G48" s="92">
        <f t="shared" si="3"/>
        <v>0</v>
      </c>
      <c r="H48" s="414">
        <f>+'[1]P 5 C.Mant. B.P.'!$D$53</f>
        <v>56</v>
      </c>
      <c r="I48" s="92">
        <f>+'[1]P 5 C.Mant. B.P.'!$F$53</f>
        <v>0</v>
      </c>
      <c r="J48" s="151" t="s">
        <v>327</v>
      </c>
      <c r="K48" s="68"/>
      <c r="L48" s="68"/>
      <c r="M48" s="68"/>
      <c r="N48" s="68"/>
      <c r="O48" s="68"/>
      <c r="P48" s="68"/>
      <c r="Q48" s="68"/>
      <c r="R48" s="68"/>
    </row>
    <row r="49" spans="2:18" x14ac:dyDescent="0.2">
      <c r="B49" s="93" t="s">
        <v>4</v>
      </c>
      <c r="C49" s="89" t="s">
        <v>168</v>
      </c>
      <c r="D49" s="101">
        <f>ROUNDUP(($D$47*D16)/1000,0)</f>
        <v>23</v>
      </c>
      <c r="E49" s="91">
        <f>+E16</f>
        <v>1097</v>
      </c>
      <c r="F49" s="91">
        <f t="shared" si="2"/>
        <v>25231</v>
      </c>
      <c r="G49" s="92">
        <f t="shared" si="3"/>
        <v>0</v>
      </c>
      <c r="H49" s="414">
        <f>+'[1]P 5 C.Mant. B.P.'!$D$55</f>
        <v>222</v>
      </c>
      <c r="I49" s="92">
        <f>+'[1]P 5 C.Mant. B.P.'!$F$55</f>
        <v>377844</v>
      </c>
      <c r="J49" s="151" t="s">
        <v>328</v>
      </c>
      <c r="K49" s="68"/>
      <c r="L49" s="68"/>
      <c r="M49" s="68"/>
      <c r="N49" s="68"/>
      <c r="O49" s="68"/>
      <c r="P49" s="68"/>
      <c r="Q49" s="68"/>
      <c r="R49" s="68"/>
    </row>
    <row r="50" spans="2:18" x14ac:dyDescent="0.2">
      <c r="B50" s="93" t="s">
        <v>124</v>
      </c>
      <c r="C50" s="89" t="s">
        <v>171</v>
      </c>
      <c r="D50" s="101">
        <f>+D19</f>
        <v>0.5</v>
      </c>
      <c r="E50" s="91">
        <f>+E19</f>
        <v>34013.5</v>
      </c>
      <c r="F50" s="91">
        <f t="shared" si="2"/>
        <v>17006.75</v>
      </c>
      <c r="G50" s="92">
        <f t="shared" si="3"/>
        <v>0</v>
      </c>
      <c r="H50" s="414"/>
      <c r="I50" s="92"/>
      <c r="J50" s="151"/>
      <c r="K50" s="68"/>
      <c r="L50" s="68"/>
      <c r="M50" s="68"/>
      <c r="N50" s="68"/>
      <c r="O50" s="68"/>
      <c r="P50" s="68"/>
      <c r="Q50" s="68"/>
      <c r="R50" s="68"/>
    </row>
    <row r="51" spans="2:18" s="255" customFormat="1" x14ac:dyDescent="0.2">
      <c r="B51" s="93" t="str">
        <f>+C21</f>
        <v>Attakill</v>
      </c>
      <c r="C51" s="89" t="s">
        <v>168</v>
      </c>
      <c r="D51" s="101">
        <f>ROUNDUP(($D$10*D21)/1000,0)</f>
        <v>1</v>
      </c>
      <c r="E51" s="91">
        <f>+E21</f>
        <v>26794.5</v>
      </c>
      <c r="F51" s="91">
        <f t="shared" si="2"/>
        <v>26794.5</v>
      </c>
      <c r="G51" s="92">
        <f t="shared" si="3"/>
        <v>0</v>
      </c>
      <c r="H51" s="414">
        <f>+'[1]P 5 C.Mant. B.P.'!$D$57</f>
        <v>1</v>
      </c>
      <c r="I51" s="92">
        <f>+'[1]P 5 C.Mant. B.P.'!$F$57</f>
        <v>44733</v>
      </c>
      <c r="J51" s="151"/>
      <c r="K51" s="254"/>
      <c r="L51" s="254"/>
      <c r="M51" s="254"/>
      <c r="N51" s="254"/>
      <c r="O51" s="254"/>
      <c r="P51" s="254"/>
      <c r="Q51" s="254"/>
      <c r="R51" s="254"/>
    </row>
    <row r="52" spans="2:18" s="255" customFormat="1" x14ac:dyDescent="0.2">
      <c r="B52" s="93" t="str">
        <f>+C22</f>
        <v>Caldolomita</v>
      </c>
      <c r="C52" s="89" t="s">
        <v>5</v>
      </c>
      <c r="D52" s="101">
        <f>ROUNDUP(($D$47*D22)/1000,0)</f>
        <v>1</v>
      </c>
      <c r="E52" s="91">
        <f>+E22</f>
        <v>236</v>
      </c>
      <c r="F52" s="91">
        <f t="shared" si="2"/>
        <v>236</v>
      </c>
      <c r="G52" s="92">
        <f t="shared" si="3"/>
        <v>0</v>
      </c>
      <c r="H52" s="414">
        <f>+'[1]P 5 C.Mant. B.P.'!$D$58</f>
        <v>50</v>
      </c>
      <c r="I52" s="92">
        <f>+'[1]P 5 C.Mant. B.P.'!$F$58</f>
        <v>10650</v>
      </c>
      <c r="J52" s="151" t="s">
        <v>327</v>
      </c>
      <c r="K52" s="256"/>
      <c r="L52" s="254"/>
      <c r="M52" s="254"/>
      <c r="N52" s="254"/>
      <c r="O52" s="254"/>
      <c r="P52" s="254"/>
      <c r="Q52" s="254"/>
      <c r="R52" s="254"/>
    </row>
    <row r="53" spans="2:18" x14ac:dyDescent="0.2">
      <c r="B53" s="93" t="str">
        <f>+C23</f>
        <v>Hidroretenedor</v>
      </c>
      <c r="C53" s="89" t="s">
        <v>168</v>
      </c>
      <c r="D53" s="101">
        <f>+(D23*D47)/1000</f>
        <v>0.33300000000000002</v>
      </c>
      <c r="E53" s="91">
        <f>+E23</f>
        <v>45342.95</v>
      </c>
      <c r="F53" s="91">
        <f>ROUND(D53*E53,0)</f>
        <v>15099</v>
      </c>
      <c r="G53" s="92">
        <f t="shared" si="3"/>
        <v>0</v>
      </c>
      <c r="H53" s="414">
        <f>+'[1]P 5 C.Mant. B.P.'!$D$59</f>
        <v>4</v>
      </c>
      <c r="I53" s="92">
        <f>+'[1]P 5 C.Mant. B.P.'!$E$59</f>
        <v>44686</v>
      </c>
      <c r="J53" s="151" t="s">
        <v>327</v>
      </c>
      <c r="K53" s="68"/>
      <c r="L53" s="68"/>
      <c r="M53" s="68"/>
      <c r="N53" s="68"/>
      <c r="O53" s="68"/>
      <c r="P53" s="68"/>
      <c r="Q53" s="68"/>
      <c r="R53" s="68"/>
    </row>
    <row r="54" spans="2:18" x14ac:dyDescent="0.2">
      <c r="B54" s="690" t="s">
        <v>173</v>
      </c>
      <c r="C54" s="691"/>
      <c r="D54" s="691"/>
      <c r="E54" s="691"/>
      <c r="F54" s="102">
        <f>+SUM(F47:F53)</f>
        <v>1028112.5833333321</v>
      </c>
      <c r="G54" s="103">
        <f>+SUM(G47:G53)</f>
        <v>0</v>
      </c>
      <c r="H54" s="257"/>
      <c r="I54" s="103">
        <f>SUM(I47:I53)</f>
        <v>626986</v>
      </c>
      <c r="J54" s="151"/>
      <c r="K54" s="68"/>
      <c r="L54" s="258"/>
      <c r="M54" s="259"/>
      <c r="N54" s="259"/>
      <c r="O54" s="260"/>
      <c r="P54" s="261"/>
      <c r="Q54" s="261"/>
      <c r="R54" s="68"/>
    </row>
    <row r="55" spans="2:18" x14ac:dyDescent="0.2">
      <c r="B55" s="687" t="s">
        <v>174</v>
      </c>
      <c r="C55" s="688"/>
      <c r="D55" s="688"/>
      <c r="E55" s="688"/>
      <c r="F55" s="104">
        <f>+F45+F54</f>
        <v>2772752.5833333321</v>
      </c>
      <c r="G55" s="105">
        <f>+F55*$G$31</f>
        <v>0</v>
      </c>
      <c r="H55" s="262"/>
      <c r="I55" s="262"/>
      <c r="J55" s="262"/>
      <c r="K55" s="263"/>
      <c r="L55" s="68"/>
      <c r="M55" s="68"/>
      <c r="N55" s="68"/>
      <c r="O55" s="68"/>
      <c r="P55" s="68"/>
      <c r="Q55" s="68"/>
      <c r="R55" s="68"/>
    </row>
    <row r="56" spans="2:18" ht="15.75" customHeight="1" x14ac:dyDescent="0.2">
      <c r="B56" s="683" t="s">
        <v>175</v>
      </c>
      <c r="C56" s="684"/>
      <c r="D56" s="684"/>
      <c r="E56" s="684"/>
      <c r="F56" s="106"/>
      <c r="G56" s="107"/>
      <c r="H56" s="64"/>
      <c r="I56" s="250"/>
      <c r="J56" s="64"/>
      <c r="K56" s="68"/>
      <c r="L56" s="68"/>
      <c r="M56" s="68"/>
      <c r="N56" s="68"/>
      <c r="O56" s="68"/>
      <c r="P56" s="68"/>
      <c r="Q56" s="68"/>
      <c r="R56" s="68"/>
    </row>
    <row r="57" spans="2:18" ht="15.75" customHeight="1" x14ac:dyDescent="0.2">
      <c r="B57" s="640" t="s">
        <v>176</v>
      </c>
      <c r="C57" s="641"/>
      <c r="D57" s="641"/>
      <c r="E57" s="641"/>
      <c r="F57" s="415">
        <f>ROUND($F$45*$D$25,0)</f>
        <v>87232</v>
      </c>
      <c r="G57" s="416">
        <f>+F57*G31</f>
        <v>0</v>
      </c>
      <c r="H57" s="264"/>
      <c r="I57" s="264"/>
      <c r="J57" s="264"/>
      <c r="K57" s="68"/>
      <c r="L57" s="68"/>
      <c r="M57" s="68"/>
      <c r="N57" s="68"/>
      <c r="O57" s="68"/>
      <c r="P57" s="68"/>
      <c r="Q57" s="68"/>
      <c r="R57" s="68"/>
    </row>
    <row r="58" spans="2:18" ht="15.75" customHeight="1" x14ac:dyDescent="0.2">
      <c r="B58" s="640" t="s">
        <v>177</v>
      </c>
      <c r="C58" s="641"/>
      <c r="D58" s="641"/>
      <c r="E58" s="641"/>
      <c r="F58" s="415">
        <f>ROUND($F$45*$D$25,0)</f>
        <v>87232</v>
      </c>
      <c r="G58" s="416">
        <f>+F58*G31</f>
        <v>0</v>
      </c>
      <c r="H58" s="264"/>
      <c r="I58" s="264"/>
      <c r="J58" s="264"/>
      <c r="K58" s="68"/>
      <c r="L58" s="68"/>
      <c r="M58" s="68"/>
      <c r="N58" s="68"/>
      <c r="O58" s="68"/>
      <c r="P58" s="68"/>
      <c r="Q58" s="68"/>
      <c r="R58" s="68"/>
    </row>
    <row r="59" spans="2:18" x14ac:dyDescent="0.2">
      <c r="B59" s="640" t="s">
        <v>298</v>
      </c>
      <c r="C59" s="641"/>
      <c r="D59" s="641"/>
      <c r="E59" s="641"/>
      <c r="F59" s="265">
        <f>ROUNDUP(F54*D28,0)</f>
        <v>102812</v>
      </c>
      <c r="G59" s="266">
        <f>+F59*$G$31</f>
        <v>0</v>
      </c>
      <c r="H59" s="267"/>
      <c r="I59" s="267"/>
      <c r="J59" s="267"/>
      <c r="K59" s="68"/>
      <c r="L59" s="68"/>
      <c r="M59" s="68"/>
      <c r="N59" s="68"/>
      <c r="O59" s="68"/>
      <c r="P59" s="68"/>
      <c r="Q59" s="68"/>
      <c r="R59" s="68"/>
    </row>
    <row r="60" spans="2:18" x14ac:dyDescent="0.2">
      <c r="B60" s="683" t="s">
        <v>179</v>
      </c>
      <c r="C60" s="684"/>
      <c r="D60" s="684"/>
      <c r="E60" s="684"/>
      <c r="F60" s="112">
        <f>SUM(F57:F59)</f>
        <v>277276</v>
      </c>
      <c r="G60" s="113">
        <f>SUM(G57:G59)</f>
        <v>0</v>
      </c>
      <c r="H60" s="262"/>
      <c r="I60" s="262"/>
      <c r="J60" s="262"/>
      <c r="K60" s="68"/>
      <c r="L60" s="68"/>
      <c r="M60" s="68"/>
      <c r="N60" s="68"/>
      <c r="O60" s="68"/>
      <c r="P60" s="68"/>
      <c r="Q60" s="68"/>
      <c r="R60" s="68"/>
    </row>
    <row r="61" spans="2:18" ht="15.75" customHeight="1" thickBot="1" x14ac:dyDescent="0.25">
      <c r="B61" s="685" t="s">
        <v>299</v>
      </c>
      <c r="C61" s="686"/>
      <c r="D61" s="686"/>
      <c r="E61" s="686"/>
      <c r="F61" s="114">
        <f>+F55+F60</f>
        <v>3050028.5833333321</v>
      </c>
      <c r="G61" s="115">
        <f>+G55+G60</f>
        <v>0</v>
      </c>
      <c r="H61" s="268"/>
      <c r="I61" s="268"/>
      <c r="J61" s="268"/>
      <c r="K61" s="68"/>
      <c r="L61" s="68"/>
      <c r="M61" s="68"/>
      <c r="N61" s="68"/>
      <c r="O61" s="68"/>
      <c r="P61" s="68"/>
      <c r="Q61" s="68"/>
      <c r="R61" s="68"/>
    </row>
    <row r="62" spans="2:18" s="46" customFormat="1" ht="15.75" customHeight="1" thickBot="1" x14ac:dyDescent="0.25">
      <c r="B62" s="78" t="s">
        <v>140</v>
      </c>
      <c r="C62" s="269" t="s">
        <v>181</v>
      </c>
      <c r="D62" s="270" t="s">
        <v>182</v>
      </c>
      <c r="E62" s="270" t="s">
        <v>183</v>
      </c>
      <c r="F62" s="270" t="s">
        <v>184</v>
      </c>
      <c r="G62" s="271" t="s">
        <v>251</v>
      </c>
      <c r="H62" s="268"/>
      <c r="I62" s="268"/>
      <c r="J62" s="268"/>
      <c r="K62" s="249"/>
      <c r="L62" s="249"/>
      <c r="M62" s="249"/>
      <c r="N62" s="249"/>
      <c r="O62" s="249"/>
      <c r="P62" s="249"/>
      <c r="Q62" s="249"/>
      <c r="R62" s="249"/>
    </row>
    <row r="63" spans="2:18" s="46" customFormat="1" ht="15.75" customHeight="1" thickBot="1" x14ac:dyDescent="0.25">
      <c r="B63" s="124" t="s">
        <v>333</v>
      </c>
      <c r="C63" s="125">
        <v>0.01</v>
      </c>
      <c r="D63" s="454" t="s">
        <v>188</v>
      </c>
      <c r="E63" s="454">
        <v>6</v>
      </c>
      <c r="F63" s="455">
        <f>3800000*E63*C63</f>
        <v>228000</v>
      </c>
      <c r="G63" s="126">
        <f>+F63*$G$31</f>
        <v>0</v>
      </c>
      <c r="H63" s="268"/>
      <c r="I63" s="417">
        <v>0.4</v>
      </c>
      <c r="J63" s="418">
        <v>8</v>
      </c>
      <c r="K63" s="419">
        <v>3600000</v>
      </c>
      <c r="L63" s="420">
        <f>ROUND(I63*J63*K63,0)</f>
        <v>11520000</v>
      </c>
    </row>
    <row r="64" spans="2:18" s="46" customFormat="1" ht="15.75" customHeight="1" thickBot="1" x14ac:dyDescent="0.25">
      <c r="B64" s="127" t="s">
        <v>186</v>
      </c>
      <c r="C64" s="128"/>
      <c r="D64" s="129"/>
      <c r="E64" s="129"/>
      <c r="F64" s="422">
        <f>+F63</f>
        <v>228000</v>
      </c>
      <c r="G64" s="130">
        <f>+G63</f>
        <v>0</v>
      </c>
      <c r="H64" s="268"/>
      <c r="I64" s="268"/>
      <c r="J64" s="268"/>
    </row>
    <row r="65" spans="2:13" x14ac:dyDescent="0.2">
      <c r="B65" s="131" t="s">
        <v>300</v>
      </c>
      <c r="C65" s="132"/>
      <c r="D65" s="132"/>
      <c r="E65" s="132"/>
      <c r="F65" s="421">
        <f>+F61+F64</f>
        <v>3278028.5833333321</v>
      </c>
      <c r="G65" s="133">
        <f>+G61+G64</f>
        <v>0</v>
      </c>
      <c r="H65" s="249"/>
      <c r="I65" s="272">
        <f>+G31-I66-I67-I68</f>
        <v>-2289</v>
      </c>
      <c r="J65" s="450">
        <f>+I65*$F$70</f>
        <v>-8775233052.2499981</v>
      </c>
      <c r="K65" s="151"/>
    </row>
    <row r="66" spans="2:13" x14ac:dyDescent="0.2">
      <c r="B66" s="300" t="s">
        <v>191</v>
      </c>
      <c r="C66" s="301">
        <v>0.1</v>
      </c>
      <c r="D66" s="302"/>
      <c r="E66" s="408"/>
      <c r="F66" s="409">
        <f>ROUND($F$65*C66,0)</f>
        <v>327803</v>
      </c>
      <c r="G66" s="410">
        <f>+C66*$G$65</f>
        <v>0</v>
      </c>
      <c r="H66" s="273"/>
      <c r="I66" s="249">
        <v>848</v>
      </c>
      <c r="J66" s="450">
        <f>+I66*$F$70</f>
        <v>3250938238.6666656</v>
      </c>
      <c r="K66" s="151"/>
      <c r="L66" s="151"/>
      <c r="M66" s="142"/>
    </row>
    <row r="67" spans="2:13" x14ac:dyDescent="0.2">
      <c r="B67" s="134" t="s">
        <v>192</v>
      </c>
      <c r="C67" s="135">
        <v>0.01</v>
      </c>
      <c r="D67" s="136"/>
      <c r="E67" s="370"/>
      <c r="F67" s="372">
        <f>ROUND($F$65*C67,0)</f>
        <v>32780</v>
      </c>
      <c r="G67" s="410">
        <f>+C67*$G$65</f>
        <v>0</v>
      </c>
      <c r="H67" s="273"/>
      <c r="I67" s="249">
        <v>756</v>
      </c>
      <c r="J67" s="450">
        <f>+I67*$F$70</f>
        <v>2898242108.999999</v>
      </c>
      <c r="K67" s="151"/>
      <c r="L67" s="151"/>
      <c r="M67" s="142"/>
    </row>
    <row r="68" spans="2:13" x14ac:dyDescent="0.2">
      <c r="B68" s="134" t="s">
        <v>193</v>
      </c>
      <c r="C68" s="135">
        <v>0.05</v>
      </c>
      <c r="D68" s="136"/>
      <c r="E68" s="370"/>
      <c r="F68" s="372">
        <f>ROUND($F$65*C68,0)</f>
        <v>163901</v>
      </c>
      <c r="G68" s="410">
        <f>+C68*$G$65</f>
        <v>0</v>
      </c>
      <c r="H68" s="273"/>
      <c r="I68" s="249">
        <v>685</v>
      </c>
      <c r="J68" s="450">
        <f>+I68*$F$70</f>
        <v>2626052704.5833325</v>
      </c>
      <c r="K68" s="151"/>
      <c r="L68" s="151"/>
      <c r="M68" s="142"/>
    </row>
    <row r="69" spans="2:13" ht="13.5" thickBot="1" x14ac:dyDescent="0.25">
      <c r="B69" s="134" t="s">
        <v>321</v>
      </c>
      <c r="C69" s="135">
        <v>0.19</v>
      </c>
      <c r="D69" s="136"/>
      <c r="E69" s="370"/>
      <c r="F69" s="372">
        <f>ROUND(F68*C69,0)</f>
        <v>31141</v>
      </c>
      <c r="G69" s="410">
        <f>+C69*$G$68</f>
        <v>0</v>
      </c>
      <c r="H69" s="273"/>
      <c r="I69" s="249"/>
      <c r="J69" s="273"/>
      <c r="K69" s="151"/>
      <c r="L69" s="151"/>
      <c r="M69" s="142"/>
    </row>
    <row r="70" spans="2:13" ht="13.5" thickBot="1" x14ac:dyDescent="0.25">
      <c r="B70" s="633" t="s">
        <v>301</v>
      </c>
      <c r="C70" s="634"/>
      <c r="D70" s="634"/>
      <c r="E70" s="634"/>
      <c r="F70" s="423">
        <f>+F65+F66+F69+F68+F67</f>
        <v>3833653.5833333321</v>
      </c>
      <c r="G70" s="423">
        <f>+G65+G66+G69+G68+G67</f>
        <v>0</v>
      </c>
      <c r="H70" s="273">
        <f>+F70*718</f>
        <v>2752563272.8333325</v>
      </c>
      <c r="I70" s="151"/>
      <c r="J70" s="142"/>
    </row>
    <row r="71" spans="2:13" x14ac:dyDescent="0.2">
      <c r="C71" s="139"/>
      <c r="G71" s="140">
        <f>+G70+Aislamiento!G69+Enriquecimiento!G78</f>
        <v>0</v>
      </c>
      <c r="H71" s="273">
        <f>+H70*1.15</f>
        <v>3165447763.7583323</v>
      </c>
      <c r="I71" s="142"/>
    </row>
    <row r="72" spans="2:13" x14ac:dyDescent="0.2">
      <c r="G72" s="141"/>
      <c r="H72" s="141">
        <f>+H71+Aislamiento!G69</f>
        <v>3165447763.7583323</v>
      </c>
      <c r="I72" s="151">
        <f>+H72-1250000000</f>
        <v>1915447763.7583323</v>
      </c>
    </row>
    <row r="73" spans="2:13" ht="13.5" thickBot="1" x14ac:dyDescent="0.25">
      <c r="B73" s="635" t="s">
        <v>196</v>
      </c>
      <c r="C73" s="635"/>
      <c r="D73" s="635"/>
      <c r="G73" s="142"/>
      <c r="I73" s="142">
        <f>+Enriquecimiento!G78*1.15</f>
        <v>0</v>
      </c>
      <c r="K73" s="151"/>
    </row>
    <row r="74" spans="2:13" x14ac:dyDescent="0.2">
      <c r="B74" s="143" t="s">
        <v>197</v>
      </c>
      <c r="C74" s="144" t="s">
        <v>198</v>
      </c>
      <c r="D74" s="145" t="s">
        <v>199</v>
      </c>
      <c r="I74" s="246">
        <f>+I73+I72</f>
        <v>1915447763.7583323</v>
      </c>
      <c r="K74" s="151"/>
    </row>
    <row r="75" spans="2:13" x14ac:dyDescent="0.2">
      <c r="B75" s="93" t="s">
        <v>152</v>
      </c>
      <c r="C75" s="89" t="s">
        <v>131</v>
      </c>
      <c r="D75" s="149">
        <v>12</v>
      </c>
      <c r="E75" s="274"/>
      <c r="G75" s="151"/>
      <c r="H75" s="275"/>
      <c r="I75" s="151"/>
      <c r="K75" s="246"/>
    </row>
    <row r="76" spans="2:13" x14ac:dyDescent="0.2">
      <c r="B76" s="93" t="s">
        <v>156</v>
      </c>
      <c r="C76" s="89" t="s">
        <v>136</v>
      </c>
      <c r="D76" s="149">
        <v>4</v>
      </c>
      <c r="E76" s="274"/>
      <c r="I76" s="246"/>
      <c r="J76" s="139"/>
    </row>
    <row r="77" spans="2:13" x14ac:dyDescent="0.2">
      <c r="B77" s="93" t="s">
        <v>159</v>
      </c>
      <c r="C77" s="89" t="s">
        <v>131</v>
      </c>
      <c r="D77" s="149">
        <v>2</v>
      </c>
      <c r="E77" s="274"/>
      <c r="I77" s="151"/>
      <c r="J77" s="139"/>
      <c r="K77" s="151"/>
    </row>
    <row r="78" spans="2:13" x14ac:dyDescent="0.2">
      <c r="B78" s="93" t="s">
        <v>154</v>
      </c>
      <c r="C78" s="89" t="s">
        <v>131</v>
      </c>
      <c r="D78" s="149">
        <v>2</v>
      </c>
      <c r="E78" s="274"/>
      <c r="H78" s="45"/>
      <c r="I78" s="246"/>
    </row>
    <row r="79" spans="2:13" x14ac:dyDescent="0.2">
      <c r="B79" s="93" t="s">
        <v>202</v>
      </c>
      <c r="C79" s="89" t="s">
        <v>131</v>
      </c>
      <c r="D79" s="149">
        <v>2</v>
      </c>
      <c r="E79" s="274"/>
      <c r="H79" s="45"/>
    </row>
    <row r="80" spans="2:13" x14ac:dyDescent="0.2">
      <c r="B80" s="93" t="s">
        <v>158</v>
      </c>
      <c r="C80" s="89" t="s">
        <v>131</v>
      </c>
      <c r="D80" s="149">
        <v>2</v>
      </c>
      <c r="E80" s="274"/>
      <c r="H80" s="45"/>
    </row>
    <row r="81" spans="2:8" x14ac:dyDescent="0.2">
      <c r="B81" s="94" t="s">
        <v>160</v>
      </c>
      <c r="C81" s="89" t="s">
        <v>131</v>
      </c>
      <c r="D81" s="149">
        <v>12</v>
      </c>
      <c r="E81" s="274"/>
      <c r="H81" s="45"/>
    </row>
    <row r="82" spans="2:8" ht="13.5" thickBot="1" x14ac:dyDescent="0.25">
      <c r="B82" s="276"/>
      <c r="C82" s="277"/>
      <c r="D82" s="278"/>
      <c r="E82" s="274"/>
      <c r="H82" s="45"/>
    </row>
    <row r="83" spans="2:8" x14ac:dyDescent="0.2">
      <c r="D83" s="239" t="s">
        <v>330</v>
      </c>
    </row>
  </sheetData>
  <mergeCells count="20">
    <mergeCell ref="B55:E55"/>
    <mergeCell ref="B3:G3"/>
    <mergeCell ref="C4:G4"/>
    <mergeCell ref="C5:G5"/>
    <mergeCell ref="C6:G6"/>
    <mergeCell ref="B11:C11"/>
    <mergeCell ref="B12:C12"/>
    <mergeCell ref="B31:C31"/>
    <mergeCell ref="D31:F31"/>
    <mergeCell ref="C36:D36"/>
    <mergeCell ref="B46:F46"/>
    <mergeCell ref="B54:E54"/>
    <mergeCell ref="B70:E70"/>
    <mergeCell ref="B73:D73"/>
    <mergeCell ref="B56:E56"/>
    <mergeCell ref="B57:E57"/>
    <mergeCell ref="B58:E58"/>
    <mergeCell ref="B59:E59"/>
    <mergeCell ref="B60:E60"/>
    <mergeCell ref="B61:E61"/>
  </mergeCells>
  <conditionalFormatting sqref="F60:H60">
    <cfRule type="cellIs" dxfId="8" priority="3" stopIfTrue="1" operator="greaterThan">
      <formula>0</formula>
    </cfRule>
  </conditionalFormatting>
  <conditionalFormatting sqref="J60">
    <cfRule type="cellIs" dxfId="7" priority="2" stopIfTrue="1" operator="greaterThan">
      <formula>0</formula>
    </cfRule>
  </conditionalFormatting>
  <conditionalFormatting sqref="I60">
    <cfRule type="cellIs" dxfId="6" priority="1" stopIfTrue="1" operator="greaterThan">
      <formula>0</formula>
    </cfRule>
  </conditionalFormatting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9A72-9ACD-4851-B151-20A9FFB2B468}">
  <dimension ref="B3:M94"/>
  <sheetViews>
    <sheetView topLeftCell="A19" workbookViewId="0">
      <selection activeCell="C7" sqref="C7"/>
    </sheetView>
  </sheetViews>
  <sheetFormatPr baseColWidth="10" defaultRowHeight="15" x14ac:dyDescent="0.25"/>
  <cols>
    <col min="2" max="2" width="29.42578125" customWidth="1"/>
    <col min="3" max="3" width="17.7109375" customWidth="1"/>
    <col min="5" max="5" width="15.5703125" customWidth="1"/>
    <col min="6" max="6" width="12.85546875" customWidth="1"/>
    <col min="7" max="7" width="16.85546875" customWidth="1"/>
    <col min="9" max="9" width="23.28515625" customWidth="1"/>
    <col min="11" max="11" width="14.140625" bestFit="1" customWidth="1"/>
    <col min="13" max="13" width="12.5703125" bestFit="1" customWidth="1"/>
  </cols>
  <sheetData>
    <row r="3" spans="2:7" x14ac:dyDescent="0.25">
      <c r="B3" s="644" t="s">
        <v>102</v>
      </c>
      <c r="C3" s="644"/>
      <c r="D3" s="644"/>
      <c r="E3" s="644"/>
      <c r="F3" s="644"/>
      <c r="G3" s="644"/>
    </row>
    <row r="4" spans="2:7" x14ac:dyDescent="0.25">
      <c r="B4" s="40" t="s">
        <v>103</v>
      </c>
      <c r="C4" s="645" t="s">
        <v>104</v>
      </c>
      <c r="D4" s="645"/>
      <c r="E4" s="645"/>
      <c r="F4" s="645"/>
      <c r="G4" s="645"/>
    </row>
    <row r="5" spans="2:7" x14ac:dyDescent="0.25">
      <c r="B5" s="40" t="s">
        <v>105</v>
      </c>
      <c r="C5" s="646" t="s">
        <v>106</v>
      </c>
      <c r="D5" s="646"/>
      <c r="E5" s="646"/>
      <c r="F5" s="646"/>
      <c r="G5" s="646"/>
    </row>
    <row r="6" spans="2:7" ht="27" customHeight="1" x14ac:dyDescent="0.25">
      <c r="B6" s="40" t="s">
        <v>107</v>
      </c>
      <c r="C6" s="689" t="s">
        <v>356</v>
      </c>
      <c r="D6" s="689"/>
      <c r="E6" s="689"/>
      <c r="F6" s="689"/>
      <c r="G6" s="689"/>
    </row>
    <row r="7" spans="2:7" x14ac:dyDescent="0.25">
      <c r="B7" s="41"/>
      <c r="C7" s="41"/>
      <c r="D7" s="41"/>
      <c r="E7" s="41"/>
      <c r="F7" s="41"/>
      <c r="G7" s="41"/>
    </row>
    <row r="8" spans="2:7" x14ac:dyDescent="0.25">
      <c r="B8" s="42" t="s">
        <v>108</v>
      </c>
      <c r="C8" s="43" t="s">
        <v>109</v>
      </c>
      <c r="D8" s="41"/>
      <c r="E8" s="44" t="s">
        <v>110</v>
      </c>
      <c r="F8" s="41"/>
      <c r="G8" s="41"/>
    </row>
    <row r="9" spans="2:7" x14ac:dyDescent="0.25">
      <c r="B9" s="45"/>
      <c r="C9" s="46"/>
      <c r="D9" s="46"/>
      <c r="E9" s="45"/>
      <c r="F9" s="45"/>
      <c r="G9" s="45"/>
    </row>
    <row r="10" spans="2:7" ht="22.5" x14ac:dyDescent="0.25">
      <c r="B10" s="47" t="str">
        <f>+[4]Establec.!B10</f>
        <v>1. Número de Plántulas Arboreas por Ha</v>
      </c>
      <c r="C10" s="48"/>
      <c r="D10" s="49">
        <v>440</v>
      </c>
      <c r="E10" s="50">
        <f>+'Estudio de Mercado'!J48</f>
        <v>5817.7777777777665</v>
      </c>
      <c r="F10" s="51"/>
      <c r="G10" s="52"/>
    </row>
    <row r="11" spans="2:7" x14ac:dyDescent="0.25">
      <c r="B11" s="650" t="s">
        <v>111</v>
      </c>
      <c r="C11" s="651"/>
      <c r="D11" s="49"/>
      <c r="E11" s="50"/>
      <c r="F11" s="51"/>
      <c r="G11" s="53"/>
    </row>
    <row r="12" spans="2:7" x14ac:dyDescent="0.25">
      <c r="B12" s="650" t="str">
        <f>+[4]Establec.!B12</f>
        <v>3. Porcentaje de reposición  %</v>
      </c>
      <c r="C12" s="651"/>
      <c r="D12" s="298">
        <v>0.1</v>
      </c>
      <c r="E12" s="50"/>
      <c r="F12" s="45" t="s">
        <v>329</v>
      </c>
      <c r="G12" s="45"/>
    </row>
    <row r="13" spans="2:7" ht="22.5" x14ac:dyDescent="0.25">
      <c r="B13" s="47" t="s">
        <v>112</v>
      </c>
      <c r="C13" s="55" t="s">
        <v>1</v>
      </c>
      <c r="D13" s="56" t="s">
        <v>113</v>
      </c>
      <c r="E13" s="57" t="s">
        <v>114</v>
      </c>
      <c r="F13" s="45"/>
      <c r="G13" s="45"/>
    </row>
    <row r="14" spans="2:7" ht="22.5" x14ac:dyDescent="0.25">
      <c r="B14" s="47" t="s">
        <v>115</v>
      </c>
      <c r="C14" s="58" t="s">
        <v>116</v>
      </c>
      <c r="D14" s="59">
        <v>50</v>
      </c>
      <c r="E14" s="60">
        <f>+'Estudio de Mercado'!K7</f>
        <v>2206.75</v>
      </c>
      <c r="F14" s="45"/>
      <c r="G14" s="45"/>
    </row>
    <row r="15" spans="2:7" ht="22.5" x14ac:dyDescent="0.25">
      <c r="B15" s="47" t="s">
        <v>115</v>
      </c>
      <c r="C15" s="58" t="s">
        <v>117</v>
      </c>
      <c r="D15" s="59">
        <v>50</v>
      </c>
      <c r="E15" s="60">
        <f>ROUND('Estudio de Mercado'!K5,0)</f>
        <v>3348</v>
      </c>
      <c r="F15" s="45"/>
      <c r="G15" s="45"/>
    </row>
    <row r="16" spans="2:7" ht="22.5" x14ac:dyDescent="0.25">
      <c r="B16" s="47" t="s">
        <v>118</v>
      </c>
      <c r="C16" s="58" t="s">
        <v>10</v>
      </c>
      <c r="D16" s="59">
        <v>50</v>
      </c>
      <c r="E16" s="60">
        <f>+'Estudio de Mercado'!K8</f>
        <v>3707.5949999999998</v>
      </c>
      <c r="F16" s="45"/>
      <c r="G16" s="45"/>
    </row>
    <row r="17" spans="2:8" x14ac:dyDescent="0.25">
      <c r="B17" s="47" t="s">
        <v>119</v>
      </c>
      <c r="C17" s="58" t="s">
        <v>4</v>
      </c>
      <c r="D17" s="59">
        <v>200</v>
      </c>
      <c r="E17" s="60">
        <f>ROUND('Estudio de Mercado'!K4,0)</f>
        <v>1097</v>
      </c>
      <c r="F17" s="45"/>
      <c r="G17" s="45"/>
    </row>
    <row r="18" spans="2:8" x14ac:dyDescent="0.25">
      <c r="B18" s="47" t="s">
        <v>120</v>
      </c>
      <c r="C18" s="58" t="s">
        <v>121</v>
      </c>
      <c r="D18" s="59">
        <v>150</v>
      </c>
      <c r="E18" s="61">
        <f>ROUND('Estudio de Mercado'!J11,0)</f>
        <v>46049</v>
      </c>
      <c r="F18" s="45"/>
      <c r="G18" s="45"/>
    </row>
    <row r="19" spans="2:8" x14ac:dyDescent="0.25">
      <c r="B19" s="47" t="s">
        <v>122</v>
      </c>
      <c r="C19" s="58" t="s">
        <v>12</v>
      </c>
      <c r="D19" s="59">
        <v>0.5</v>
      </c>
      <c r="E19" s="61">
        <f>+'Estudio de Mercado'!J9</f>
        <v>192348</v>
      </c>
      <c r="F19" s="45"/>
      <c r="G19" s="45"/>
    </row>
    <row r="20" spans="2:8" x14ac:dyDescent="0.25">
      <c r="B20" s="47" t="s">
        <v>123</v>
      </c>
      <c r="C20" s="58" t="s">
        <v>124</v>
      </c>
      <c r="D20" s="59">
        <v>1</v>
      </c>
      <c r="E20" s="61">
        <f>+'Estudio de Mercado'!J12</f>
        <v>34013.5</v>
      </c>
      <c r="F20" s="45"/>
      <c r="G20" s="45"/>
    </row>
    <row r="21" spans="2:8" x14ac:dyDescent="0.25">
      <c r="B21" s="47" t="s">
        <v>125</v>
      </c>
      <c r="C21" s="58" t="s">
        <v>307</v>
      </c>
      <c r="D21" s="59">
        <v>0.2</v>
      </c>
      <c r="E21" s="61">
        <f>ROUND('Estudio de Mercado'!J13,0)</f>
        <v>217019</v>
      </c>
      <c r="F21" s="45"/>
      <c r="G21" s="45"/>
    </row>
    <row r="22" spans="2:8" x14ac:dyDescent="0.25">
      <c r="B22" s="47" t="s">
        <v>127</v>
      </c>
      <c r="C22" s="58" t="s">
        <v>306</v>
      </c>
      <c r="D22" s="59">
        <v>1</v>
      </c>
      <c r="E22" s="60">
        <f>+'Estudio de Mercado'!J10</f>
        <v>26794.5</v>
      </c>
      <c r="F22" s="45"/>
      <c r="G22" s="45"/>
    </row>
    <row r="23" spans="2:8" x14ac:dyDescent="0.25">
      <c r="B23" s="47" t="s">
        <v>128</v>
      </c>
      <c r="C23" s="58" t="s">
        <v>18</v>
      </c>
      <c r="D23" s="59">
        <v>50</v>
      </c>
      <c r="E23" s="61">
        <f>ROUND('Estudio de Mercado'!K15,0)</f>
        <v>236</v>
      </c>
      <c r="F23" s="45"/>
      <c r="G23" s="45"/>
    </row>
    <row r="24" spans="2:8" x14ac:dyDescent="0.25">
      <c r="B24" s="47" t="s">
        <v>129</v>
      </c>
      <c r="C24" s="58" t="s">
        <v>19</v>
      </c>
      <c r="D24" s="59">
        <v>3</v>
      </c>
      <c r="E24" s="61">
        <f>+'Estudio de Mercado'!J16</f>
        <v>45342.95</v>
      </c>
      <c r="F24" s="45"/>
      <c r="G24" s="45"/>
    </row>
    <row r="25" spans="2:8" ht="45" x14ac:dyDescent="0.25">
      <c r="B25" s="47" t="s">
        <v>130</v>
      </c>
      <c r="C25" s="58" t="s">
        <v>131</v>
      </c>
      <c r="D25" s="49" t="s">
        <v>132</v>
      </c>
      <c r="E25" s="60">
        <f>+'Estudio de Mercado'!B73</f>
        <v>54520</v>
      </c>
      <c r="F25" s="62"/>
      <c r="G25" s="45"/>
    </row>
    <row r="26" spans="2:8" x14ac:dyDescent="0.25">
      <c r="B26" s="47" t="s">
        <v>133</v>
      </c>
      <c r="C26" s="58" t="s">
        <v>132</v>
      </c>
      <c r="D26" s="63">
        <v>0.05</v>
      </c>
      <c r="E26" s="64"/>
      <c r="F26" s="45"/>
      <c r="G26" s="45"/>
    </row>
    <row r="27" spans="2:8" ht="22.5" x14ac:dyDescent="0.25">
      <c r="B27" s="47" t="s">
        <v>134</v>
      </c>
      <c r="C27" s="58" t="s">
        <v>132</v>
      </c>
      <c r="D27" s="63">
        <v>0.05</v>
      </c>
      <c r="E27" s="64"/>
      <c r="F27" s="45"/>
      <c r="G27" s="45"/>
    </row>
    <row r="28" spans="2:8" ht="22.5" x14ac:dyDescent="0.25">
      <c r="B28" s="47" t="s">
        <v>135</v>
      </c>
      <c r="C28" s="58" t="s">
        <v>136</v>
      </c>
      <c r="D28" s="65">
        <f>+Mantenimiento!D27</f>
        <v>0</v>
      </c>
      <c r="E28" s="64"/>
      <c r="F28" s="45"/>
      <c r="G28" s="45"/>
    </row>
    <row r="29" spans="2:8" ht="22.5" x14ac:dyDescent="0.25">
      <c r="B29" s="47" t="s">
        <v>137</v>
      </c>
      <c r="C29" s="58" t="s">
        <v>132</v>
      </c>
      <c r="D29" s="66">
        <f>+[4]Establec.!D30</f>
        <v>0.15</v>
      </c>
      <c r="E29" s="64"/>
      <c r="F29" s="45"/>
      <c r="G29" s="45"/>
    </row>
    <row r="30" spans="2:8" x14ac:dyDescent="0.25">
      <c r="B30" s="67"/>
      <c r="C30" s="68"/>
      <c r="D30" s="69"/>
      <c r="E30" s="70"/>
      <c r="F30" s="71"/>
      <c r="G30" s="72"/>
    </row>
    <row r="31" spans="2:8" ht="15.75" thickBot="1" x14ac:dyDescent="0.3">
      <c r="B31" s="67"/>
      <c r="C31" s="68"/>
      <c r="D31" s="69"/>
      <c r="E31" s="70"/>
      <c r="F31" s="71"/>
      <c r="G31" s="72"/>
    </row>
    <row r="32" spans="2:8" ht="26.25" customHeight="1" x14ac:dyDescent="0.25">
      <c r="B32" s="652" t="s">
        <v>304</v>
      </c>
      <c r="C32" s="653"/>
      <c r="D32" s="653" t="s">
        <v>138</v>
      </c>
      <c r="E32" s="653"/>
      <c r="F32" s="653"/>
      <c r="G32" s="73">
        <v>0</v>
      </c>
      <c r="H32">
        <f>+G32+425+37.3</f>
        <v>462.3</v>
      </c>
    </row>
    <row r="33" spans="2:11" x14ac:dyDescent="0.25">
      <c r="B33" s="74" t="s">
        <v>305</v>
      </c>
      <c r="C33" s="1"/>
      <c r="D33" s="1"/>
      <c r="E33" s="1"/>
      <c r="F33" s="1"/>
      <c r="G33" s="75"/>
    </row>
    <row r="34" spans="2:11" ht="15.75" thickBot="1" x14ac:dyDescent="0.3">
      <c r="B34" s="76" t="s">
        <v>139</v>
      </c>
      <c r="C34" s="3"/>
      <c r="D34" s="3"/>
      <c r="E34" s="3"/>
      <c r="F34" s="433"/>
      <c r="G34" s="77"/>
    </row>
    <row r="35" spans="2:11" ht="33.75" x14ac:dyDescent="0.25">
      <c r="B35" s="78" t="s">
        <v>140</v>
      </c>
      <c r="C35" s="79" t="s">
        <v>2</v>
      </c>
      <c r="D35" s="80" t="s">
        <v>141</v>
      </c>
      <c r="E35" s="309" t="s">
        <v>142</v>
      </c>
      <c r="F35" s="434" t="s">
        <v>143</v>
      </c>
      <c r="G35" s="315" t="s">
        <v>144</v>
      </c>
    </row>
    <row r="36" spans="2:11" x14ac:dyDescent="0.25">
      <c r="B36" s="82" t="s">
        <v>145</v>
      </c>
      <c r="C36" s="83"/>
      <c r="D36" s="83"/>
      <c r="E36" s="310"/>
      <c r="F36" s="322"/>
      <c r="G36" s="316"/>
    </row>
    <row r="37" spans="2:11" x14ac:dyDescent="0.25">
      <c r="B37" s="85" t="s">
        <v>146</v>
      </c>
      <c r="C37" s="655" t="s">
        <v>147</v>
      </c>
      <c r="D37" s="655"/>
      <c r="E37" s="311"/>
      <c r="F37" s="323"/>
      <c r="G37" s="317"/>
      <c r="I37">
        <v>2020</v>
      </c>
    </row>
    <row r="38" spans="2:11" x14ac:dyDescent="0.25">
      <c r="B38" s="88" t="s">
        <v>148</v>
      </c>
      <c r="C38" s="89" t="s">
        <v>149</v>
      </c>
      <c r="D38" s="90">
        <v>10000</v>
      </c>
      <c r="E38" s="312">
        <f t="shared" ref="E38:E43" si="0">+(($E$25*D83)/D38)</f>
        <v>32.712000000000003</v>
      </c>
      <c r="F38" s="324">
        <f t="shared" ref="F38:F49" si="1">+D38*E38</f>
        <v>327120.00000000006</v>
      </c>
      <c r="G38" s="318">
        <f t="shared" ref="G38:G49" si="2">+F38*$G$32</f>
        <v>0</v>
      </c>
      <c r="I38" s="88" t="str">
        <f>+'[1]P 6 C.Mant.E. Forest.'!A36</f>
        <v>Preparación del terreno</v>
      </c>
      <c r="J38" s="91">
        <f>+'[1]P 6 C.Mant.E. Forest.'!D36</f>
        <v>0</v>
      </c>
      <c r="K38" s="91">
        <f>+'[1]P 6 C.Mant.E. Forest.'!E36</f>
        <v>0</v>
      </c>
    </row>
    <row r="39" spans="2:11" x14ac:dyDescent="0.25">
      <c r="B39" s="88" t="s">
        <v>150</v>
      </c>
      <c r="C39" s="89" t="s">
        <v>59</v>
      </c>
      <c r="D39" s="90">
        <f>+$D$10+$D$11</f>
        <v>440</v>
      </c>
      <c r="E39" s="312">
        <f t="shared" si="0"/>
        <v>247.81818181818181</v>
      </c>
      <c r="F39" s="324">
        <f t="shared" si="1"/>
        <v>109040</v>
      </c>
      <c r="G39" s="318">
        <f>+F39*$G$32</f>
        <v>0</v>
      </c>
      <c r="I39" s="88" t="str">
        <f>+'[1]P 6 C.Mant.E. Forest.'!A37</f>
        <v>Trazado</v>
      </c>
      <c r="J39" s="91">
        <f>+'[1]P 6 C.Mant.E. Forest.'!D37</f>
        <v>0</v>
      </c>
      <c r="K39" s="91">
        <f>+'[1]P 6 C.Mant.E. Forest.'!E37</f>
        <v>0</v>
      </c>
    </row>
    <row r="40" spans="2:11" x14ac:dyDescent="0.25">
      <c r="B40" s="93" t="s">
        <v>151</v>
      </c>
      <c r="C40" s="89" t="s">
        <v>152</v>
      </c>
      <c r="D40" s="90">
        <f>+$D$10+$D$11</f>
        <v>440</v>
      </c>
      <c r="E40" s="312">
        <f t="shared" si="0"/>
        <v>247.81818181818181</v>
      </c>
      <c r="F40" s="324">
        <f t="shared" si="1"/>
        <v>109040</v>
      </c>
      <c r="G40" s="318">
        <f t="shared" si="2"/>
        <v>0</v>
      </c>
      <c r="I40" s="93" t="str">
        <f>+'[1]P 6 C.Mant.E. Forest.'!A38</f>
        <v xml:space="preserve">Plateo </v>
      </c>
      <c r="J40" s="91">
        <f>+'[1]P 6 C.Mant.E. Forest.'!D38</f>
        <v>527</v>
      </c>
      <c r="K40" s="91">
        <f>+'[1]P 6 C.Mant.E. Forest.'!E38</f>
        <v>292485</v>
      </c>
    </row>
    <row r="41" spans="2:11" x14ac:dyDescent="0.25">
      <c r="B41" s="93" t="s">
        <v>153</v>
      </c>
      <c r="C41" s="89" t="s">
        <v>59</v>
      </c>
      <c r="D41" s="90">
        <f>+$D$10+$D$11</f>
        <v>440</v>
      </c>
      <c r="E41" s="312">
        <f t="shared" si="0"/>
        <v>743.4545454545455</v>
      </c>
      <c r="F41" s="324">
        <f t="shared" si="1"/>
        <v>327120</v>
      </c>
      <c r="G41" s="318">
        <f t="shared" si="2"/>
        <v>0</v>
      </c>
      <c r="I41" s="93" t="str">
        <f>+'[1]P 6 C.Mant.E. Forest.'!A39</f>
        <v>Ahoyado y Repique</v>
      </c>
      <c r="J41" s="91">
        <f>+'[1]P 6 C.Mant.E. Forest.'!D39</f>
        <v>0</v>
      </c>
      <c r="K41" s="91">
        <f>+'[1]P 6 C.Mant.E. Forest.'!E39</f>
        <v>0</v>
      </c>
    </row>
    <row r="42" spans="2:11" x14ac:dyDescent="0.25">
      <c r="B42" s="93" t="s">
        <v>154</v>
      </c>
      <c r="C42" s="89" t="s">
        <v>59</v>
      </c>
      <c r="D42" s="90">
        <f>+$D$10+$D$11</f>
        <v>440</v>
      </c>
      <c r="E42" s="312">
        <f t="shared" si="0"/>
        <v>247.81818181818181</v>
      </c>
      <c r="F42" s="324">
        <f>+D42*E42</f>
        <v>109040</v>
      </c>
      <c r="G42" s="318">
        <f t="shared" si="2"/>
        <v>0</v>
      </c>
      <c r="I42" s="93" t="str">
        <f>+'[1]P 6 C.Mant.E. Forest.'!A40</f>
        <v>Aplicación de Correctivos</v>
      </c>
      <c r="J42" s="91">
        <f>+'[1]P 6 C.Mant.E. Forest.'!D40</f>
        <v>88</v>
      </c>
      <c r="K42" s="91">
        <f>+'[1]P 6 C.Mant.E. Forest.'!E40</f>
        <v>48840</v>
      </c>
    </row>
    <row r="43" spans="2:11" x14ac:dyDescent="0.25">
      <c r="B43" s="93" t="s">
        <v>155</v>
      </c>
      <c r="C43" s="89" t="s">
        <v>59</v>
      </c>
      <c r="D43" s="90">
        <f>+$D$10+$D$11</f>
        <v>440</v>
      </c>
      <c r="E43" s="312">
        <f t="shared" si="0"/>
        <v>247.81818181818181</v>
      </c>
      <c r="F43" s="324">
        <f>+D43*E43</f>
        <v>109040</v>
      </c>
      <c r="G43" s="318">
        <f t="shared" si="2"/>
        <v>0</v>
      </c>
      <c r="I43" s="93" t="str">
        <f>+'[1]P 6 C.Mant.E. Forest.'!A41</f>
        <v xml:space="preserve">Aplicación  de Fertilizantes  </v>
      </c>
      <c r="J43" s="91">
        <f>+'[1]P 6 C.Mant.E. Forest.'!D41</f>
        <v>88</v>
      </c>
      <c r="K43" s="91">
        <f>+'[1]P 6 C.Mant.E. Forest.'!E41</f>
        <v>48840</v>
      </c>
    </row>
    <row r="44" spans="2:11" x14ac:dyDescent="0.25">
      <c r="B44" s="93" t="s">
        <v>156</v>
      </c>
      <c r="C44" s="89" t="s">
        <v>136</v>
      </c>
      <c r="D44" s="90">
        <f>+D89</f>
        <v>12</v>
      </c>
      <c r="E44" s="312">
        <f>+D28</f>
        <v>0</v>
      </c>
      <c r="F44" s="324">
        <f>+D44*E44</f>
        <v>0</v>
      </c>
      <c r="G44" s="318">
        <f t="shared" si="2"/>
        <v>0</v>
      </c>
      <c r="I44" s="93" t="str">
        <f>+'[1]P 6 C.Mant.E. Forest.'!A42</f>
        <v>Transporte interno de insumos</v>
      </c>
      <c r="J44" s="91">
        <f>+'[1]P 6 C.Mant.E. Forest.'!D42</f>
        <v>25000</v>
      </c>
      <c r="K44" s="91">
        <f>+'[1]P 6 C.Mant.E. Forest.'!E42</f>
        <v>75000</v>
      </c>
    </row>
    <row r="45" spans="2:11" x14ac:dyDescent="0.25">
      <c r="B45" s="93" t="s">
        <v>157</v>
      </c>
      <c r="C45" s="89" t="s">
        <v>59</v>
      </c>
      <c r="D45" s="90">
        <f>+$D$10+$D$11</f>
        <v>440</v>
      </c>
      <c r="E45" s="312">
        <f>+(($E$25*D90)/D45)</f>
        <v>743.4545454545455</v>
      </c>
      <c r="F45" s="324">
        <f t="shared" si="1"/>
        <v>327120</v>
      </c>
      <c r="G45" s="318">
        <f t="shared" si="2"/>
        <v>0</v>
      </c>
      <c r="I45" s="93" t="str">
        <f>+'[1]P 6 C.Mant.E. Forest.'!A43</f>
        <v>Plantación (siembra)</v>
      </c>
      <c r="J45" s="91">
        <f>+'[1]P 6 C.Mant.E. Forest.'!D43</f>
        <v>0</v>
      </c>
      <c r="K45" s="91">
        <f>+'[1]P 6 C.Mant.E. Forest.'!E43</f>
        <v>0</v>
      </c>
    </row>
    <row r="46" spans="2:11" x14ac:dyDescent="0.25">
      <c r="B46" s="93" t="s">
        <v>158</v>
      </c>
      <c r="C46" s="89" t="s">
        <v>59</v>
      </c>
      <c r="D46" s="90">
        <f>+$D$10+$D$11</f>
        <v>440</v>
      </c>
      <c r="E46" s="312">
        <f>+(($E$25*D91)/D46)</f>
        <v>247.81818181818181</v>
      </c>
      <c r="F46" s="324">
        <f>+D46*E46</f>
        <v>109040</v>
      </c>
      <c r="G46" s="318">
        <f t="shared" si="2"/>
        <v>0</v>
      </c>
      <c r="I46" s="93" t="str">
        <f>+'[1]P 6 C.Mant.E. Forest.'!A44</f>
        <v xml:space="preserve">Control fitosanitario </v>
      </c>
      <c r="J46" s="91">
        <f>+'[1]P 6 C.Mant.E. Forest.'!D44</f>
        <v>176</v>
      </c>
      <c r="K46" s="91">
        <f>+'[1]P 6 C.Mant.E. Forest.'!E44</f>
        <v>97680</v>
      </c>
    </row>
    <row r="47" spans="2:11" x14ac:dyDescent="0.25">
      <c r="B47" s="93" t="s">
        <v>159</v>
      </c>
      <c r="C47" s="89" t="s">
        <v>59</v>
      </c>
      <c r="D47" s="90">
        <f>+($D$10+$D$11)*D12</f>
        <v>44</v>
      </c>
      <c r="E47" s="312">
        <f>+(($E$25*D92)/D47)</f>
        <v>2478.181818181818</v>
      </c>
      <c r="F47" s="324">
        <f>+D47*E47</f>
        <v>109040</v>
      </c>
      <c r="G47" s="318">
        <f t="shared" si="2"/>
        <v>0</v>
      </c>
      <c r="I47" s="93" t="str">
        <f>+'[1]P 6 C.Mant.E. Forest.'!A45</f>
        <v>Reposición (Replante)</v>
      </c>
      <c r="J47" s="91">
        <f>+'[1]P 6 C.Mant.E. Forest.'!D45</f>
        <v>1756</v>
      </c>
      <c r="K47" s="91">
        <f>+'[1]P 6 C.Mant.E. Forest.'!E45</f>
        <v>97458</v>
      </c>
    </row>
    <row r="48" spans="2:11" x14ac:dyDescent="0.25">
      <c r="B48" s="94" t="s">
        <v>160</v>
      </c>
      <c r="C48" s="89" t="s">
        <v>149</v>
      </c>
      <c r="D48" s="90">
        <v>10000</v>
      </c>
      <c r="E48" s="312">
        <f>+(($E$25*D93)/D48)</f>
        <v>32.712000000000003</v>
      </c>
      <c r="F48" s="324">
        <f>+D48*E48</f>
        <v>327120.00000000006</v>
      </c>
      <c r="G48" s="318">
        <f t="shared" si="2"/>
        <v>0</v>
      </c>
      <c r="I48" s="94" t="str">
        <f>+'[1]P 6 C.Mant.E. Forest.'!A46</f>
        <v>Limpias</v>
      </c>
      <c r="J48" s="91">
        <f>+'[1]P 6 C.Mant.E. Forest.'!D46</f>
        <v>29</v>
      </c>
      <c r="K48" s="91">
        <f>+'[1]P 6 C.Mant.E. Forest.'!E46</f>
        <v>290000</v>
      </c>
    </row>
    <row r="49" spans="2:11" ht="23.25" thickBot="1" x14ac:dyDescent="0.3">
      <c r="B49" s="326" t="s">
        <v>161</v>
      </c>
      <c r="C49" s="327" t="s">
        <v>162</v>
      </c>
      <c r="D49" s="328">
        <v>167</v>
      </c>
      <c r="E49" s="329">
        <f>+(($E$25*D94)/D49)</f>
        <v>652.93413173652698</v>
      </c>
      <c r="F49" s="330">
        <f t="shared" si="1"/>
        <v>109040</v>
      </c>
      <c r="G49" s="331">
        <f t="shared" si="2"/>
        <v>0</v>
      </c>
      <c r="I49" s="94" t="str">
        <f>+'[1]P 6 C.Mant.E. Forest.'!A47</f>
        <v>Adecuacion de Barreras Cortafuego</v>
      </c>
      <c r="J49" s="91">
        <f>+'[1]P 6 C.Mant.E. Forest.'!D47</f>
        <v>584</v>
      </c>
      <c r="K49" s="91">
        <f>+'[1]P 6 C.Mant.E. Forest.'!E47</f>
        <v>97528</v>
      </c>
    </row>
    <row r="50" spans="2:11" ht="15.75" thickBot="1" x14ac:dyDescent="0.3">
      <c r="B50" s="333" t="s">
        <v>163</v>
      </c>
      <c r="C50" s="334"/>
      <c r="D50" s="335"/>
      <c r="E50" s="336"/>
      <c r="F50" s="337">
        <f>+SUM(F38:F49)</f>
        <v>2071760</v>
      </c>
      <c r="G50" s="338">
        <f>+SUM(G38:G49)</f>
        <v>0</v>
      </c>
      <c r="J50" s="293"/>
      <c r="K50" s="99">
        <f>SUM(K38:K49)</f>
        <v>1047831</v>
      </c>
    </row>
    <row r="51" spans="2:11" ht="15.75" thickBot="1" x14ac:dyDescent="0.3">
      <c r="B51" s="656" t="s">
        <v>164</v>
      </c>
      <c r="C51" s="657"/>
      <c r="D51" s="657"/>
      <c r="E51" s="657"/>
      <c r="F51" s="658"/>
      <c r="G51" s="332"/>
    </row>
    <row r="52" spans="2:11" x14ac:dyDescent="0.25">
      <c r="B52" s="93" t="s">
        <v>165</v>
      </c>
      <c r="C52" s="89" t="s">
        <v>166</v>
      </c>
      <c r="D52" s="90">
        <f>(D10*(1+D12))</f>
        <v>484.00000000000006</v>
      </c>
      <c r="E52" s="312">
        <f>+E10</f>
        <v>5817.7777777777665</v>
      </c>
      <c r="F52" s="325">
        <f t="shared" ref="F52:F59" si="3">+D52*E52</f>
        <v>2815804.4444444394</v>
      </c>
      <c r="G52" s="318">
        <f>+F52*$G$32</f>
        <v>0</v>
      </c>
      <c r="J52" s="90">
        <f>+'[1]P 6 C.Mant.E. Forest.'!C50</f>
        <v>55.5</v>
      </c>
      <c r="K52" s="318">
        <f>+'[1]P 6 C.Mant.E. Forest.'!E50</f>
        <v>74537</v>
      </c>
    </row>
    <row r="53" spans="2:11" ht="22.5" x14ac:dyDescent="0.25">
      <c r="B53" s="93" t="s">
        <v>167</v>
      </c>
      <c r="C53" s="89" t="s">
        <v>168</v>
      </c>
      <c r="D53" s="101">
        <f>ROUNDUP(($D$10*D15)/1000,0)</f>
        <v>22</v>
      </c>
      <c r="E53" s="312">
        <f>+E15</f>
        <v>3348</v>
      </c>
      <c r="F53" s="324">
        <f t="shared" si="3"/>
        <v>73656</v>
      </c>
      <c r="G53" s="318">
        <f t="shared" ref="G53:G59" si="4">+F53*$G$32</f>
        <v>0</v>
      </c>
      <c r="J53" s="101">
        <f>+'[1]P 6 C.Mant.E. Forest.'!C51</f>
        <v>31</v>
      </c>
      <c r="K53" s="318">
        <f>+'[1]P 6 C.Mant.E. Forest.'!E51</f>
        <v>0</v>
      </c>
    </row>
    <row r="54" spans="2:11" ht="22.5" x14ac:dyDescent="0.25">
      <c r="B54" s="93" t="s">
        <v>169</v>
      </c>
      <c r="C54" s="89" t="s">
        <v>168</v>
      </c>
      <c r="D54" s="101">
        <f>ROUNDUP(($D$10*D14)/1000,0)</f>
        <v>22</v>
      </c>
      <c r="E54" s="312">
        <f>+E14</f>
        <v>2206.75</v>
      </c>
      <c r="F54" s="324">
        <f t="shared" si="3"/>
        <v>48548.5</v>
      </c>
      <c r="G54" s="318">
        <f t="shared" si="4"/>
        <v>0</v>
      </c>
      <c r="J54" s="101">
        <f>+'[1]P 6 C.Mant.E. Forest.'!C52</f>
        <v>24</v>
      </c>
      <c r="K54" s="318">
        <f>+'[1]P 6 C.Mant.E. Forest.'!E52</f>
        <v>59640</v>
      </c>
    </row>
    <row r="55" spans="2:11" x14ac:dyDescent="0.25">
      <c r="B55" s="93" t="s">
        <v>4</v>
      </c>
      <c r="C55" s="89" t="s">
        <v>168</v>
      </c>
      <c r="D55" s="101">
        <f>ROUNDUP(($D$10*D17)/1000,0)</f>
        <v>88</v>
      </c>
      <c r="E55" s="312">
        <f>+E17</f>
        <v>1097</v>
      </c>
      <c r="F55" s="324">
        <f t="shared" si="3"/>
        <v>96536</v>
      </c>
      <c r="G55" s="318">
        <f t="shared" si="4"/>
        <v>0</v>
      </c>
      <c r="J55" s="101">
        <f>+'[1]P 6 C.Mant.E. Forest.'!C53</f>
        <v>0</v>
      </c>
      <c r="K55" s="318">
        <f>+'[1]P 6 C.Mant.E. Forest.'!E53</f>
        <v>0</v>
      </c>
    </row>
    <row r="56" spans="2:11" x14ac:dyDescent="0.25">
      <c r="B56" s="93" t="s">
        <v>170</v>
      </c>
      <c r="C56" s="89" t="s">
        <v>171</v>
      </c>
      <c r="D56" s="101">
        <f>+D19</f>
        <v>0.5</v>
      </c>
      <c r="E56" s="312">
        <f>+E19</f>
        <v>192348</v>
      </c>
      <c r="F56" s="324">
        <f t="shared" si="3"/>
        <v>96174</v>
      </c>
      <c r="G56" s="318">
        <f t="shared" si="4"/>
        <v>0</v>
      </c>
      <c r="J56" s="101">
        <f>+'[1]P 6 C.Mant.E. Forest.'!C54</f>
        <v>0.5</v>
      </c>
      <c r="K56" s="318">
        <f>+'[1]P 6 C.Mant.E. Forest.'!E54</f>
        <v>25000</v>
      </c>
    </row>
    <row r="57" spans="2:11" ht="22.5" x14ac:dyDescent="0.25">
      <c r="B57" s="93" t="s">
        <v>172</v>
      </c>
      <c r="C57" s="89" t="s">
        <v>168</v>
      </c>
      <c r="D57" s="101">
        <f>ROUNDUP(($D$10*D22)/1000,0)</f>
        <v>1</v>
      </c>
      <c r="E57" s="312">
        <f>+E22</f>
        <v>26794.5</v>
      </c>
      <c r="F57" s="324">
        <f t="shared" si="3"/>
        <v>26794.5</v>
      </c>
      <c r="G57" s="318">
        <f t="shared" si="4"/>
        <v>0</v>
      </c>
      <c r="J57" s="101">
        <f>+'[1]P 6 C.Mant.E. Forest.'!C55</f>
        <v>1</v>
      </c>
      <c r="K57" s="318">
        <f>+'[1]P 6 C.Mant.E. Forest.'!E55</f>
        <v>44733</v>
      </c>
    </row>
    <row r="58" spans="2:11" x14ac:dyDescent="0.25">
      <c r="B58" s="93" t="str">
        <f>+C23</f>
        <v>Caldolomita</v>
      </c>
      <c r="C58" s="89" t="s">
        <v>168</v>
      </c>
      <c r="D58" s="101">
        <f>ROUNDUP(($D$10*D23)/1000,0)</f>
        <v>22</v>
      </c>
      <c r="E58" s="312">
        <f>+E23</f>
        <v>236</v>
      </c>
      <c r="F58" s="324">
        <f t="shared" si="3"/>
        <v>5192</v>
      </c>
      <c r="G58" s="318">
        <f t="shared" si="4"/>
        <v>0</v>
      </c>
      <c r="J58" s="101">
        <f>+'[1]P 6 C.Mant.E. Forest.'!C56</f>
        <v>50</v>
      </c>
      <c r="K58" s="318">
        <f>+'[1]P 6 C.Mant.E. Forest.'!E56</f>
        <v>10650</v>
      </c>
    </row>
    <row r="59" spans="2:11" ht="15.75" thickBot="1" x14ac:dyDescent="0.3">
      <c r="B59" s="339" t="str">
        <f>+C24</f>
        <v>Hidroretenedor</v>
      </c>
      <c r="C59" s="327" t="s">
        <v>168</v>
      </c>
      <c r="D59" s="435">
        <f>ROUNDUP(($D$10*D24)/1000,0)</f>
        <v>2</v>
      </c>
      <c r="E59" s="329">
        <f>+E24</f>
        <v>45342.95</v>
      </c>
      <c r="F59" s="330">
        <f t="shared" si="3"/>
        <v>90685.9</v>
      </c>
      <c r="G59" s="331">
        <f t="shared" si="4"/>
        <v>0</v>
      </c>
      <c r="J59" s="101">
        <f>+'[1]P 6 C.Mant.E. Forest.'!C57</f>
        <v>2</v>
      </c>
      <c r="K59" s="331">
        <f>+'[1]P 6 C.Mant.E. Forest.'!E57</f>
        <v>89372</v>
      </c>
    </row>
    <row r="60" spans="2:11" ht="15.75" thickBot="1" x14ac:dyDescent="0.3">
      <c r="B60" s="659" t="s">
        <v>173</v>
      </c>
      <c r="C60" s="660"/>
      <c r="D60" s="660"/>
      <c r="E60" s="661"/>
      <c r="F60" s="340">
        <f>+SUM(F52:F59)</f>
        <v>3253391.3444444393</v>
      </c>
      <c r="G60" s="341">
        <f>+SUM(G52:G59)</f>
        <v>0</v>
      </c>
      <c r="K60" s="341">
        <f>SUM(K52:K59)</f>
        <v>303932</v>
      </c>
    </row>
    <row r="61" spans="2:11" ht="15.75" thickBot="1" x14ac:dyDescent="0.3">
      <c r="B61" s="642" t="s">
        <v>174</v>
      </c>
      <c r="C61" s="643"/>
      <c r="D61" s="643"/>
      <c r="E61" s="696"/>
      <c r="F61" s="436">
        <f>+F50+F60</f>
        <v>5325151.3444444388</v>
      </c>
      <c r="G61" s="437">
        <f>+F61*$G$32</f>
        <v>0</v>
      </c>
    </row>
    <row r="62" spans="2:11" x14ac:dyDescent="0.25">
      <c r="B62" s="638" t="s">
        <v>175</v>
      </c>
      <c r="C62" s="639"/>
      <c r="D62" s="639"/>
      <c r="E62" s="639"/>
      <c r="F62" s="342"/>
      <c r="G62" s="343"/>
    </row>
    <row r="63" spans="2:11" x14ac:dyDescent="0.25">
      <c r="B63" s="640" t="s">
        <v>176</v>
      </c>
      <c r="C63" s="641"/>
      <c r="D63" s="641"/>
      <c r="E63" s="641"/>
      <c r="F63" s="108">
        <f>ROUND($F$50*$D$26,0)</f>
        <v>103588</v>
      </c>
      <c r="G63" s="109">
        <f>+F63*G32</f>
        <v>0</v>
      </c>
    </row>
    <row r="64" spans="2:11" x14ac:dyDescent="0.25">
      <c r="B64" s="640" t="s">
        <v>177</v>
      </c>
      <c r="C64" s="641"/>
      <c r="D64" s="641"/>
      <c r="E64" s="641"/>
      <c r="F64" s="108">
        <f>ROUND($F$50*$D$26,0)</f>
        <v>103588</v>
      </c>
      <c r="G64" s="109">
        <f>+F64*G32</f>
        <v>0</v>
      </c>
    </row>
    <row r="65" spans="2:13" x14ac:dyDescent="0.25">
      <c r="B65" s="640" t="s">
        <v>178</v>
      </c>
      <c r="C65" s="641"/>
      <c r="D65" s="641"/>
      <c r="E65" s="641"/>
      <c r="F65" s="110">
        <f>ROUND(F60*D29,0)</f>
        <v>488009</v>
      </c>
      <c r="G65" s="111">
        <f>+F65*$G$32</f>
        <v>0</v>
      </c>
    </row>
    <row r="66" spans="2:13" ht="15.75" thickBot="1" x14ac:dyDescent="0.3">
      <c r="B66" s="692" t="s">
        <v>179</v>
      </c>
      <c r="C66" s="693"/>
      <c r="D66" s="693"/>
      <c r="E66" s="693"/>
      <c r="F66" s="438">
        <f>SUM(F63:F65)</f>
        <v>695185</v>
      </c>
      <c r="G66" s="439">
        <f>SUM(G63:G65)</f>
        <v>0</v>
      </c>
    </row>
    <row r="67" spans="2:13" ht="15.75" thickBot="1" x14ac:dyDescent="0.3">
      <c r="B67" s="694" t="s">
        <v>180</v>
      </c>
      <c r="C67" s="695"/>
      <c r="D67" s="695"/>
      <c r="E67" s="695"/>
      <c r="F67" s="444">
        <f>+F61+F66</f>
        <v>6020336.3444444388</v>
      </c>
      <c r="G67" s="445">
        <f>+G61+G66</f>
        <v>0</v>
      </c>
    </row>
    <row r="68" spans="2:13" x14ac:dyDescent="0.25">
      <c r="B68" s="440" t="s">
        <v>140</v>
      </c>
      <c r="C68" s="441" t="s">
        <v>181</v>
      </c>
      <c r="D68" s="442" t="s">
        <v>182</v>
      </c>
      <c r="E68" s="442" t="s">
        <v>183</v>
      </c>
      <c r="F68" s="442" t="s">
        <v>184</v>
      </c>
      <c r="G68" s="443" t="s">
        <v>185</v>
      </c>
    </row>
    <row r="69" spans="2:13" x14ac:dyDescent="0.25">
      <c r="B69" s="120" t="s">
        <v>186</v>
      </c>
      <c r="C69" s="121"/>
      <c r="D69" s="122"/>
      <c r="E69" s="122"/>
      <c r="F69" s="122"/>
      <c r="G69" s="123"/>
    </row>
    <row r="70" spans="2:13" x14ac:dyDescent="0.25">
      <c r="B70" s="124" t="s">
        <v>187</v>
      </c>
      <c r="C70" s="125">
        <v>0.01</v>
      </c>
      <c r="D70" s="454" t="s">
        <v>188</v>
      </c>
      <c r="E70" s="454">
        <v>6</v>
      </c>
      <c r="F70" s="455">
        <f>3800000*E70*C70</f>
        <v>228000</v>
      </c>
      <c r="G70" s="126">
        <f>+F70*$G$32</f>
        <v>0</v>
      </c>
      <c r="J70" s="426">
        <f>1/50</f>
        <v>0.02</v>
      </c>
      <c r="K70" s="427">
        <v>4</v>
      </c>
      <c r="L70" s="428">
        <v>4000000</v>
      </c>
      <c r="M70" s="428">
        <f>+J70*K70*L70</f>
        <v>320000</v>
      </c>
    </row>
    <row r="71" spans="2:13" ht="15.75" thickBot="1" x14ac:dyDescent="0.3">
      <c r="B71" s="127" t="s">
        <v>189</v>
      </c>
      <c r="C71" s="128"/>
      <c r="D71" s="129"/>
      <c r="E71" s="129"/>
      <c r="F71" s="429">
        <f>+F70</f>
        <v>228000</v>
      </c>
      <c r="G71" s="130">
        <f>+G70</f>
        <v>0</v>
      </c>
    </row>
    <row r="72" spans="2:13" ht="15.75" thickBot="1" x14ac:dyDescent="0.3">
      <c r="B72" s="304" t="s">
        <v>190</v>
      </c>
      <c r="C72" s="305"/>
      <c r="D72" s="305"/>
      <c r="E72" s="305"/>
      <c r="F72" s="306">
        <f>+F67+F71</f>
        <v>6248336.3444444388</v>
      </c>
      <c r="G72" s="306">
        <f>+G67+G71</f>
        <v>0</v>
      </c>
    </row>
    <row r="73" spans="2:13" x14ac:dyDescent="0.25">
      <c r="B73" s="430" t="str">
        <f>+Establecimiento!B74</f>
        <v>ADMINISTRACION 10%</v>
      </c>
      <c r="C73" s="431">
        <v>0.1</v>
      </c>
      <c r="D73" s="302"/>
      <c r="E73" s="302"/>
      <c r="F73" s="303">
        <f>ROUND($F$72*C73,0)</f>
        <v>624834</v>
      </c>
      <c r="G73" s="432">
        <f>+F73*$G$32</f>
        <v>0</v>
      </c>
    </row>
    <row r="74" spans="2:13" x14ac:dyDescent="0.25">
      <c r="B74" s="424" t="str">
        <f>+Establecimiento!B75</f>
        <v>IMPREVISTOS 1%</v>
      </c>
      <c r="C74" s="425">
        <f>+Establecimiento!C75</f>
        <v>0.01</v>
      </c>
      <c r="D74" s="136"/>
      <c r="E74" s="136"/>
      <c r="F74" s="137">
        <f>ROUND($F$72*C74,0)</f>
        <v>62483</v>
      </c>
      <c r="G74" s="111">
        <f>+F74*$G$32</f>
        <v>0</v>
      </c>
    </row>
    <row r="75" spans="2:13" x14ac:dyDescent="0.25">
      <c r="B75" s="424" t="str">
        <f>+Establecimiento!B76</f>
        <v>UTILIDAD 5%</v>
      </c>
      <c r="C75" s="425">
        <v>0.05</v>
      </c>
      <c r="D75" s="136"/>
      <c r="E75" s="136"/>
      <c r="F75" s="137">
        <f>ROUND($F$72*C75,0)</f>
        <v>312417</v>
      </c>
      <c r="G75" s="111">
        <f>+F75*$G$32</f>
        <v>0</v>
      </c>
    </row>
    <row r="76" spans="2:13" x14ac:dyDescent="0.25">
      <c r="B76" s="424" t="str">
        <f>+Establecimiento!B77</f>
        <v>IVA/UTILIDAD 19%</v>
      </c>
      <c r="C76" s="425">
        <f>+Establecimiento!C77</f>
        <v>0.19</v>
      </c>
      <c r="D76" s="136"/>
      <c r="E76" s="136"/>
      <c r="F76" s="137">
        <f>ROUND(F75*C76,0)</f>
        <v>59359</v>
      </c>
      <c r="G76" s="111">
        <f>+F76*$G$32</f>
        <v>0</v>
      </c>
    </row>
    <row r="77" spans="2:13" ht="15.75" thickBot="1" x14ac:dyDescent="0.3">
      <c r="B77" s="424" t="str">
        <f>+Establecimiento!B78</f>
        <v>IMPUESTOS GUERRA 0,5%+ ESTAMPILLAS 5%</v>
      </c>
      <c r="C77" s="425">
        <f>+Establecimiento!C78</f>
        <v>0</v>
      </c>
      <c r="D77" s="286"/>
      <c r="E77" s="286"/>
      <c r="F77" s="137">
        <f>ROUND($F$72*C77,0)</f>
        <v>0</v>
      </c>
      <c r="G77" s="288">
        <f>+C77*G72</f>
        <v>0</v>
      </c>
    </row>
    <row r="78" spans="2:13" ht="15.75" thickBot="1" x14ac:dyDescent="0.3">
      <c r="B78" s="633" t="s">
        <v>195</v>
      </c>
      <c r="C78" s="634"/>
      <c r="D78" s="634"/>
      <c r="E78" s="634"/>
      <c r="F78" s="138">
        <f>+F72+F73+F74+F75+F76+F77</f>
        <v>7307429.3444444388</v>
      </c>
      <c r="G78" s="138">
        <f>+G72+G73+G74+G75+G76+G77</f>
        <v>0</v>
      </c>
    </row>
    <row r="79" spans="2:13" x14ac:dyDescent="0.25">
      <c r="B79" s="45"/>
      <c r="C79" s="139"/>
      <c r="D79" s="45"/>
      <c r="E79" s="45"/>
      <c r="F79" s="45"/>
      <c r="G79" s="140"/>
    </row>
    <row r="80" spans="2:13" x14ac:dyDescent="0.25">
      <c r="B80" s="45"/>
      <c r="C80" s="45"/>
      <c r="D80" s="45"/>
      <c r="E80" s="45"/>
      <c r="F80" s="45"/>
      <c r="G80" s="141"/>
    </row>
    <row r="81" spans="2:7" ht="15.75" thickBot="1" x14ac:dyDescent="0.3">
      <c r="B81" s="635" t="s">
        <v>196</v>
      </c>
      <c r="C81" s="635"/>
      <c r="D81" s="635"/>
      <c r="E81" s="45"/>
      <c r="F81" s="45"/>
      <c r="G81" s="142"/>
    </row>
    <row r="82" spans="2:7" x14ac:dyDescent="0.25">
      <c r="B82" s="143" t="s">
        <v>197</v>
      </c>
      <c r="C82" s="144" t="s">
        <v>198</v>
      </c>
      <c r="D82" s="145" t="s">
        <v>199</v>
      </c>
      <c r="E82" s="45"/>
      <c r="F82" s="45"/>
      <c r="G82" s="45"/>
    </row>
    <row r="83" spans="2:7" x14ac:dyDescent="0.25">
      <c r="B83" s="146" t="s">
        <v>200</v>
      </c>
      <c r="C83" s="147" t="s">
        <v>131</v>
      </c>
      <c r="D83" s="148">
        <v>6</v>
      </c>
      <c r="E83" s="45"/>
      <c r="F83" s="45"/>
      <c r="G83" s="45"/>
    </row>
    <row r="84" spans="2:7" x14ac:dyDescent="0.25">
      <c r="B84" s="146" t="s">
        <v>150</v>
      </c>
      <c r="C84" s="147" t="s">
        <v>131</v>
      </c>
      <c r="D84" s="148">
        <v>2</v>
      </c>
      <c r="E84" s="45"/>
      <c r="F84" s="45"/>
      <c r="G84" s="45"/>
    </row>
    <row r="85" spans="2:7" x14ac:dyDescent="0.25">
      <c r="B85" s="146" t="s">
        <v>152</v>
      </c>
      <c r="C85" s="147" t="s">
        <v>131</v>
      </c>
      <c r="D85" s="148">
        <v>2</v>
      </c>
      <c r="E85" s="45"/>
      <c r="F85" s="45"/>
      <c r="G85" s="45"/>
    </row>
    <row r="86" spans="2:7" x14ac:dyDescent="0.25">
      <c r="B86" s="93" t="s">
        <v>201</v>
      </c>
      <c r="C86" s="89" t="s">
        <v>131</v>
      </c>
      <c r="D86" s="149">
        <v>6</v>
      </c>
      <c r="E86" s="150"/>
      <c r="F86" s="45"/>
      <c r="G86" s="151"/>
    </row>
    <row r="87" spans="2:7" x14ac:dyDescent="0.25">
      <c r="B87" s="93" t="s">
        <v>154</v>
      </c>
      <c r="C87" s="89" t="s">
        <v>131</v>
      </c>
      <c r="D87" s="149">
        <v>2</v>
      </c>
      <c r="E87" s="150"/>
      <c r="F87" s="45"/>
      <c r="G87" s="45"/>
    </row>
    <row r="88" spans="2:7" x14ac:dyDescent="0.25">
      <c r="B88" s="93" t="s">
        <v>202</v>
      </c>
      <c r="C88" s="89" t="s">
        <v>131</v>
      </c>
      <c r="D88" s="149">
        <v>2</v>
      </c>
      <c r="E88" s="150"/>
      <c r="F88" s="45"/>
      <c r="G88" s="45"/>
    </row>
    <row r="89" spans="2:7" x14ac:dyDescent="0.25">
      <c r="B89" s="93" t="s">
        <v>156</v>
      </c>
      <c r="C89" s="89" t="s">
        <v>136</v>
      </c>
      <c r="D89" s="149">
        <v>12</v>
      </c>
      <c r="E89" s="150"/>
      <c r="F89" s="45"/>
      <c r="G89" s="45"/>
    </row>
    <row r="90" spans="2:7" x14ac:dyDescent="0.25">
      <c r="B90" s="93" t="s">
        <v>203</v>
      </c>
      <c r="C90" s="89" t="s">
        <v>131</v>
      </c>
      <c r="D90" s="149">
        <v>6</v>
      </c>
      <c r="E90" s="150"/>
      <c r="F90" s="45">
        <f>550/80</f>
        <v>6.875</v>
      </c>
      <c r="G90" s="45"/>
    </row>
    <row r="91" spans="2:7" x14ac:dyDescent="0.25">
      <c r="B91" s="93" t="s">
        <v>158</v>
      </c>
      <c r="C91" s="89" t="s">
        <v>131</v>
      </c>
      <c r="D91" s="149">
        <v>2</v>
      </c>
      <c r="E91" s="150"/>
      <c r="F91" s="45"/>
      <c r="G91" s="45"/>
    </row>
    <row r="92" spans="2:7" x14ac:dyDescent="0.25">
      <c r="B92" s="93" t="s">
        <v>159</v>
      </c>
      <c r="C92" s="89" t="s">
        <v>131</v>
      </c>
      <c r="D92" s="149">
        <v>2</v>
      </c>
      <c r="E92" s="150"/>
      <c r="F92" s="45"/>
      <c r="G92" s="45"/>
    </row>
    <row r="93" spans="2:7" x14ac:dyDescent="0.25">
      <c r="B93" s="93" t="s">
        <v>204</v>
      </c>
      <c r="C93" s="89" t="s">
        <v>131</v>
      </c>
      <c r="D93" s="149">
        <v>6</v>
      </c>
      <c r="E93" s="150"/>
      <c r="F93" s="45"/>
      <c r="G93" s="45"/>
    </row>
    <row r="94" spans="2:7" x14ac:dyDescent="0.25">
      <c r="B94" s="93" t="s">
        <v>161</v>
      </c>
      <c r="C94" s="89" t="s">
        <v>131</v>
      </c>
      <c r="D94" s="149">
        <v>2</v>
      </c>
      <c r="E94" s="150"/>
      <c r="F94" s="45"/>
      <c r="G94" s="45"/>
    </row>
  </sheetData>
  <mergeCells count="20">
    <mergeCell ref="B61:E61"/>
    <mergeCell ref="B3:G3"/>
    <mergeCell ref="C4:G4"/>
    <mergeCell ref="C5:G5"/>
    <mergeCell ref="C6:G6"/>
    <mergeCell ref="B11:C11"/>
    <mergeCell ref="B12:C12"/>
    <mergeCell ref="B32:C32"/>
    <mergeCell ref="D32:F32"/>
    <mergeCell ref="C37:D37"/>
    <mergeCell ref="B51:F51"/>
    <mergeCell ref="B60:E60"/>
    <mergeCell ref="B78:E78"/>
    <mergeCell ref="B81:D81"/>
    <mergeCell ref="B62:E62"/>
    <mergeCell ref="B63:E63"/>
    <mergeCell ref="B64:E64"/>
    <mergeCell ref="B65:E65"/>
    <mergeCell ref="B66:E66"/>
    <mergeCell ref="B67:E67"/>
  </mergeCells>
  <conditionalFormatting sqref="F66">
    <cfRule type="cellIs" dxfId="5" priority="2" stopIfTrue="1" operator="greaterThan">
      <formula>0</formula>
    </cfRule>
  </conditionalFormatting>
  <conditionalFormatting sqref="G66">
    <cfRule type="cellIs" dxfId="4" priority="1" stopIfTrue="1" operator="greaterThan">
      <formula>0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1A0F-F787-46D5-AB58-FB817CA97F53}">
  <dimension ref="B3:V95"/>
  <sheetViews>
    <sheetView tabSelected="1" workbookViewId="0">
      <selection activeCell="E99" sqref="E99"/>
    </sheetView>
  </sheetViews>
  <sheetFormatPr baseColWidth="10" defaultColWidth="11.42578125" defaultRowHeight="12.75" x14ac:dyDescent="0.2"/>
  <cols>
    <col min="1" max="1" width="11.42578125" style="45"/>
    <col min="2" max="2" width="28" style="45" customWidth="1"/>
    <col min="3" max="3" width="13.85546875" style="45" bestFit="1" customWidth="1"/>
    <col min="4" max="4" width="12.28515625" style="45" customWidth="1"/>
    <col min="5" max="5" width="14.85546875" style="45" customWidth="1"/>
    <col min="6" max="6" width="13.85546875" style="45" bestFit="1" customWidth="1"/>
    <col min="7" max="7" width="17" style="45" bestFit="1" customWidth="1"/>
    <col min="8" max="8" width="22.5703125" style="45" hidden="1" customWidth="1"/>
    <col min="9" max="10" width="16.5703125" style="45" hidden="1" customWidth="1"/>
    <col min="11" max="11" width="15.85546875" style="45" hidden="1" customWidth="1"/>
    <col min="12" max="12" width="12.85546875" style="45" hidden="1" customWidth="1"/>
    <col min="13" max="13" width="17.42578125" style="45" hidden="1" customWidth="1"/>
    <col min="14" max="19" width="0" style="45" hidden="1" customWidth="1"/>
    <col min="20" max="21" width="13.85546875" style="45" bestFit="1" customWidth="1"/>
    <col min="22" max="22" width="14.85546875" style="45" bestFit="1" customWidth="1"/>
    <col min="23" max="16384" width="11.42578125" style="45"/>
  </cols>
  <sheetData>
    <row r="3" spans="2:8" ht="25.5" customHeight="1" x14ac:dyDescent="0.2">
      <c r="B3" s="644" t="s">
        <v>286</v>
      </c>
      <c r="C3" s="644"/>
      <c r="D3" s="644"/>
      <c r="E3" s="644"/>
      <c r="F3" s="644"/>
      <c r="G3" s="644"/>
      <c r="H3" s="72"/>
    </row>
    <row r="4" spans="2:8" x14ac:dyDescent="0.2">
      <c r="B4" s="40" t="s">
        <v>103</v>
      </c>
      <c r="C4" s="645" t="s">
        <v>454</v>
      </c>
      <c r="D4" s="645"/>
      <c r="E4" s="645"/>
      <c r="F4" s="645"/>
      <c r="G4" s="645"/>
      <c r="H4" s="70"/>
    </row>
    <row r="5" spans="2:8" x14ac:dyDescent="0.2">
      <c r="B5" s="40" t="s">
        <v>105</v>
      </c>
      <c r="C5" s="646" t="s">
        <v>106</v>
      </c>
      <c r="D5" s="646"/>
      <c r="E5" s="646"/>
      <c r="F5" s="646"/>
      <c r="G5" s="646"/>
      <c r="H5" s="72"/>
    </row>
    <row r="6" spans="2:8" ht="36" customHeight="1" x14ac:dyDescent="0.2">
      <c r="B6" s="40" t="s">
        <v>107</v>
      </c>
      <c r="C6" s="689" t="s">
        <v>458</v>
      </c>
      <c r="D6" s="689"/>
      <c r="E6" s="689"/>
      <c r="F6" s="689"/>
      <c r="G6" s="689"/>
      <c r="H6" s="609"/>
    </row>
    <row r="7" spans="2:8" x14ac:dyDescent="0.2">
      <c r="B7" s="41"/>
      <c r="C7" s="41"/>
      <c r="D7" s="41"/>
      <c r="E7" s="41"/>
      <c r="F7" s="41"/>
      <c r="G7" s="41"/>
      <c r="H7" s="41"/>
    </row>
    <row r="8" spans="2:8" x14ac:dyDescent="0.2">
      <c r="B8" s="42" t="s">
        <v>108</v>
      </c>
      <c r="C8" s="43" t="s">
        <v>109</v>
      </c>
      <c r="D8" s="41"/>
      <c r="E8" s="44" t="s">
        <v>110</v>
      </c>
      <c r="F8" s="41"/>
      <c r="G8" s="41"/>
      <c r="H8" s="41"/>
    </row>
    <row r="9" spans="2:8" ht="10.5" customHeight="1" x14ac:dyDescent="0.2"/>
    <row r="10" spans="2:8" ht="22.5" x14ac:dyDescent="0.2">
      <c r="B10" s="602" t="str">
        <f>+[4]Establec.!B10</f>
        <v>1. Número de Plántulas Arboreas por Ha</v>
      </c>
      <c r="C10" s="608"/>
      <c r="D10" s="603">
        <v>800</v>
      </c>
      <c r="E10" s="50">
        <f>+Establecimiento!E10</f>
        <v>0</v>
      </c>
      <c r="F10" s="51"/>
      <c r="G10" s="53"/>
      <c r="H10" s="53"/>
    </row>
    <row r="11" spans="2:8" x14ac:dyDescent="0.2">
      <c r="B11" s="648" t="s">
        <v>111</v>
      </c>
      <c r="C11" s="649"/>
      <c r="D11" s="603">
        <v>400</v>
      </c>
      <c r="E11" s="50">
        <f>+Establecimiento!E11</f>
        <v>0</v>
      </c>
      <c r="F11" s="51"/>
      <c r="G11" s="53"/>
      <c r="H11" s="53"/>
    </row>
    <row r="12" spans="2:8" x14ac:dyDescent="0.2">
      <c r="B12" s="648" t="s">
        <v>457</v>
      </c>
      <c r="C12" s="649"/>
      <c r="D12" s="610">
        <v>0.3</v>
      </c>
      <c r="E12" s="50"/>
      <c r="F12" s="52"/>
      <c r="G12" s="53"/>
      <c r="H12" s="53"/>
    </row>
    <row r="13" spans="2:8" x14ac:dyDescent="0.2">
      <c r="B13" s="648" t="s">
        <v>456</v>
      </c>
      <c r="C13" s="649"/>
      <c r="D13" s="54">
        <v>0.2</v>
      </c>
      <c r="E13" s="50"/>
    </row>
    <row r="14" spans="2:8" ht="25.5" customHeight="1" x14ac:dyDescent="0.2">
      <c r="B14" s="602" t="s">
        <v>112</v>
      </c>
      <c r="C14" s="607" t="s">
        <v>1</v>
      </c>
      <c r="D14" s="56" t="s">
        <v>113</v>
      </c>
      <c r="E14" s="606" t="s">
        <v>114</v>
      </c>
    </row>
    <row r="15" spans="2:8" ht="22.5" customHeight="1" x14ac:dyDescent="0.2">
      <c r="B15" s="602" t="s">
        <v>115</v>
      </c>
      <c r="C15" s="565" t="s">
        <v>287</v>
      </c>
      <c r="D15" s="604">
        <v>32</v>
      </c>
      <c r="E15" s="60"/>
    </row>
    <row r="16" spans="2:8" ht="22.5" x14ac:dyDescent="0.2">
      <c r="B16" s="602" t="s">
        <v>118</v>
      </c>
      <c r="C16" s="565" t="s">
        <v>10</v>
      </c>
      <c r="D16" s="604">
        <v>50</v>
      </c>
      <c r="E16" s="60"/>
    </row>
    <row r="17" spans="2:12" x14ac:dyDescent="0.2">
      <c r="B17" s="602" t="s">
        <v>119</v>
      </c>
      <c r="C17" s="565" t="s">
        <v>4</v>
      </c>
      <c r="D17" s="604">
        <v>200</v>
      </c>
      <c r="E17" s="60"/>
    </row>
    <row r="18" spans="2:12" ht="21.75" customHeight="1" x14ac:dyDescent="0.2">
      <c r="B18" s="602" t="s">
        <v>115</v>
      </c>
      <c r="C18" s="565" t="s">
        <v>288</v>
      </c>
      <c r="D18" s="604">
        <v>40</v>
      </c>
      <c r="E18" s="60"/>
    </row>
    <row r="19" spans="2:12" ht="14.25" customHeight="1" x14ac:dyDescent="0.2">
      <c r="B19" s="605" t="s">
        <v>123</v>
      </c>
      <c r="C19" s="565" t="s">
        <v>289</v>
      </c>
      <c r="D19" s="604">
        <v>1</v>
      </c>
      <c r="E19" s="60"/>
    </row>
    <row r="20" spans="2:12" x14ac:dyDescent="0.2">
      <c r="B20" s="605" t="s">
        <v>123</v>
      </c>
      <c r="C20" s="565" t="s">
        <v>124</v>
      </c>
      <c r="D20" s="604">
        <v>0.5</v>
      </c>
      <c r="E20" s="60"/>
    </row>
    <row r="21" spans="2:12" x14ac:dyDescent="0.2">
      <c r="B21" s="605" t="s">
        <v>125</v>
      </c>
      <c r="C21" s="565" t="s">
        <v>126</v>
      </c>
      <c r="D21" s="604">
        <v>0.2</v>
      </c>
      <c r="E21" s="60"/>
    </row>
    <row r="22" spans="2:12" x14ac:dyDescent="0.2">
      <c r="B22" s="602" t="s">
        <v>290</v>
      </c>
      <c r="C22" s="565" t="s">
        <v>15</v>
      </c>
      <c r="D22" s="604">
        <v>0.5</v>
      </c>
      <c r="E22" s="60"/>
    </row>
    <row r="23" spans="2:12" x14ac:dyDescent="0.2">
      <c r="B23" s="602" t="s">
        <v>291</v>
      </c>
      <c r="C23" s="565" t="s">
        <v>18</v>
      </c>
      <c r="D23" s="604">
        <v>1</v>
      </c>
      <c r="E23" s="60"/>
    </row>
    <row r="24" spans="2:12" ht="17.25" customHeight="1" x14ac:dyDescent="0.2">
      <c r="B24" s="602" t="s">
        <v>129</v>
      </c>
      <c r="C24" s="565" t="s">
        <v>19</v>
      </c>
      <c r="D24" s="604">
        <v>3</v>
      </c>
      <c r="E24" s="61"/>
    </row>
    <row r="25" spans="2:12" ht="45" x14ac:dyDescent="0.2">
      <c r="B25" s="602" t="s">
        <v>130</v>
      </c>
      <c r="C25" s="565" t="s">
        <v>131</v>
      </c>
      <c r="D25" s="603" t="s">
        <v>132</v>
      </c>
      <c r="E25" s="60"/>
      <c r="F25" s="62"/>
      <c r="K25" s="151"/>
      <c r="L25" s="246"/>
    </row>
    <row r="26" spans="2:12" x14ac:dyDescent="0.2">
      <c r="B26" s="602" t="s">
        <v>133</v>
      </c>
      <c r="C26" s="565" t="s">
        <v>132</v>
      </c>
      <c r="D26" s="63">
        <v>0.05</v>
      </c>
      <c r="E26" s="576"/>
    </row>
    <row r="27" spans="2:12" ht="22.5" x14ac:dyDescent="0.2">
      <c r="B27" s="602" t="s">
        <v>134</v>
      </c>
      <c r="C27" s="565" t="s">
        <v>132</v>
      </c>
      <c r="D27" s="63">
        <v>0.05</v>
      </c>
      <c r="E27" s="576"/>
      <c r="K27" s="246"/>
    </row>
    <row r="28" spans="2:12" ht="20.25" customHeight="1" x14ac:dyDescent="0.2">
      <c r="B28" s="602" t="s">
        <v>135</v>
      </c>
      <c r="C28" s="565" t="s">
        <v>136</v>
      </c>
      <c r="D28" s="65">
        <v>50000</v>
      </c>
      <c r="E28" s="576"/>
    </row>
    <row r="29" spans="2:12" ht="19.5" customHeight="1" x14ac:dyDescent="0.2">
      <c r="B29" s="602" t="s">
        <v>137</v>
      </c>
      <c r="C29" s="565" t="s">
        <v>132</v>
      </c>
      <c r="D29" s="66">
        <v>0.15</v>
      </c>
      <c r="E29" s="576"/>
      <c r="H29" s="45">
        <v>359</v>
      </c>
      <c r="I29" s="45">
        <f>162.5+685</f>
        <v>847.5</v>
      </c>
      <c r="J29" s="45">
        <f>70.5+685</f>
        <v>755.5</v>
      </c>
    </row>
    <row r="30" spans="2:12" ht="6" customHeight="1" x14ac:dyDescent="0.2">
      <c r="B30" s="601"/>
      <c r="D30" s="139"/>
      <c r="E30" s="70"/>
      <c r="F30" s="600"/>
      <c r="G30" s="72"/>
      <c r="H30" s="72"/>
    </row>
    <row r="31" spans="2:12" ht="6.75" customHeight="1" thickBot="1" x14ac:dyDescent="0.25">
      <c r="B31" s="601"/>
      <c r="D31" s="139"/>
      <c r="E31" s="70"/>
      <c r="F31" s="600"/>
      <c r="G31" s="72"/>
      <c r="H31" s="72"/>
    </row>
    <row r="32" spans="2:12" ht="22.5" customHeight="1" x14ac:dyDescent="0.2">
      <c r="B32" s="652" t="s">
        <v>453</v>
      </c>
      <c r="C32" s="653"/>
      <c r="D32" s="653" t="s">
        <v>292</v>
      </c>
      <c r="E32" s="653"/>
      <c r="F32" s="653"/>
      <c r="G32" s="73">
        <v>12.5</v>
      </c>
      <c r="H32" s="600"/>
      <c r="I32" s="45">
        <f>+G32+685</f>
        <v>697.5</v>
      </c>
    </row>
    <row r="33" spans="2:11" hidden="1" x14ac:dyDescent="0.2">
      <c r="B33" s="74" t="s">
        <v>293</v>
      </c>
      <c r="C33" s="1"/>
      <c r="D33" s="1"/>
      <c r="E33" s="1"/>
      <c r="F33" s="1"/>
      <c r="G33" s="75"/>
    </row>
    <row r="34" spans="2:11" ht="26.25" hidden="1" customHeight="1" x14ac:dyDescent="0.2">
      <c r="B34" s="74" t="s">
        <v>139</v>
      </c>
      <c r="C34" s="1">
        <v>8</v>
      </c>
      <c r="D34" s="1"/>
      <c r="E34" s="1"/>
      <c r="F34" s="1"/>
      <c r="G34" s="75"/>
    </row>
    <row r="35" spans="2:11" ht="30.75" customHeight="1" x14ac:dyDescent="0.2">
      <c r="B35" s="599" t="s">
        <v>140</v>
      </c>
      <c r="C35" s="598" t="s">
        <v>2</v>
      </c>
      <c r="D35" s="597" t="s">
        <v>141</v>
      </c>
      <c r="E35" s="597" t="s">
        <v>142</v>
      </c>
      <c r="F35" s="597" t="s">
        <v>143</v>
      </c>
      <c r="G35" s="596" t="s">
        <v>144</v>
      </c>
      <c r="H35" s="577"/>
    </row>
    <row r="36" spans="2:11" x14ac:dyDescent="0.2">
      <c r="B36" s="595" t="s">
        <v>145</v>
      </c>
      <c r="C36" s="594"/>
      <c r="D36" s="594"/>
      <c r="E36" s="594"/>
      <c r="F36" s="594"/>
      <c r="G36" s="593"/>
      <c r="H36" s="590"/>
    </row>
    <row r="37" spans="2:11" ht="15.75" customHeight="1" x14ac:dyDescent="0.2">
      <c r="B37" s="588" t="s">
        <v>146</v>
      </c>
      <c r="C37" s="707" t="s">
        <v>147</v>
      </c>
      <c r="D37" s="707"/>
      <c r="E37" s="592"/>
      <c r="F37" s="592"/>
      <c r="G37" s="591"/>
      <c r="H37" s="590"/>
      <c r="I37" s="45">
        <v>2020</v>
      </c>
      <c r="K37" s="151"/>
    </row>
    <row r="38" spans="2:11" x14ac:dyDescent="0.2">
      <c r="B38" s="567" t="s">
        <v>294</v>
      </c>
      <c r="C38" s="565" t="s">
        <v>152</v>
      </c>
      <c r="D38" s="589">
        <f>+$D$10+$D$11</f>
        <v>1200</v>
      </c>
      <c r="E38" s="91"/>
      <c r="F38" s="91">
        <f t="shared" ref="F38:F44" si="0">+D38*E38</f>
        <v>0</v>
      </c>
      <c r="G38" s="92">
        <f t="shared" ref="G38:G44" si="1">+F38*$G$32</f>
        <v>0</v>
      </c>
      <c r="H38" s="252"/>
      <c r="I38" s="92">
        <f>+'[1]P 5 C.Mant. B.P.'!$F$40</f>
        <v>291930</v>
      </c>
      <c r="J38" s="151"/>
      <c r="K38" s="151"/>
    </row>
    <row r="39" spans="2:11" x14ac:dyDescent="0.2">
      <c r="B39" s="567" t="s">
        <v>156</v>
      </c>
      <c r="C39" s="565" t="s">
        <v>136</v>
      </c>
      <c r="D39" s="589">
        <f>+D79</f>
        <v>6</v>
      </c>
      <c r="E39" s="91"/>
      <c r="F39" s="91">
        <f t="shared" si="0"/>
        <v>0</v>
      </c>
      <c r="G39" s="92">
        <f t="shared" si="1"/>
        <v>0</v>
      </c>
      <c r="H39" s="252"/>
      <c r="I39" s="92">
        <f>+'[1]P 5 C.Mant. B.P.'!$F$44</f>
        <v>75000</v>
      </c>
      <c r="J39" s="151"/>
      <c r="K39" s="151"/>
    </row>
    <row r="40" spans="2:11" x14ac:dyDescent="0.2">
      <c r="B40" s="567" t="s">
        <v>159</v>
      </c>
      <c r="C40" s="565" t="s">
        <v>59</v>
      </c>
      <c r="D40" s="589">
        <f>+($D$10+$D$11)*D13</f>
        <v>240</v>
      </c>
      <c r="E40" s="91"/>
      <c r="F40" s="91">
        <f t="shared" si="0"/>
        <v>0</v>
      </c>
      <c r="G40" s="92">
        <f t="shared" si="1"/>
        <v>0</v>
      </c>
      <c r="H40" s="252"/>
      <c r="I40" s="92">
        <f>+'[1]P 5 C.Mant. B.P.'!$F$47</f>
        <v>97458</v>
      </c>
      <c r="J40" s="151"/>
      <c r="K40" s="151"/>
    </row>
    <row r="41" spans="2:11" x14ac:dyDescent="0.2">
      <c r="B41" s="567" t="s">
        <v>154</v>
      </c>
      <c r="C41" s="565" t="s">
        <v>59</v>
      </c>
      <c r="D41" s="589">
        <f>+$D$10+$D$11</f>
        <v>1200</v>
      </c>
      <c r="E41" s="91"/>
      <c r="F41" s="91">
        <f t="shared" si="0"/>
        <v>0</v>
      </c>
      <c r="G41" s="92">
        <f t="shared" si="1"/>
        <v>0</v>
      </c>
      <c r="H41" s="252"/>
      <c r="I41" s="92">
        <f>+'[1]P 5 C.Mant. B.P.'!$F$42</f>
        <v>48840</v>
      </c>
      <c r="J41" s="151"/>
      <c r="K41" s="151"/>
    </row>
    <row r="42" spans="2:11" x14ac:dyDescent="0.2">
      <c r="B42" s="567" t="s">
        <v>295</v>
      </c>
      <c r="C42" s="565" t="s">
        <v>59</v>
      </c>
      <c r="D42" s="589">
        <f>+$D$10+$D$11</f>
        <v>1200</v>
      </c>
      <c r="E42" s="91"/>
      <c r="F42" s="91">
        <f t="shared" si="0"/>
        <v>0</v>
      </c>
      <c r="G42" s="92">
        <f t="shared" si="1"/>
        <v>0</v>
      </c>
      <c r="H42" s="252"/>
      <c r="I42" s="92">
        <f>+'[1]P 5 C.Mant. B.P.'!$F$43</f>
        <v>48840</v>
      </c>
      <c r="J42" s="151"/>
      <c r="K42" s="151"/>
    </row>
    <row r="43" spans="2:11" x14ac:dyDescent="0.2">
      <c r="B43" s="567" t="s">
        <v>158</v>
      </c>
      <c r="C43" s="565" t="s">
        <v>59</v>
      </c>
      <c r="D43" s="589">
        <f>+$D$10+$D$11</f>
        <v>1200</v>
      </c>
      <c r="E43" s="91"/>
      <c r="F43" s="91">
        <f t="shared" si="0"/>
        <v>0</v>
      </c>
      <c r="G43" s="92">
        <f t="shared" si="1"/>
        <v>0</v>
      </c>
      <c r="H43" s="252"/>
      <c r="I43" s="92">
        <f>+'[1]P 5 C.Mant. B.P.'!$F$46</f>
        <v>97680</v>
      </c>
      <c r="J43" s="151"/>
      <c r="K43" s="151"/>
    </row>
    <row r="44" spans="2:11" x14ac:dyDescent="0.2">
      <c r="B44" s="566" t="s">
        <v>296</v>
      </c>
      <c r="C44" s="565" t="s">
        <v>149</v>
      </c>
      <c r="D44" s="589">
        <v>10000</v>
      </c>
      <c r="E44" s="91"/>
      <c r="F44" s="91">
        <f t="shared" si="0"/>
        <v>0</v>
      </c>
      <c r="G44" s="92">
        <f t="shared" si="1"/>
        <v>0</v>
      </c>
      <c r="H44" s="252"/>
      <c r="I44" s="92">
        <f>+'[1]P 5 C.Mant. B.P.'!$F$48</f>
        <v>290000</v>
      </c>
      <c r="J44" s="151"/>
      <c r="K44" s="151"/>
    </row>
    <row r="45" spans="2:11" x14ac:dyDescent="0.2">
      <c r="B45" s="413" t="s">
        <v>161</v>
      </c>
      <c r="C45" s="565"/>
      <c r="D45" s="589"/>
      <c r="E45" s="91"/>
      <c r="F45" s="91"/>
      <c r="G45" s="92"/>
      <c r="H45" s="252"/>
      <c r="I45" s="92">
        <f>+'[1]P 5 C.Mant. B.P.'!$F$49</f>
        <v>97528</v>
      </c>
      <c r="J45" s="151"/>
      <c r="K45" s="151"/>
    </row>
    <row r="46" spans="2:11" x14ac:dyDescent="0.2">
      <c r="B46" s="588" t="s">
        <v>163</v>
      </c>
      <c r="C46" s="587"/>
      <c r="D46" s="586"/>
      <c r="E46" s="97"/>
      <c r="F46" s="98">
        <f>+SUM(F38:F45)</f>
        <v>0</v>
      </c>
      <c r="G46" s="99">
        <f>+SUM(G38:G45)</f>
        <v>0</v>
      </c>
      <c r="H46" s="253"/>
      <c r="I46" s="99">
        <f>SUM(I38:I45)</f>
        <v>1047276</v>
      </c>
      <c r="J46" s="246"/>
      <c r="K46" s="246"/>
    </row>
    <row r="47" spans="2:11" ht="15.75" customHeight="1" x14ac:dyDescent="0.2">
      <c r="B47" s="708" t="s">
        <v>164</v>
      </c>
      <c r="C47" s="709"/>
      <c r="D47" s="709"/>
      <c r="E47" s="709"/>
      <c r="F47" s="709"/>
      <c r="G47" s="585"/>
      <c r="H47" s="576"/>
    </row>
    <row r="48" spans="2:11" x14ac:dyDescent="0.2">
      <c r="B48" s="567" t="s">
        <v>297</v>
      </c>
      <c r="C48" s="565" t="s">
        <v>166</v>
      </c>
      <c r="D48" s="583">
        <f>ROUNDUP(D10*D13,0)</f>
        <v>160</v>
      </c>
      <c r="E48" s="91"/>
      <c r="F48" s="91">
        <f t="shared" ref="F48:F54" si="2">+D48*E48</f>
        <v>0</v>
      </c>
      <c r="G48" s="92">
        <f t="shared" ref="G48:G55" si="3">+F48*$G$32</f>
        <v>0</v>
      </c>
      <c r="H48" s="414">
        <f>+'[1]P 5 C.Mant. B.P.'!$D$52</f>
        <v>111</v>
      </c>
      <c r="I48" s="92">
        <f>+'[1]P 5 C.Mant. B.P.'!$F$52</f>
        <v>149073</v>
      </c>
      <c r="J48" s="151" t="s">
        <v>326</v>
      </c>
    </row>
    <row r="49" spans="2:22" x14ac:dyDescent="0.2">
      <c r="B49" s="567" t="s">
        <v>455</v>
      </c>
      <c r="C49" s="565" t="s">
        <v>166</v>
      </c>
      <c r="D49" s="583">
        <f>ROUNDUP(D11*D12,0)</f>
        <v>120</v>
      </c>
      <c r="E49" s="91"/>
      <c r="F49" s="91">
        <f t="shared" si="2"/>
        <v>0</v>
      </c>
      <c r="G49" s="92">
        <f t="shared" si="3"/>
        <v>0</v>
      </c>
      <c r="H49" s="414"/>
      <c r="I49" s="92"/>
      <c r="J49" s="151"/>
    </row>
    <row r="50" spans="2:22" x14ac:dyDescent="0.2">
      <c r="B50" s="567" t="s">
        <v>288</v>
      </c>
      <c r="C50" s="565" t="s">
        <v>168</v>
      </c>
      <c r="D50" s="583">
        <f>ROUNDUP(($D$10*D18*2)/1000,0)</f>
        <v>64</v>
      </c>
      <c r="E50" s="91"/>
      <c r="F50" s="91">
        <f t="shared" si="2"/>
        <v>0</v>
      </c>
      <c r="G50" s="92">
        <f t="shared" si="3"/>
        <v>0</v>
      </c>
      <c r="H50" s="414">
        <f>+'[1]P 5 C.Mant. B.P.'!$D$53</f>
        <v>56</v>
      </c>
      <c r="I50" s="92">
        <f>+'[1]P 5 C.Mant. B.P.'!$F$53</f>
        <v>0</v>
      </c>
      <c r="J50" s="151" t="s">
        <v>327</v>
      </c>
    </row>
    <row r="51" spans="2:22" x14ac:dyDescent="0.2">
      <c r="B51" s="567" t="s">
        <v>4</v>
      </c>
      <c r="C51" s="565" t="s">
        <v>168</v>
      </c>
      <c r="D51" s="583">
        <f>ROUNDUP(($D$48*D17)/1000,0)</f>
        <v>32</v>
      </c>
      <c r="E51" s="91"/>
      <c r="F51" s="91">
        <f t="shared" si="2"/>
        <v>0</v>
      </c>
      <c r="G51" s="92">
        <f t="shared" si="3"/>
        <v>0</v>
      </c>
      <c r="H51" s="414">
        <f>+'[1]P 5 C.Mant. B.P.'!$D$55</f>
        <v>222</v>
      </c>
      <c r="I51" s="92">
        <f>+'[1]P 5 C.Mant. B.P.'!$F$55</f>
        <v>377844</v>
      </c>
      <c r="J51" s="151" t="s">
        <v>328</v>
      </c>
    </row>
    <row r="52" spans="2:22" x14ac:dyDescent="0.2">
      <c r="B52" s="567" t="s">
        <v>124</v>
      </c>
      <c r="C52" s="565" t="s">
        <v>171</v>
      </c>
      <c r="D52" s="583">
        <f>+D20</f>
        <v>0.5</v>
      </c>
      <c r="E52" s="91"/>
      <c r="F52" s="91">
        <f t="shared" si="2"/>
        <v>0</v>
      </c>
      <c r="G52" s="92">
        <f t="shared" si="3"/>
        <v>0</v>
      </c>
      <c r="H52" s="414"/>
      <c r="I52" s="92"/>
      <c r="J52" s="151"/>
    </row>
    <row r="53" spans="2:22" s="255" customFormat="1" x14ac:dyDescent="0.2">
      <c r="B53" s="567" t="str">
        <f>+C22</f>
        <v>Attakill</v>
      </c>
      <c r="C53" s="565" t="s">
        <v>168</v>
      </c>
      <c r="D53" s="583">
        <f>ROUNDUP(($D$10*D22)/1000,0)</f>
        <v>1</v>
      </c>
      <c r="E53" s="91"/>
      <c r="F53" s="91">
        <f t="shared" si="2"/>
        <v>0</v>
      </c>
      <c r="G53" s="92">
        <f t="shared" si="3"/>
        <v>0</v>
      </c>
      <c r="H53" s="414">
        <f>+'[1]P 5 C.Mant. B.P.'!$D$57</f>
        <v>1</v>
      </c>
      <c r="I53" s="92">
        <f>+'[1]P 5 C.Mant. B.P.'!$F$57</f>
        <v>44733</v>
      </c>
      <c r="J53" s="151"/>
      <c r="V53" s="613"/>
    </row>
    <row r="54" spans="2:22" s="255" customFormat="1" x14ac:dyDescent="0.2">
      <c r="B54" s="567" t="str">
        <f>+C23</f>
        <v>Caldolomita</v>
      </c>
      <c r="C54" s="565" t="s">
        <v>5</v>
      </c>
      <c r="D54" s="583">
        <f>ROUNDUP(($D$48*D23)/1000,0)</f>
        <v>1</v>
      </c>
      <c r="E54" s="91"/>
      <c r="F54" s="91">
        <f t="shared" si="2"/>
        <v>0</v>
      </c>
      <c r="G54" s="92">
        <f t="shared" si="3"/>
        <v>0</v>
      </c>
      <c r="H54" s="414">
        <f>+'[1]P 5 C.Mant. B.P.'!$D$58</f>
        <v>50</v>
      </c>
      <c r="I54" s="92">
        <f>+'[1]P 5 C.Mant. B.P.'!$F$58</f>
        <v>10650</v>
      </c>
      <c r="J54" s="151" t="s">
        <v>327</v>
      </c>
      <c r="K54" s="584"/>
      <c r="V54" s="613"/>
    </row>
    <row r="55" spans="2:22" x14ac:dyDescent="0.2">
      <c r="B55" s="567" t="str">
        <f>+C24</f>
        <v>Hidroretenedor</v>
      </c>
      <c r="C55" s="565" t="s">
        <v>168</v>
      </c>
      <c r="D55" s="583">
        <f>+(D24*D48)/1000</f>
        <v>0.48</v>
      </c>
      <c r="E55" s="91"/>
      <c r="F55" s="91">
        <f>ROUND(D55*E55,0)</f>
        <v>0</v>
      </c>
      <c r="G55" s="92">
        <f t="shared" si="3"/>
        <v>0</v>
      </c>
      <c r="H55" s="414">
        <f>+'[1]P 5 C.Mant. B.P.'!$D$59</f>
        <v>4</v>
      </c>
      <c r="I55" s="92">
        <f>+'[1]P 5 C.Mant. B.P.'!$E$59</f>
        <v>44686</v>
      </c>
      <c r="J55" s="151" t="s">
        <v>327</v>
      </c>
    </row>
    <row r="56" spans="2:22" x14ac:dyDescent="0.2">
      <c r="B56" s="708" t="s">
        <v>173</v>
      </c>
      <c r="C56" s="709"/>
      <c r="D56" s="709"/>
      <c r="E56" s="709"/>
      <c r="F56" s="102">
        <f>+SUM(F48:F55)</f>
        <v>0</v>
      </c>
      <c r="G56" s="103">
        <f>+SUM(G48:G55)</f>
        <v>0</v>
      </c>
      <c r="H56" s="257"/>
      <c r="I56" s="103">
        <f>SUM(I48:I55)</f>
        <v>626986</v>
      </c>
      <c r="J56" s="151"/>
      <c r="L56" s="582"/>
      <c r="M56" s="581"/>
      <c r="N56" s="581"/>
      <c r="O56" s="580"/>
      <c r="P56" s="261"/>
      <c r="Q56" s="261"/>
    </row>
    <row r="57" spans="2:22" x14ac:dyDescent="0.2">
      <c r="B57" s="697" t="s">
        <v>174</v>
      </c>
      <c r="C57" s="698"/>
      <c r="D57" s="698"/>
      <c r="E57" s="698"/>
      <c r="F57" s="104">
        <f>+F46+F56</f>
        <v>0</v>
      </c>
      <c r="G57" s="105">
        <f>+F57*$G$32</f>
        <v>0</v>
      </c>
      <c r="H57" s="262"/>
      <c r="I57" s="262"/>
      <c r="J57" s="262"/>
      <c r="K57" s="263"/>
    </row>
    <row r="58" spans="2:22" ht="15.75" customHeight="1" x14ac:dyDescent="0.2">
      <c r="B58" s="701" t="s">
        <v>175</v>
      </c>
      <c r="C58" s="702"/>
      <c r="D58" s="702"/>
      <c r="E58" s="702"/>
      <c r="F58" s="579"/>
      <c r="G58" s="578"/>
      <c r="H58" s="576"/>
      <c r="I58" s="577"/>
      <c r="J58" s="576"/>
    </row>
    <row r="59" spans="2:22" ht="15.75" customHeight="1" x14ac:dyDescent="0.2">
      <c r="B59" s="703" t="s">
        <v>176</v>
      </c>
      <c r="C59" s="704"/>
      <c r="D59" s="704"/>
      <c r="E59" s="704"/>
      <c r="F59" s="415">
        <f>ROUND($F$46*$D$26,0)</f>
        <v>0</v>
      </c>
      <c r="G59" s="416">
        <f>+F59*G32</f>
        <v>0</v>
      </c>
      <c r="H59" s="264"/>
      <c r="I59" s="264"/>
      <c r="J59" s="264"/>
    </row>
    <row r="60" spans="2:22" ht="15.75" customHeight="1" x14ac:dyDescent="0.2">
      <c r="B60" s="703" t="s">
        <v>177</v>
      </c>
      <c r="C60" s="704"/>
      <c r="D60" s="704"/>
      <c r="E60" s="704"/>
      <c r="F60" s="415">
        <f>ROUND($F$46*$D$26,0)</f>
        <v>0</v>
      </c>
      <c r="G60" s="416">
        <f>+F60*G32</f>
        <v>0</v>
      </c>
      <c r="H60" s="264"/>
      <c r="I60" s="264"/>
      <c r="J60" s="264"/>
    </row>
    <row r="61" spans="2:22" x14ac:dyDescent="0.2">
      <c r="B61" s="703" t="s">
        <v>178</v>
      </c>
      <c r="C61" s="704"/>
      <c r="D61" s="704"/>
      <c r="E61" s="704"/>
      <c r="F61" s="265">
        <f>ROUNDUP(F56*D29,0)</f>
        <v>0</v>
      </c>
      <c r="G61" s="266">
        <f>+F61*$G$32</f>
        <v>0</v>
      </c>
      <c r="H61" s="267"/>
      <c r="I61" s="267"/>
      <c r="J61" s="267"/>
    </row>
    <row r="62" spans="2:22" x14ac:dyDescent="0.2">
      <c r="B62" s="701" t="s">
        <v>179</v>
      </c>
      <c r="C62" s="702"/>
      <c r="D62" s="702"/>
      <c r="E62" s="702"/>
      <c r="F62" s="112">
        <f>SUM(F59:F61)</f>
        <v>0</v>
      </c>
      <c r="G62" s="113">
        <f>SUM(G59:G61)</f>
        <v>0</v>
      </c>
      <c r="H62" s="262"/>
      <c r="I62" s="262"/>
      <c r="J62" s="262"/>
    </row>
    <row r="63" spans="2:22" ht="15.75" customHeight="1" thickBot="1" x14ac:dyDescent="0.25">
      <c r="B63" s="705" t="s">
        <v>299</v>
      </c>
      <c r="C63" s="706"/>
      <c r="D63" s="706"/>
      <c r="E63" s="706"/>
      <c r="F63" s="114">
        <f>+F57+F62</f>
        <v>0</v>
      </c>
      <c r="G63" s="115">
        <f>+G57+G62</f>
        <v>0</v>
      </c>
      <c r="H63" s="268"/>
      <c r="I63" s="268"/>
      <c r="J63" s="268"/>
    </row>
    <row r="64" spans="2:22" ht="15.75" customHeight="1" x14ac:dyDescent="0.2">
      <c r="B64" s="575" t="s">
        <v>140</v>
      </c>
      <c r="C64" s="117" t="s">
        <v>181</v>
      </c>
      <c r="D64" s="118" t="s">
        <v>182</v>
      </c>
      <c r="E64" s="118" t="s">
        <v>183</v>
      </c>
      <c r="F64" s="118" t="s">
        <v>184</v>
      </c>
      <c r="G64" s="119" t="s">
        <v>185</v>
      </c>
      <c r="H64" s="268"/>
      <c r="I64" s="268"/>
      <c r="J64" s="268"/>
    </row>
    <row r="65" spans="2:22" ht="15.75" customHeight="1" x14ac:dyDescent="0.2">
      <c r="B65" s="574" t="s">
        <v>186</v>
      </c>
      <c r="C65" s="121"/>
      <c r="D65" s="122"/>
      <c r="E65" s="122"/>
      <c r="F65" s="122"/>
      <c r="G65" s="123"/>
      <c r="H65" s="268"/>
      <c r="I65" s="268"/>
      <c r="J65" s="268"/>
    </row>
    <row r="66" spans="2:22" ht="15.75" customHeight="1" x14ac:dyDescent="0.2">
      <c r="B66" s="573" t="s">
        <v>187</v>
      </c>
      <c r="C66" s="125">
        <v>0.01</v>
      </c>
      <c r="D66" s="454" t="s">
        <v>188</v>
      </c>
      <c r="E66" s="454">
        <v>8</v>
      </c>
      <c r="F66" s="455"/>
      <c r="G66" s="126">
        <f>+F66*$G$32</f>
        <v>0</v>
      </c>
      <c r="H66" s="268"/>
      <c r="I66" s="268"/>
      <c r="J66" s="268"/>
    </row>
    <row r="67" spans="2:22" ht="15.75" customHeight="1" thickBot="1" x14ac:dyDescent="0.25">
      <c r="B67" s="127" t="s">
        <v>189</v>
      </c>
      <c r="C67" s="128"/>
      <c r="D67" s="129"/>
      <c r="E67" s="129"/>
      <c r="F67" s="299"/>
      <c r="G67" s="130">
        <f>+G66</f>
        <v>0</v>
      </c>
      <c r="H67" s="268"/>
      <c r="I67" s="268"/>
      <c r="J67" s="268"/>
    </row>
    <row r="68" spans="2:22" x14ac:dyDescent="0.2">
      <c r="B68" s="131" t="s">
        <v>300</v>
      </c>
      <c r="C68" s="132"/>
      <c r="D68" s="132"/>
      <c r="E68" s="132"/>
      <c r="F68" s="421">
        <f>+F63+F67</f>
        <v>0</v>
      </c>
      <c r="G68" s="133">
        <f>+G63+G67</f>
        <v>0</v>
      </c>
      <c r="I68" s="142">
        <f>+G32-I69-I70-I71</f>
        <v>-2276.5</v>
      </c>
      <c r="J68" s="246">
        <f>+I68*$F$73</f>
        <v>0</v>
      </c>
      <c r="K68" s="151"/>
      <c r="V68" s="572"/>
    </row>
    <row r="69" spans="2:22" x14ac:dyDescent="0.2">
      <c r="B69" s="300" t="s">
        <v>191</v>
      </c>
      <c r="C69" s="301">
        <v>0.1</v>
      </c>
      <c r="D69" s="302"/>
      <c r="E69" s="408"/>
      <c r="F69" s="409">
        <f>ROUND($F$68*C69,0)</f>
        <v>0</v>
      </c>
      <c r="G69" s="410">
        <f>+F69*$G$32</f>
        <v>0</v>
      </c>
      <c r="H69" s="569"/>
      <c r="I69" s="45">
        <v>848</v>
      </c>
      <c r="J69" s="246">
        <f>+I69*$F$73</f>
        <v>0</v>
      </c>
      <c r="K69" s="151"/>
      <c r="L69" s="151"/>
      <c r="M69" s="142"/>
    </row>
    <row r="70" spans="2:22" x14ac:dyDescent="0.2">
      <c r="B70" s="134" t="s">
        <v>192</v>
      </c>
      <c r="C70" s="135">
        <v>0.01</v>
      </c>
      <c r="D70" s="136"/>
      <c r="E70" s="370"/>
      <c r="F70" s="372">
        <f>ROUND($F$68*C70,0)</f>
        <v>0</v>
      </c>
      <c r="G70" s="410">
        <f>+F70*$G$32</f>
        <v>0</v>
      </c>
      <c r="H70" s="569"/>
      <c r="I70" s="45">
        <v>756</v>
      </c>
      <c r="J70" s="246">
        <f>+I70*$F$73</f>
        <v>0</v>
      </c>
      <c r="K70" s="151"/>
      <c r="L70" s="151"/>
      <c r="M70" s="142"/>
    </row>
    <row r="71" spans="2:22" x14ac:dyDescent="0.2">
      <c r="B71" s="134" t="s">
        <v>193</v>
      </c>
      <c r="C71" s="135">
        <v>0.05</v>
      </c>
      <c r="D71" s="136"/>
      <c r="E71" s="370"/>
      <c r="F71" s="372">
        <f>ROUND($F$68*C71,0)</f>
        <v>0</v>
      </c>
      <c r="G71" s="410">
        <f>+F71*$G$32</f>
        <v>0</v>
      </c>
      <c r="H71" s="569"/>
      <c r="I71" s="45">
        <v>685</v>
      </c>
      <c r="J71" s="246">
        <f>+I71*$F$73</f>
        <v>0</v>
      </c>
      <c r="K71" s="151"/>
      <c r="L71" s="151"/>
      <c r="M71" s="142"/>
    </row>
    <row r="72" spans="2:22" ht="13.5" thickBot="1" x14ac:dyDescent="0.25">
      <c r="B72" s="134" t="s">
        <v>321</v>
      </c>
      <c r="C72" s="135">
        <v>0.19</v>
      </c>
      <c r="D72" s="136"/>
      <c r="E72" s="370"/>
      <c r="F72" s="372">
        <f>ROUND(F71*C72,0)</f>
        <v>0</v>
      </c>
      <c r="G72" s="410">
        <f>+F72*$G$32</f>
        <v>0</v>
      </c>
      <c r="H72" s="569"/>
      <c r="J72" s="569"/>
      <c r="K72" s="151"/>
      <c r="L72" s="151"/>
      <c r="M72" s="142"/>
      <c r="T72" s="571"/>
    </row>
    <row r="73" spans="2:22" ht="13.5" thickBot="1" x14ac:dyDescent="0.25">
      <c r="B73" s="699" t="s">
        <v>452</v>
      </c>
      <c r="C73" s="700"/>
      <c r="D73" s="700"/>
      <c r="E73" s="700"/>
      <c r="F73" s="423">
        <f>+F68+F69+F72+F71+F70</f>
        <v>0</v>
      </c>
      <c r="G73" s="423">
        <f>+G68+G69+G72+G71+G70</f>
        <v>0</v>
      </c>
      <c r="H73" s="569">
        <f>+F73*718</f>
        <v>0</v>
      </c>
      <c r="I73" s="151"/>
      <c r="J73" s="142"/>
    </row>
    <row r="74" spans="2:22" x14ac:dyDescent="0.2">
      <c r="C74" s="139"/>
      <c r="G74" s="570">
        <f>+G73+Aislamiento!G69+Establecimiento!G79</f>
        <v>0</v>
      </c>
      <c r="H74" s="569"/>
      <c r="I74" s="142"/>
    </row>
    <row r="75" spans="2:22" x14ac:dyDescent="0.2">
      <c r="G75" s="568"/>
      <c r="H75" s="568"/>
      <c r="I75" s="151"/>
    </row>
    <row r="76" spans="2:22" ht="13.5" thickBot="1" x14ac:dyDescent="0.25">
      <c r="B76" s="635" t="s">
        <v>196</v>
      </c>
      <c r="C76" s="635"/>
      <c r="D76" s="635"/>
      <c r="G76" s="142"/>
      <c r="I76" s="142"/>
      <c r="K76" s="151"/>
    </row>
    <row r="77" spans="2:22" x14ac:dyDescent="0.2">
      <c r="B77" s="143" t="s">
        <v>197</v>
      </c>
      <c r="C77" s="144" t="s">
        <v>198</v>
      </c>
      <c r="D77" s="145" t="s">
        <v>199</v>
      </c>
      <c r="I77" s="246"/>
      <c r="K77" s="151"/>
    </row>
    <row r="78" spans="2:22" x14ac:dyDescent="0.2">
      <c r="B78" s="567" t="s">
        <v>152</v>
      </c>
      <c r="C78" s="565" t="s">
        <v>131</v>
      </c>
      <c r="D78" s="361">
        <v>12</v>
      </c>
      <c r="E78" s="274"/>
      <c r="G78" s="151"/>
      <c r="H78" s="275"/>
      <c r="I78" s="151"/>
      <c r="K78" s="246"/>
    </row>
    <row r="79" spans="2:22" x14ac:dyDescent="0.2">
      <c r="B79" s="567" t="s">
        <v>156</v>
      </c>
      <c r="C79" s="565" t="s">
        <v>136</v>
      </c>
      <c r="D79" s="361">
        <v>6</v>
      </c>
      <c r="E79" s="274"/>
      <c r="F79" s="210"/>
      <c r="G79" s="560"/>
      <c r="H79" s="212"/>
      <c r="I79" s="212"/>
      <c r="J79" s="139"/>
      <c r="U79" s="246"/>
    </row>
    <row r="80" spans="2:22" x14ac:dyDescent="0.2">
      <c r="B80" s="567" t="s">
        <v>159</v>
      </c>
      <c r="C80" s="565" t="s">
        <v>131</v>
      </c>
      <c r="D80" s="361">
        <v>2</v>
      </c>
      <c r="E80" s="274"/>
      <c r="F80" s="210"/>
      <c r="G80" s="560"/>
      <c r="H80" s="212"/>
      <c r="I80" s="212"/>
      <c r="J80" s="139"/>
      <c r="K80" s="151"/>
      <c r="U80" s="246"/>
    </row>
    <row r="81" spans="2:20" x14ac:dyDescent="0.2">
      <c r="B81" s="567" t="s">
        <v>154</v>
      </c>
      <c r="C81" s="565" t="s">
        <v>131</v>
      </c>
      <c r="D81" s="361">
        <v>2</v>
      </c>
      <c r="E81" s="274"/>
      <c r="I81" s="246"/>
    </row>
    <row r="82" spans="2:20" x14ac:dyDescent="0.2">
      <c r="B82" s="567" t="s">
        <v>202</v>
      </c>
      <c r="C82" s="565" t="s">
        <v>131</v>
      </c>
      <c r="D82" s="361">
        <v>2</v>
      </c>
      <c r="E82" s="274"/>
    </row>
    <row r="83" spans="2:20" x14ac:dyDescent="0.2">
      <c r="B83" s="567" t="s">
        <v>158</v>
      </c>
      <c r="C83" s="565" t="s">
        <v>131</v>
      </c>
      <c r="D83" s="361">
        <v>2</v>
      </c>
      <c r="E83" s="274"/>
    </row>
    <row r="84" spans="2:20" x14ac:dyDescent="0.2">
      <c r="B84" s="566" t="s">
        <v>160</v>
      </c>
      <c r="C84" s="565" t="s">
        <v>131</v>
      </c>
      <c r="D84" s="361">
        <v>12</v>
      </c>
      <c r="E84" s="274"/>
    </row>
    <row r="85" spans="2:20" ht="13.5" thickBot="1" x14ac:dyDescent="0.25">
      <c r="B85" s="564"/>
      <c r="C85" s="563"/>
      <c r="D85" s="362"/>
      <c r="E85" s="274"/>
    </row>
    <row r="86" spans="2:20" x14ac:dyDescent="0.2">
      <c r="D86" s="239" t="s">
        <v>330</v>
      </c>
    </row>
    <row r="95" spans="2:20" x14ac:dyDescent="0.2">
      <c r="E95" s="62"/>
      <c r="F95" s="62"/>
      <c r="G95" s="62"/>
      <c r="T95" s="612"/>
    </row>
  </sheetData>
  <mergeCells count="21">
    <mergeCell ref="B12:C12"/>
    <mergeCell ref="B73:E73"/>
    <mergeCell ref="B76:D76"/>
    <mergeCell ref="B58:E58"/>
    <mergeCell ref="B59:E59"/>
    <mergeCell ref="B60:E60"/>
    <mergeCell ref="B61:E61"/>
    <mergeCell ref="B62:E62"/>
    <mergeCell ref="B63:E63"/>
    <mergeCell ref="B13:C13"/>
    <mergeCell ref="B32:C32"/>
    <mergeCell ref="D32:F32"/>
    <mergeCell ref="C37:D37"/>
    <mergeCell ref="B47:F47"/>
    <mergeCell ref="B56:E56"/>
    <mergeCell ref="B57:E57"/>
    <mergeCell ref="B3:G3"/>
    <mergeCell ref="C4:G4"/>
    <mergeCell ref="C5:G5"/>
    <mergeCell ref="C6:G6"/>
    <mergeCell ref="B11:C11"/>
  </mergeCells>
  <conditionalFormatting sqref="F62:H62">
    <cfRule type="cellIs" dxfId="3" priority="4" stopIfTrue="1" operator="greaterThan">
      <formula>0</formula>
    </cfRule>
  </conditionalFormatting>
  <conditionalFormatting sqref="J62">
    <cfRule type="cellIs" dxfId="2" priority="3" stopIfTrue="1" operator="greaterThan">
      <formula>0</formula>
    </cfRule>
  </conditionalFormatting>
  <conditionalFormatting sqref="I62">
    <cfRule type="cellIs" dxfId="1" priority="2" stopIfTrue="1" operator="greaterThan">
      <formula>0</formula>
    </cfRule>
  </conditionalFormatting>
  <conditionalFormatting sqref="I79:I80">
    <cfRule type="cellIs" dxfId="0" priority="1" stopIfTrue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C2DC-D4D0-4135-B993-2D72ACCBB690}">
  <dimension ref="A1:K60"/>
  <sheetViews>
    <sheetView topLeftCell="A19" workbookViewId="0">
      <selection activeCell="C50" sqref="C50"/>
    </sheetView>
  </sheetViews>
  <sheetFormatPr baseColWidth="10" defaultRowHeight="15" x14ac:dyDescent="0.25"/>
  <cols>
    <col min="2" max="2" width="22.42578125" customWidth="1"/>
    <col min="10" max="11" width="14.85546875" bestFit="1" customWidth="1"/>
  </cols>
  <sheetData>
    <row r="1" spans="1:9" ht="15.75" thickBot="1" x14ac:dyDescent="0.3">
      <c r="A1" s="724"/>
      <c r="B1" s="725"/>
      <c r="C1" s="725"/>
      <c r="D1" s="725"/>
      <c r="E1" s="725"/>
      <c r="F1" s="725"/>
      <c r="G1" s="725"/>
      <c r="H1" s="726"/>
      <c r="I1" s="459"/>
    </row>
    <row r="2" spans="1:9" ht="15.75" thickBot="1" x14ac:dyDescent="0.3">
      <c r="A2" s="727" t="s">
        <v>357</v>
      </c>
      <c r="B2" s="729" t="s">
        <v>358</v>
      </c>
      <c r="C2" s="460" t="s">
        <v>359</v>
      </c>
      <c r="D2" s="460" t="s">
        <v>360</v>
      </c>
      <c r="E2" s="460" t="s">
        <v>361</v>
      </c>
      <c r="F2" s="461" t="s">
        <v>362</v>
      </c>
      <c r="G2" s="462" t="s">
        <v>363</v>
      </c>
      <c r="H2" s="463" t="s">
        <v>364</v>
      </c>
      <c r="I2" s="459"/>
    </row>
    <row r="3" spans="1:9" ht="39" thickBot="1" x14ac:dyDescent="0.3">
      <c r="A3" s="728"/>
      <c r="B3" s="730"/>
      <c r="C3" s="460" t="s">
        <v>365</v>
      </c>
      <c r="D3" s="460" t="s">
        <v>199</v>
      </c>
      <c r="E3" s="460" t="s">
        <v>366</v>
      </c>
      <c r="F3" s="461" t="s">
        <v>367</v>
      </c>
      <c r="G3" s="462" t="s">
        <v>368</v>
      </c>
      <c r="H3" s="463" t="s">
        <v>369</v>
      </c>
      <c r="I3" s="459"/>
    </row>
    <row r="4" spans="1:9" x14ac:dyDescent="0.25">
      <c r="A4" s="464">
        <v>1</v>
      </c>
      <c r="B4" s="465" t="s">
        <v>370</v>
      </c>
      <c r="C4" s="465"/>
      <c r="D4" s="465"/>
      <c r="E4" s="466"/>
      <c r="F4" s="467"/>
      <c r="G4" s="468"/>
      <c r="H4" s="469"/>
      <c r="I4" s="470"/>
    </row>
    <row r="5" spans="1:9" x14ac:dyDescent="0.25">
      <c r="A5" s="471">
        <v>1.1000000000000001</v>
      </c>
      <c r="B5" s="472" t="s">
        <v>371</v>
      </c>
      <c r="C5" s="472"/>
      <c r="D5" s="472"/>
      <c r="E5" s="473"/>
      <c r="F5" s="474"/>
      <c r="G5" s="475"/>
      <c r="H5" s="476"/>
      <c r="I5" s="470"/>
    </row>
    <row r="6" spans="1:9" x14ac:dyDescent="0.25">
      <c r="A6" s="477" t="s">
        <v>372</v>
      </c>
      <c r="B6" s="478" t="s">
        <v>373</v>
      </c>
      <c r="C6" s="479">
        <v>0</v>
      </c>
      <c r="D6" s="480">
        <v>1</v>
      </c>
      <c r="E6" s="481">
        <v>1</v>
      </c>
      <c r="F6" s="482">
        <f>ROUND(C6*D6*E6,0)</f>
        <v>0</v>
      </c>
      <c r="G6" s="483">
        <v>4</v>
      </c>
      <c r="H6" s="484">
        <f>ROUND(F6*G6,0)</f>
        <v>0</v>
      </c>
      <c r="I6" s="459"/>
    </row>
    <row r="7" spans="1:9" x14ac:dyDescent="0.25">
      <c r="A7" s="477" t="s">
        <v>374</v>
      </c>
      <c r="B7" s="485" t="s">
        <v>375</v>
      </c>
      <c r="C7" s="479">
        <v>0</v>
      </c>
      <c r="D7" s="480">
        <v>1</v>
      </c>
      <c r="E7" s="481">
        <v>1</v>
      </c>
      <c r="F7" s="482">
        <f t="shared" ref="F7:F19" si="0">ROUND(C7*D7*E7,0)</f>
        <v>0</v>
      </c>
      <c r="G7" s="483">
        <v>4</v>
      </c>
      <c r="H7" s="484">
        <f t="shared" ref="H7:H19" si="1">ROUND(F7*G7,0)</f>
        <v>0</v>
      </c>
      <c r="I7" s="459"/>
    </row>
    <row r="8" spans="1:9" x14ac:dyDescent="0.25">
      <c r="A8" s="477" t="s">
        <v>376</v>
      </c>
      <c r="B8" s="485" t="s">
        <v>377</v>
      </c>
      <c r="C8" s="479">
        <v>0</v>
      </c>
      <c r="D8" s="480">
        <v>1</v>
      </c>
      <c r="E8" s="481">
        <v>1</v>
      </c>
      <c r="F8" s="482">
        <f t="shared" si="0"/>
        <v>0</v>
      </c>
      <c r="G8" s="483">
        <v>4</v>
      </c>
      <c r="H8" s="484">
        <f t="shared" si="1"/>
        <v>0</v>
      </c>
      <c r="I8" s="459"/>
    </row>
    <row r="9" spans="1:9" x14ac:dyDescent="0.25">
      <c r="A9" s="477" t="s">
        <v>378</v>
      </c>
      <c r="B9" s="485" t="s">
        <v>379</v>
      </c>
      <c r="C9" s="479">
        <v>0</v>
      </c>
      <c r="D9" s="480">
        <v>1</v>
      </c>
      <c r="E9" s="481">
        <v>1</v>
      </c>
      <c r="F9" s="482">
        <f t="shared" si="0"/>
        <v>0</v>
      </c>
      <c r="G9" s="483">
        <v>4</v>
      </c>
      <c r="H9" s="484">
        <f t="shared" si="1"/>
        <v>0</v>
      </c>
      <c r="I9" s="459"/>
    </row>
    <row r="10" spans="1:9" x14ac:dyDescent="0.25">
      <c r="A10" s="477" t="s">
        <v>380</v>
      </c>
      <c r="B10" s="485" t="s">
        <v>381</v>
      </c>
      <c r="C10" s="479">
        <v>0</v>
      </c>
      <c r="D10" s="480">
        <v>1</v>
      </c>
      <c r="E10" s="481">
        <v>1</v>
      </c>
      <c r="F10" s="482">
        <f t="shared" si="0"/>
        <v>0</v>
      </c>
      <c r="G10" s="483">
        <v>4</v>
      </c>
      <c r="H10" s="484">
        <f t="shared" si="1"/>
        <v>0</v>
      </c>
      <c r="I10" s="459"/>
    </row>
    <row r="11" spans="1:9" x14ac:dyDescent="0.25">
      <c r="A11" s="477" t="s">
        <v>382</v>
      </c>
      <c r="B11" s="485" t="s">
        <v>383</v>
      </c>
      <c r="C11" s="479">
        <v>0</v>
      </c>
      <c r="D11" s="480">
        <v>1</v>
      </c>
      <c r="E11" s="481">
        <v>1</v>
      </c>
      <c r="F11" s="482">
        <f t="shared" si="0"/>
        <v>0</v>
      </c>
      <c r="G11" s="483">
        <v>4</v>
      </c>
      <c r="H11" s="484">
        <f t="shared" si="1"/>
        <v>0</v>
      </c>
      <c r="I11" s="459"/>
    </row>
    <row r="12" spans="1:9" x14ac:dyDescent="0.25">
      <c r="A12" s="477" t="s">
        <v>384</v>
      </c>
      <c r="B12" s="485" t="s">
        <v>385</v>
      </c>
      <c r="C12" s="479">
        <v>0</v>
      </c>
      <c r="D12" s="480">
        <v>1</v>
      </c>
      <c r="E12" s="481">
        <v>1</v>
      </c>
      <c r="F12" s="482">
        <f t="shared" si="0"/>
        <v>0</v>
      </c>
      <c r="G12" s="483">
        <v>4</v>
      </c>
      <c r="H12" s="484">
        <f t="shared" si="1"/>
        <v>0</v>
      </c>
      <c r="I12" s="459"/>
    </row>
    <row r="13" spans="1:9" x14ac:dyDescent="0.25">
      <c r="A13" s="477" t="s">
        <v>386</v>
      </c>
      <c r="B13" s="485" t="s">
        <v>387</v>
      </c>
      <c r="C13" s="479">
        <v>0</v>
      </c>
      <c r="D13" s="480">
        <v>1</v>
      </c>
      <c r="E13" s="481">
        <v>1</v>
      </c>
      <c r="F13" s="482">
        <f t="shared" si="0"/>
        <v>0</v>
      </c>
      <c r="G13" s="483">
        <v>4</v>
      </c>
      <c r="H13" s="484">
        <f t="shared" si="1"/>
        <v>0</v>
      </c>
      <c r="I13" s="459"/>
    </row>
    <row r="14" spans="1:9" x14ac:dyDescent="0.25">
      <c r="A14" s="477"/>
      <c r="B14" s="485"/>
      <c r="C14" s="479"/>
      <c r="D14" s="480"/>
      <c r="E14" s="481"/>
      <c r="F14" s="482"/>
      <c r="G14" s="483"/>
      <c r="H14" s="484"/>
      <c r="I14" s="459"/>
    </row>
    <row r="15" spans="1:9" x14ac:dyDescent="0.25">
      <c r="A15" s="471">
        <v>1.3</v>
      </c>
      <c r="B15" s="472" t="s">
        <v>388</v>
      </c>
      <c r="C15" s="486"/>
      <c r="D15" s="480"/>
      <c r="E15" s="481"/>
      <c r="F15" s="482"/>
      <c r="G15" s="483"/>
      <c r="H15" s="484"/>
      <c r="I15" s="470"/>
    </row>
    <row r="16" spans="1:9" x14ac:dyDescent="0.25">
      <c r="A16" s="477" t="s">
        <v>389</v>
      </c>
      <c r="B16" s="478" t="s">
        <v>390</v>
      </c>
      <c r="C16" s="479">
        <v>0</v>
      </c>
      <c r="D16" s="480">
        <v>1</v>
      </c>
      <c r="E16" s="481">
        <v>0.5</v>
      </c>
      <c r="F16" s="482">
        <f t="shared" si="0"/>
        <v>0</v>
      </c>
      <c r="G16" s="483">
        <v>4</v>
      </c>
      <c r="H16" s="484">
        <f t="shared" si="1"/>
        <v>0</v>
      </c>
      <c r="I16" s="459"/>
    </row>
    <row r="17" spans="1:10" x14ac:dyDescent="0.25">
      <c r="A17" s="477" t="s">
        <v>391</v>
      </c>
      <c r="B17" s="478" t="s">
        <v>392</v>
      </c>
      <c r="C17" s="479">
        <v>0</v>
      </c>
      <c r="D17" s="480">
        <v>1</v>
      </c>
      <c r="E17" s="481">
        <v>1</v>
      </c>
      <c r="F17" s="482">
        <f t="shared" si="0"/>
        <v>0</v>
      </c>
      <c r="G17" s="483">
        <v>4</v>
      </c>
      <c r="H17" s="484">
        <f t="shared" si="1"/>
        <v>0</v>
      </c>
      <c r="I17" s="459"/>
    </row>
    <row r="18" spans="1:10" x14ac:dyDescent="0.25">
      <c r="A18" s="487" t="s">
        <v>393</v>
      </c>
      <c r="B18" s="488" t="s">
        <v>394</v>
      </c>
      <c r="C18" s="489">
        <v>0</v>
      </c>
      <c r="D18" s="490">
        <v>1</v>
      </c>
      <c r="E18" s="491">
        <v>1</v>
      </c>
      <c r="F18" s="482">
        <f t="shared" si="0"/>
        <v>0</v>
      </c>
      <c r="G18" s="483">
        <v>4</v>
      </c>
      <c r="H18" s="484">
        <f t="shared" si="1"/>
        <v>0</v>
      </c>
      <c r="I18" s="459"/>
    </row>
    <row r="19" spans="1:10" ht="15.75" thickBot="1" x14ac:dyDescent="0.3">
      <c r="A19" s="477" t="s">
        <v>395</v>
      </c>
      <c r="B19" s="478" t="s">
        <v>396</v>
      </c>
      <c r="C19" s="479">
        <v>0</v>
      </c>
      <c r="D19" s="480">
        <v>1</v>
      </c>
      <c r="E19" s="481">
        <v>1</v>
      </c>
      <c r="F19" s="482">
        <f t="shared" si="0"/>
        <v>0</v>
      </c>
      <c r="G19" s="483">
        <v>4</v>
      </c>
      <c r="H19" s="484">
        <f t="shared" si="1"/>
        <v>0</v>
      </c>
      <c r="I19" s="459"/>
    </row>
    <row r="20" spans="1:10" ht="15.75" thickBot="1" x14ac:dyDescent="0.3">
      <c r="A20" s="492"/>
      <c r="B20" s="493"/>
      <c r="C20" s="493"/>
      <c r="D20" s="493"/>
      <c r="E20" s="493"/>
      <c r="F20" s="493"/>
      <c r="G20" s="493" t="s">
        <v>397</v>
      </c>
      <c r="H20" s="494">
        <f>+SUM(H6:H19)</f>
        <v>0</v>
      </c>
      <c r="I20" s="470"/>
      <c r="J20" s="495"/>
    </row>
    <row r="21" spans="1:10" ht="17.25" thickBot="1" x14ac:dyDescent="0.35">
      <c r="A21" s="731"/>
      <c r="B21" s="731"/>
      <c r="C21" s="731"/>
      <c r="D21" s="731"/>
      <c r="E21" s="731"/>
      <c r="F21" s="731"/>
      <c r="G21" s="731"/>
      <c r="H21" s="731"/>
      <c r="I21" s="496"/>
    </row>
    <row r="22" spans="1:10" ht="15.75" thickBot="1" x14ac:dyDescent="0.3">
      <c r="A22" s="732" t="s">
        <v>398</v>
      </c>
      <c r="B22" s="733"/>
      <c r="C22" s="733"/>
      <c r="D22" s="733"/>
      <c r="E22" s="733"/>
      <c r="F22" s="733"/>
      <c r="G22" s="733"/>
      <c r="H22" s="734"/>
      <c r="I22" s="470"/>
    </row>
    <row r="23" spans="1:10" x14ac:dyDescent="0.25">
      <c r="A23" s="721"/>
      <c r="B23" s="722"/>
      <c r="C23" s="722"/>
      <c r="D23" s="722"/>
      <c r="E23" s="722"/>
      <c r="F23" s="722"/>
      <c r="G23" s="722"/>
      <c r="H23" s="722"/>
      <c r="I23" s="723"/>
    </row>
    <row r="24" spans="1:10" x14ac:dyDescent="0.25">
      <c r="A24" s="710" t="s">
        <v>399</v>
      </c>
      <c r="B24" s="711"/>
      <c r="C24" s="711"/>
      <c r="D24" s="711"/>
      <c r="E24" s="711"/>
      <c r="F24" s="711"/>
      <c r="G24" s="711"/>
      <c r="H24" s="711"/>
      <c r="I24" s="712"/>
    </row>
    <row r="25" spans="1:10" x14ac:dyDescent="0.25">
      <c r="A25" s="497"/>
      <c r="B25" s="498"/>
      <c r="C25" s="498"/>
      <c r="D25" s="498"/>
      <c r="E25" s="498"/>
      <c r="F25" s="498"/>
      <c r="G25" s="498"/>
      <c r="H25" s="713" t="s">
        <v>334</v>
      </c>
      <c r="I25" s="714"/>
    </row>
    <row r="26" spans="1:10" x14ac:dyDescent="0.25">
      <c r="A26" s="499" t="s">
        <v>359</v>
      </c>
      <c r="B26" s="500" t="s">
        <v>400</v>
      </c>
      <c r="C26" s="501"/>
      <c r="D26" s="500"/>
      <c r="E26" s="501"/>
      <c r="F26" s="501"/>
      <c r="G26" s="502"/>
      <c r="H26" s="503"/>
      <c r="I26" s="504">
        <v>1</v>
      </c>
    </row>
    <row r="27" spans="1:10" x14ac:dyDescent="0.25">
      <c r="A27" s="477"/>
      <c r="B27" s="478"/>
      <c r="C27" s="480"/>
      <c r="D27" s="472"/>
      <c r="E27" s="480"/>
      <c r="F27" s="473"/>
      <c r="G27" s="505">
        <f>H20</f>
        <v>0</v>
      </c>
      <c r="H27" s="475"/>
      <c r="I27" s="506"/>
    </row>
    <row r="28" spans="1:10" x14ac:dyDescent="0.25">
      <c r="A28" s="499" t="s">
        <v>360</v>
      </c>
      <c r="B28" s="500" t="s">
        <v>93</v>
      </c>
      <c r="C28" s="501"/>
      <c r="D28" s="500"/>
      <c r="E28" s="501"/>
      <c r="F28" s="501"/>
      <c r="G28" s="502">
        <f>G27*I28</f>
        <v>0</v>
      </c>
      <c r="H28" s="503"/>
      <c r="I28" s="507">
        <f>+SUM(H29:H36)</f>
        <v>0.66293333333333326</v>
      </c>
    </row>
    <row r="29" spans="1:10" x14ac:dyDescent="0.25">
      <c r="A29" s="477"/>
      <c r="B29" s="478" t="s">
        <v>401</v>
      </c>
      <c r="C29" s="480"/>
      <c r="D29" s="472"/>
      <c r="E29" s="480"/>
      <c r="F29" s="473"/>
      <c r="G29" s="505"/>
      <c r="H29" s="508">
        <v>0.125</v>
      </c>
      <c r="I29" s="506"/>
      <c r="J29" s="495"/>
    </row>
    <row r="30" spans="1:10" x14ac:dyDescent="0.25">
      <c r="A30" s="477"/>
      <c r="B30" s="478" t="s">
        <v>402</v>
      </c>
      <c r="C30" s="480"/>
      <c r="D30" s="472"/>
      <c r="E30" s="480"/>
      <c r="F30" s="473"/>
      <c r="G30" s="505"/>
      <c r="H30" s="508">
        <v>0.16</v>
      </c>
      <c r="I30" s="506"/>
    </row>
    <row r="31" spans="1:10" x14ac:dyDescent="0.25">
      <c r="A31" s="477"/>
      <c r="B31" s="478" t="s">
        <v>403</v>
      </c>
      <c r="C31" s="480"/>
      <c r="D31" s="472"/>
      <c r="E31" s="480"/>
      <c r="F31" s="473"/>
      <c r="G31" s="505"/>
      <c r="H31" s="508">
        <v>6.9599999999999995E-2</v>
      </c>
      <c r="I31" s="506"/>
    </row>
    <row r="32" spans="1:10" x14ac:dyDescent="0.25">
      <c r="A32" s="477"/>
      <c r="B32" s="478" t="s">
        <v>404</v>
      </c>
      <c r="C32" s="480"/>
      <c r="D32" s="472"/>
      <c r="E32" s="480"/>
      <c r="F32" s="473"/>
      <c r="G32" s="505"/>
      <c r="H32" s="508">
        <f>1/12</f>
        <v>8.3333333333333329E-2</v>
      </c>
      <c r="I32" s="506"/>
    </row>
    <row r="33" spans="1:9" x14ac:dyDescent="0.25">
      <c r="A33" s="477"/>
      <c r="B33" s="478" t="s">
        <v>405</v>
      </c>
      <c r="C33" s="480"/>
      <c r="D33" s="472"/>
      <c r="E33" s="480"/>
      <c r="F33" s="473"/>
      <c r="G33" s="505"/>
      <c r="H33" s="508">
        <f>+H32*0.12</f>
        <v>9.9999999999999985E-3</v>
      </c>
      <c r="I33" s="506"/>
    </row>
    <row r="34" spans="1:9" x14ac:dyDescent="0.25">
      <c r="A34" s="477"/>
      <c r="B34" s="478" t="s">
        <v>406</v>
      </c>
      <c r="C34" s="480"/>
      <c r="D34" s="472"/>
      <c r="E34" s="480"/>
      <c r="F34" s="473"/>
      <c r="G34" s="505"/>
      <c r="H34" s="508">
        <f>1/12</f>
        <v>8.3333333333333329E-2</v>
      </c>
      <c r="I34" s="506"/>
    </row>
    <row r="35" spans="1:9" x14ac:dyDescent="0.25">
      <c r="A35" s="477"/>
      <c r="B35" s="478" t="s">
        <v>407</v>
      </c>
      <c r="C35" s="480"/>
      <c r="D35" s="472"/>
      <c r="E35" s="480"/>
      <c r="F35" s="473"/>
      <c r="G35" s="505"/>
      <c r="H35" s="508">
        <v>0.09</v>
      </c>
      <c r="I35" s="506"/>
    </row>
    <row r="36" spans="1:9" x14ac:dyDescent="0.25">
      <c r="A36" s="477"/>
      <c r="B36" s="478" t="s">
        <v>408</v>
      </c>
      <c r="C36" s="480"/>
      <c r="D36" s="472"/>
      <c r="E36" s="480"/>
      <c r="F36" s="473"/>
      <c r="G36" s="505"/>
      <c r="H36" s="508">
        <f>+H34/2</f>
        <v>4.1666666666666664E-2</v>
      </c>
      <c r="I36" s="506"/>
    </row>
    <row r="37" spans="1:9" x14ac:dyDescent="0.25">
      <c r="A37" s="499" t="s">
        <v>361</v>
      </c>
      <c r="B37" s="500" t="s">
        <v>409</v>
      </c>
      <c r="C37" s="501"/>
      <c r="D37" s="500"/>
      <c r="E37" s="501"/>
      <c r="F37" s="501"/>
      <c r="G37" s="502" t="s">
        <v>410</v>
      </c>
      <c r="H37" s="509"/>
      <c r="I37" s="507">
        <f>SUM(H38:H43)</f>
        <v>5.5099999999999996E-2</v>
      </c>
    </row>
    <row r="38" spans="1:9" x14ac:dyDescent="0.25">
      <c r="A38" s="477"/>
      <c r="B38" s="478" t="s">
        <v>411</v>
      </c>
      <c r="C38" s="510">
        <v>300000</v>
      </c>
      <c r="D38" s="472">
        <v>4</v>
      </c>
      <c r="E38" s="480"/>
      <c r="F38" s="473"/>
      <c r="G38" s="511">
        <f t="shared" ref="G38:G43" si="2">+C38*D38</f>
        <v>1200000</v>
      </c>
      <c r="H38" s="508">
        <v>3.7199999999999997E-2</v>
      </c>
      <c r="I38" s="506"/>
    </row>
    <row r="39" spans="1:9" x14ac:dyDescent="0.25">
      <c r="A39" s="477"/>
      <c r="B39" s="478" t="s">
        <v>412</v>
      </c>
      <c r="C39" s="510">
        <v>0</v>
      </c>
      <c r="D39" s="472">
        <v>4</v>
      </c>
      <c r="E39" s="480"/>
      <c r="F39" s="473"/>
      <c r="G39" s="511">
        <f t="shared" si="2"/>
        <v>0</v>
      </c>
      <c r="H39" s="508">
        <f>+G39/$I$26</f>
        <v>0</v>
      </c>
      <c r="I39" s="506"/>
    </row>
    <row r="40" spans="1:9" x14ac:dyDescent="0.25">
      <c r="A40" s="477"/>
      <c r="B40" s="478" t="s">
        <v>413</v>
      </c>
      <c r="C40" s="510">
        <v>0</v>
      </c>
      <c r="D40" s="472">
        <v>4</v>
      </c>
      <c r="E40" s="480"/>
      <c r="F40" s="473"/>
      <c r="G40" s="511">
        <f t="shared" si="2"/>
        <v>0</v>
      </c>
      <c r="H40" s="508">
        <f>+G40/$I$26</f>
        <v>0</v>
      </c>
      <c r="I40" s="506"/>
    </row>
    <row r="41" spans="1:9" x14ac:dyDescent="0.25">
      <c r="A41" s="477"/>
      <c r="B41" s="478" t="s">
        <v>414</v>
      </c>
      <c r="C41" s="510">
        <v>0</v>
      </c>
      <c r="D41" s="472">
        <v>4</v>
      </c>
      <c r="E41" s="480"/>
      <c r="F41" s="473"/>
      <c r="G41" s="511">
        <f t="shared" si="2"/>
        <v>0</v>
      </c>
      <c r="H41" s="508">
        <f>+G41/$I$26</f>
        <v>0</v>
      </c>
      <c r="I41" s="506"/>
    </row>
    <row r="42" spans="1:9" x14ac:dyDescent="0.25">
      <c r="A42" s="477"/>
      <c r="B42" s="478" t="s">
        <v>415</v>
      </c>
      <c r="C42" s="510">
        <v>150000</v>
      </c>
      <c r="D42" s="472">
        <v>4</v>
      </c>
      <c r="E42" s="480"/>
      <c r="F42" s="473"/>
      <c r="G42" s="511">
        <f t="shared" si="2"/>
        <v>600000</v>
      </c>
      <c r="H42" s="508">
        <v>1.7899999999999999E-2</v>
      </c>
      <c r="I42" s="506"/>
    </row>
    <row r="43" spans="1:9" x14ac:dyDescent="0.25">
      <c r="A43" s="477"/>
      <c r="B43" s="478" t="s">
        <v>416</v>
      </c>
      <c r="C43" s="510">
        <v>0</v>
      </c>
      <c r="D43" s="472">
        <v>4</v>
      </c>
      <c r="E43" s="480"/>
      <c r="F43" s="473"/>
      <c r="G43" s="511">
        <f t="shared" si="2"/>
        <v>0</v>
      </c>
      <c r="H43" s="508">
        <f>+G43/$I$26</f>
        <v>0</v>
      </c>
      <c r="I43" s="506"/>
    </row>
    <row r="44" spans="1:9" x14ac:dyDescent="0.25">
      <c r="A44" s="499" t="s">
        <v>362</v>
      </c>
      <c r="B44" s="500" t="s">
        <v>417</v>
      </c>
      <c r="C44" s="501"/>
      <c r="D44" s="500">
        <v>0</v>
      </c>
      <c r="E44" s="501"/>
      <c r="F44" s="501"/>
      <c r="G44" s="512" t="s">
        <v>410</v>
      </c>
      <c r="H44" s="509"/>
      <c r="I44" s="507">
        <f>+SUM(H45:H51)</f>
        <v>0.13980000000000001</v>
      </c>
    </row>
    <row r="45" spans="1:9" x14ac:dyDescent="0.25">
      <c r="A45" s="477"/>
      <c r="B45" s="478" t="s">
        <v>418</v>
      </c>
      <c r="C45" s="510">
        <v>200000</v>
      </c>
      <c r="D45" s="472">
        <v>4</v>
      </c>
      <c r="E45" s="513">
        <v>1</v>
      </c>
      <c r="F45" s="473"/>
      <c r="G45" s="511">
        <f>+C45*D45*E45</f>
        <v>800000</v>
      </c>
      <c r="H45" s="508">
        <v>8.4000000000000005E-2</v>
      </c>
      <c r="I45" s="506"/>
    </row>
    <row r="46" spans="1:9" x14ac:dyDescent="0.25">
      <c r="A46" s="477"/>
      <c r="B46" s="478" t="s">
        <v>419</v>
      </c>
      <c r="C46" s="510">
        <v>50000</v>
      </c>
      <c r="D46" s="472">
        <v>4</v>
      </c>
      <c r="E46" s="480"/>
      <c r="F46" s="473"/>
      <c r="G46" s="511">
        <f>+C46*D46</f>
        <v>200000</v>
      </c>
      <c r="H46" s="508">
        <v>3.7000000000000002E-3</v>
      </c>
      <c r="I46" s="506"/>
    </row>
    <row r="47" spans="1:9" x14ac:dyDescent="0.25">
      <c r="A47" s="477"/>
      <c r="B47" s="478" t="s">
        <v>420</v>
      </c>
      <c r="C47" s="510">
        <v>0</v>
      </c>
      <c r="D47" s="472">
        <v>4</v>
      </c>
      <c r="E47" s="480"/>
      <c r="F47" s="473"/>
      <c r="G47" s="511">
        <f>+(C47*D47)</f>
        <v>0</v>
      </c>
      <c r="H47" s="508">
        <v>3.7000000000000002E-3</v>
      </c>
      <c r="I47" s="506"/>
    </row>
    <row r="48" spans="1:9" x14ac:dyDescent="0.25">
      <c r="A48" s="477"/>
      <c r="B48" s="478" t="s">
        <v>421</v>
      </c>
      <c r="C48" s="510">
        <v>35000</v>
      </c>
      <c r="D48" s="472">
        <v>4</v>
      </c>
      <c r="E48" s="480"/>
      <c r="F48" s="473"/>
      <c r="G48" s="511">
        <f>+C48*D48</f>
        <v>140000</v>
      </c>
      <c r="H48" s="508">
        <v>1.49E-2</v>
      </c>
      <c r="I48" s="506"/>
    </row>
    <row r="49" spans="1:11" x14ac:dyDescent="0.25">
      <c r="A49" s="477"/>
      <c r="B49" s="478" t="s">
        <v>422</v>
      </c>
      <c r="C49" s="510">
        <v>0</v>
      </c>
      <c r="D49" s="472">
        <v>1</v>
      </c>
      <c r="E49" s="480"/>
      <c r="F49" s="473"/>
      <c r="G49" s="511">
        <f>+C49*D49</f>
        <v>0</v>
      </c>
      <c r="H49" s="508">
        <v>2.5999999999999999E-2</v>
      </c>
      <c r="I49" s="506"/>
    </row>
    <row r="50" spans="1:11" x14ac:dyDescent="0.25">
      <c r="A50" s="477"/>
      <c r="B50" s="478" t="s">
        <v>423</v>
      </c>
      <c r="C50" s="510">
        <v>161162.79700000002</v>
      </c>
      <c r="D50" s="472">
        <v>2</v>
      </c>
      <c r="E50" s="480"/>
      <c r="F50" s="473"/>
      <c r="G50" s="505">
        <f>+C50*D50</f>
        <v>322325.59400000004</v>
      </c>
      <c r="H50" s="508">
        <v>5.0000000000000001E-3</v>
      </c>
      <c r="I50" s="506"/>
    </row>
    <row r="51" spans="1:11" x14ac:dyDescent="0.25">
      <c r="A51" s="477"/>
      <c r="B51" s="478" t="s">
        <v>424</v>
      </c>
      <c r="C51" s="510">
        <v>0</v>
      </c>
      <c r="D51" s="472"/>
      <c r="E51" s="480"/>
      <c r="F51" s="473"/>
      <c r="G51" s="505"/>
      <c r="H51" s="508">
        <v>2.5000000000000001E-3</v>
      </c>
      <c r="I51" s="506"/>
    </row>
    <row r="52" spans="1:11" x14ac:dyDescent="0.25">
      <c r="A52" s="477"/>
      <c r="B52" s="478" t="s">
        <v>425</v>
      </c>
      <c r="C52" s="514"/>
      <c r="D52" s="472"/>
      <c r="E52" s="480"/>
      <c r="F52" s="473"/>
      <c r="G52" s="505"/>
      <c r="H52" s="508">
        <v>0</v>
      </c>
      <c r="I52" s="506"/>
    </row>
    <row r="53" spans="1:11" x14ac:dyDescent="0.25">
      <c r="A53" s="499" t="s">
        <v>362</v>
      </c>
      <c r="B53" s="500" t="s">
        <v>426</v>
      </c>
      <c r="C53" s="501"/>
      <c r="D53" s="500"/>
      <c r="E53" s="501"/>
      <c r="F53" s="501"/>
      <c r="G53" s="502"/>
      <c r="H53" s="509"/>
      <c r="I53" s="507">
        <v>0.14219999999999999</v>
      </c>
    </row>
    <row r="54" spans="1:11" x14ac:dyDescent="0.25">
      <c r="A54" s="477"/>
      <c r="B54" s="478"/>
      <c r="C54" s="514"/>
      <c r="D54" s="472"/>
      <c r="E54" s="513"/>
      <c r="F54" s="473"/>
      <c r="G54" s="505"/>
      <c r="H54" s="508"/>
      <c r="I54" s="506"/>
    </row>
    <row r="55" spans="1:11" x14ac:dyDescent="0.25">
      <c r="A55" s="499" t="s">
        <v>363</v>
      </c>
      <c r="B55" s="500" t="s">
        <v>427</v>
      </c>
      <c r="C55" s="501"/>
      <c r="D55" s="500"/>
      <c r="E55" s="501"/>
      <c r="F55" s="501"/>
      <c r="G55" s="502"/>
      <c r="H55" s="509"/>
      <c r="I55" s="507">
        <v>0</v>
      </c>
    </row>
    <row r="56" spans="1:11" ht="15.75" thickBot="1" x14ac:dyDescent="0.3">
      <c r="A56" s="477"/>
      <c r="B56" s="478" t="s">
        <v>428</v>
      </c>
      <c r="C56" s="514" t="s">
        <v>429</v>
      </c>
      <c r="D56" s="472"/>
      <c r="E56" s="480"/>
      <c r="F56" s="473"/>
      <c r="G56" s="505"/>
      <c r="H56" s="508">
        <v>0</v>
      </c>
      <c r="I56" s="506"/>
    </row>
    <row r="57" spans="1:11" ht="17.25" thickBot="1" x14ac:dyDescent="0.3">
      <c r="A57" s="515"/>
      <c r="B57" s="715" t="s">
        <v>430</v>
      </c>
      <c r="C57" s="715"/>
      <c r="D57" s="715"/>
      <c r="E57" s="715"/>
      <c r="F57" s="715"/>
      <c r="G57" s="715"/>
      <c r="H57" s="716"/>
      <c r="I57" s="516">
        <f>+SUM(I27:I56)</f>
        <v>1.0000333333333333</v>
      </c>
    </row>
    <row r="58" spans="1:11" x14ac:dyDescent="0.25">
      <c r="A58" s="717" t="s">
        <v>431</v>
      </c>
      <c r="B58" s="718"/>
      <c r="C58" s="718"/>
      <c r="D58" s="718"/>
      <c r="E58" s="718"/>
      <c r="F58" s="718"/>
      <c r="G58" s="718"/>
      <c r="H58" s="718"/>
      <c r="I58" s="719"/>
    </row>
    <row r="59" spans="1:11" x14ac:dyDescent="0.25">
      <c r="A59" s="477"/>
      <c r="B59" s="720" t="s">
        <v>432</v>
      </c>
      <c r="C59" s="720"/>
      <c r="D59" s="720"/>
      <c r="E59" s="720"/>
      <c r="F59" s="720"/>
      <c r="G59" s="720"/>
      <c r="H59" s="720"/>
      <c r="I59" s="517">
        <f>+H20+G38+G42+G45+G46+G47+G48+G49+G50+G28</f>
        <v>3262325.594</v>
      </c>
      <c r="J59" s="495">
        <f>+I59-Aislamiento!G64</f>
        <v>3262325.594</v>
      </c>
      <c r="K59" s="495"/>
    </row>
    <row r="60" spans="1:11" x14ac:dyDescent="0.25">
      <c r="I60" s="518">
        <v>0.1</v>
      </c>
    </row>
  </sheetData>
  <mergeCells count="11">
    <mergeCell ref="A23:I23"/>
    <mergeCell ref="A1:H1"/>
    <mergeCell ref="A2:A3"/>
    <mergeCell ref="B2:B3"/>
    <mergeCell ref="A21:H21"/>
    <mergeCell ref="A22:H22"/>
    <mergeCell ref="A24:I24"/>
    <mergeCell ref="H25:I25"/>
    <mergeCell ref="B57:H57"/>
    <mergeCell ref="A58:I58"/>
    <mergeCell ref="B59:H5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9FBB9-E028-4A40-92E6-CDEABA1D97BC}">
  <dimension ref="A1:K58"/>
  <sheetViews>
    <sheetView topLeftCell="A46" workbookViewId="0">
      <selection activeCell="J57" sqref="J57"/>
    </sheetView>
  </sheetViews>
  <sheetFormatPr baseColWidth="10" defaultRowHeight="15" x14ac:dyDescent="0.25"/>
  <cols>
    <col min="2" max="2" width="22.42578125" customWidth="1"/>
    <col min="7" max="7" width="24.42578125" bestFit="1" customWidth="1"/>
    <col min="10" max="11" width="15.140625" bestFit="1" customWidth="1"/>
  </cols>
  <sheetData>
    <row r="1" spans="1:9" ht="15.75" thickBot="1" x14ac:dyDescent="0.3">
      <c r="A1" s="724"/>
      <c r="B1" s="725"/>
      <c r="C1" s="725"/>
      <c r="D1" s="725"/>
      <c r="E1" s="725"/>
      <c r="F1" s="725"/>
      <c r="G1" s="725"/>
      <c r="H1" s="726"/>
      <c r="I1" s="459"/>
    </row>
    <row r="2" spans="1:9" ht="15.75" thickBot="1" x14ac:dyDescent="0.3">
      <c r="A2" s="727" t="s">
        <v>357</v>
      </c>
      <c r="B2" s="729" t="s">
        <v>358</v>
      </c>
      <c r="C2" s="460" t="s">
        <v>359</v>
      </c>
      <c r="D2" s="460" t="s">
        <v>360</v>
      </c>
      <c r="E2" s="460" t="s">
        <v>361</v>
      </c>
      <c r="F2" s="461" t="s">
        <v>362</v>
      </c>
      <c r="G2" s="462" t="s">
        <v>363</v>
      </c>
      <c r="H2" s="463" t="s">
        <v>364</v>
      </c>
      <c r="I2" s="459"/>
    </row>
    <row r="3" spans="1:9" ht="39" thickBot="1" x14ac:dyDescent="0.3">
      <c r="A3" s="728"/>
      <c r="B3" s="730"/>
      <c r="C3" s="460" t="s">
        <v>365</v>
      </c>
      <c r="D3" s="460" t="s">
        <v>199</v>
      </c>
      <c r="E3" s="460" t="s">
        <v>366</v>
      </c>
      <c r="F3" s="461" t="s">
        <v>367</v>
      </c>
      <c r="G3" s="462" t="s">
        <v>368</v>
      </c>
      <c r="H3" s="463" t="s">
        <v>369</v>
      </c>
      <c r="I3" s="459"/>
    </row>
    <row r="4" spans="1:9" x14ac:dyDescent="0.25">
      <c r="A4" s="464">
        <v>1</v>
      </c>
      <c r="B4" s="465" t="s">
        <v>370</v>
      </c>
      <c r="C4" s="465"/>
      <c r="D4" s="465"/>
      <c r="E4" s="466"/>
      <c r="F4" s="467"/>
      <c r="G4" s="468"/>
      <c r="H4" s="469"/>
      <c r="I4" s="470"/>
    </row>
    <row r="5" spans="1:9" x14ac:dyDescent="0.25">
      <c r="A5" s="471">
        <v>1.1000000000000001</v>
      </c>
      <c r="B5" s="472" t="s">
        <v>371</v>
      </c>
      <c r="C5" s="472"/>
      <c r="D5" s="472"/>
      <c r="E5" s="473"/>
      <c r="F5" s="474"/>
      <c r="G5" s="475"/>
      <c r="H5" s="476"/>
      <c r="I5" s="470"/>
    </row>
    <row r="6" spans="1:9" x14ac:dyDescent="0.25">
      <c r="A6" s="477" t="s">
        <v>372</v>
      </c>
      <c r="B6" s="478" t="s">
        <v>373</v>
      </c>
      <c r="C6" s="479">
        <v>3806720.8701693323</v>
      </c>
      <c r="D6" s="480">
        <v>1</v>
      </c>
      <c r="E6" s="481">
        <v>0.25</v>
      </c>
      <c r="F6" s="482">
        <f>ROUND(C6*D6*E6,0)</f>
        <v>951680</v>
      </c>
      <c r="G6" s="483">
        <v>4</v>
      </c>
      <c r="H6" s="484">
        <f>ROUND(F6*G6,0)</f>
        <v>3806720</v>
      </c>
      <c r="I6" s="459"/>
    </row>
    <row r="7" spans="1:9" x14ac:dyDescent="0.25">
      <c r="A7" s="477" t="s">
        <v>374</v>
      </c>
      <c r="B7" s="485" t="s">
        <v>375</v>
      </c>
      <c r="C7" s="479">
        <v>2500000</v>
      </c>
      <c r="D7" s="480">
        <v>1</v>
      </c>
      <c r="E7" s="481">
        <v>1</v>
      </c>
      <c r="F7" s="482">
        <f t="shared" ref="F7:F17" si="0">ROUND(C7*D7*E7,0)</f>
        <v>2500000</v>
      </c>
      <c r="G7" s="483">
        <v>4</v>
      </c>
      <c r="H7" s="484">
        <f t="shared" ref="H7:H17" si="1">ROUND(F7*G7,0)</f>
        <v>10000000</v>
      </c>
      <c r="I7" s="459"/>
    </row>
    <row r="8" spans="1:9" x14ac:dyDescent="0.25">
      <c r="A8" s="477" t="s">
        <v>380</v>
      </c>
      <c r="B8" s="485" t="s">
        <v>381</v>
      </c>
      <c r="C8" s="479">
        <v>1800000</v>
      </c>
      <c r="D8" s="480">
        <v>0</v>
      </c>
      <c r="E8" s="481">
        <v>1</v>
      </c>
      <c r="F8" s="482">
        <f t="shared" si="0"/>
        <v>0</v>
      </c>
      <c r="G8" s="483">
        <v>4</v>
      </c>
      <c r="H8" s="484">
        <f t="shared" si="1"/>
        <v>0</v>
      </c>
      <c r="I8" s="459"/>
    </row>
    <row r="9" spans="1:9" x14ac:dyDescent="0.25">
      <c r="A9" s="477" t="s">
        <v>382</v>
      </c>
      <c r="B9" s="485" t="s">
        <v>383</v>
      </c>
      <c r="C9" s="479">
        <v>3200000</v>
      </c>
      <c r="D9" s="480">
        <v>1</v>
      </c>
      <c r="E9" s="481">
        <v>0.2</v>
      </c>
      <c r="F9" s="482">
        <f t="shared" si="0"/>
        <v>640000</v>
      </c>
      <c r="G9" s="483">
        <v>4</v>
      </c>
      <c r="H9" s="484">
        <f t="shared" si="1"/>
        <v>2560000</v>
      </c>
      <c r="I9" s="459"/>
    </row>
    <row r="10" spans="1:9" x14ac:dyDescent="0.25">
      <c r="A10" s="477" t="s">
        <v>384</v>
      </c>
      <c r="B10" s="485" t="s">
        <v>385</v>
      </c>
      <c r="C10" s="479">
        <v>0</v>
      </c>
      <c r="D10" s="480">
        <v>1</v>
      </c>
      <c r="E10" s="481">
        <v>1</v>
      </c>
      <c r="F10" s="482">
        <f t="shared" si="0"/>
        <v>0</v>
      </c>
      <c r="G10" s="483">
        <v>4</v>
      </c>
      <c r="H10" s="484">
        <f t="shared" si="1"/>
        <v>0</v>
      </c>
      <c r="I10" s="459"/>
    </row>
    <row r="11" spans="1:9" x14ac:dyDescent="0.25">
      <c r="A11" s="477" t="s">
        <v>386</v>
      </c>
      <c r="B11" s="485" t="s">
        <v>387</v>
      </c>
      <c r="C11" s="479">
        <v>0</v>
      </c>
      <c r="D11" s="480">
        <v>2</v>
      </c>
      <c r="E11" s="481">
        <v>1</v>
      </c>
      <c r="F11" s="482">
        <f t="shared" si="0"/>
        <v>0</v>
      </c>
      <c r="G11" s="483">
        <v>4</v>
      </c>
      <c r="H11" s="484">
        <f t="shared" si="1"/>
        <v>0</v>
      </c>
      <c r="I11" s="459"/>
    </row>
    <row r="12" spans="1:9" x14ac:dyDescent="0.25">
      <c r="A12" s="477"/>
      <c r="B12" s="485"/>
      <c r="C12" s="479"/>
      <c r="D12" s="480"/>
      <c r="E12" s="481"/>
      <c r="F12" s="482"/>
      <c r="G12" s="483"/>
      <c r="H12" s="484"/>
      <c r="I12" s="459"/>
    </row>
    <row r="13" spans="1:9" x14ac:dyDescent="0.25">
      <c r="A13" s="471">
        <v>1.3</v>
      </c>
      <c r="B13" s="472" t="s">
        <v>388</v>
      </c>
      <c r="C13" s="486"/>
      <c r="D13" s="480"/>
      <c r="E13" s="481"/>
      <c r="F13" s="482"/>
      <c r="G13" s="483"/>
      <c r="H13" s="484"/>
      <c r="I13" s="470"/>
    </row>
    <row r="14" spans="1:9" x14ac:dyDescent="0.25">
      <c r="A14" s="477" t="s">
        <v>389</v>
      </c>
      <c r="B14" s="478" t="s">
        <v>390</v>
      </c>
      <c r="C14" s="479">
        <v>0</v>
      </c>
      <c r="D14" s="480">
        <v>1</v>
      </c>
      <c r="E14" s="481">
        <v>0.5</v>
      </c>
      <c r="F14" s="482">
        <f t="shared" si="0"/>
        <v>0</v>
      </c>
      <c r="G14" s="483">
        <v>4</v>
      </c>
      <c r="H14" s="484">
        <f t="shared" si="1"/>
        <v>0</v>
      </c>
      <c r="I14" s="459"/>
    </row>
    <row r="15" spans="1:9" x14ac:dyDescent="0.25">
      <c r="A15" s="477" t="s">
        <v>391</v>
      </c>
      <c r="B15" s="478" t="s">
        <v>392</v>
      </c>
      <c r="C15" s="479">
        <v>0</v>
      </c>
      <c r="D15" s="480">
        <v>1</v>
      </c>
      <c r="E15" s="481">
        <v>0.5</v>
      </c>
      <c r="F15" s="482">
        <f t="shared" si="0"/>
        <v>0</v>
      </c>
      <c r="G15" s="483">
        <v>4</v>
      </c>
      <c r="H15" s="484">
        <f t="shared" si="1"/>
        <v>0</v>
      </c>
      <c r="I15" s="459"/>
    </row>
    <row r="16" spans="1:9" x14ac:dyDescent="0.25">
      <c r="A16" s="487" t="s">
        <v>393</v>
      </c>
      <c r="B16" s="488" t="s">
        <v>394</v>
      </c>
      <c r="C16" s="489">
        <v>0</v>
      </c>
      <c r="D16" s="490">
        <v>1</v>
      </c>
      <c r="E16" s="491">
        <v>1</v>
      </c>
      <c r="F16" s="482">
        <f t="shared" si="0"/>
        <v>0</v>
      </c>
      <c r="G16" s="483">
        <v>4</v>
      </c>
      <c r="H16" s="484">
        <f t="shared" si="1"/>
        <v>0</v>
      </c>
      <c r="I16" s="459"/>
    </row>
    <row r="17" spans="1:10" ht="15.75" thickBot="1" x14ac:dyDescent="0.3">
      <c r="A17" s="477" t="s">
        <v>395</v>
      </c>
      <c r="B17" s="478" t="s">
        <v>396</v>
      </c>
      <c r="C17" s="479">
        <v>0</v>
      </c>
      <c r="D17" s="480">
        <v>1</v>
      </c>
      <c r="E17" s="481">
        <v>1</v>
      </c>
      <c r="F17" s="482">
        <f t="shared" si="0"/>
        <v>0</v>
      </c>
      <c r="G17" s="483">
        <v>4</v>
      </c>
      <c r="H17" s="484">
        <f t="shared" si="1"/>
        <v>0</v>
      </c>
      <c r="I17" s="459"/>
    </row>
    <row r="18" spans="1:10" ht="15.75" thickBot="1" x14ac:dyDescent="0.3">
      <c r="A18" s="492"/>
      <c r="B18" s="493"/>
      <c r="C18" s="493"/>
      <c r="D18" s="493"/>
      <c r="E18" s="493"/>
      <c r="F18" s="493"/>
      <c r="G18" s="493" t="s">
        <v>397</v>
      </c>
      <c r="H18" s="494">
        <f>+SUM(H6:H17)</f>
        <v>16366720</v>
      </c>
      <c r="I18" s="470"/>
      <c r="J18" s="495"/>
    </row>
    <row r="19" spans="1:10" ht="17.25" thickBot="1" x14ac:dyDescent="0.35">
      <c r="A19" s="731"/>
      <c r="B19" s="731"/>
      <c r="C19" s="731"/>
      <c r="D19" s="731"/>
      <c r="E19" s="731"/>
      <c r="F19" s="731"/>
      <c r="G19" s="731"/>
      <c r="H19" s="731"/>
      <c r="I19" s="496"/>
    </row>
    <row r="20" spans="1:10" ht="15.75" thickBot="1" x14ac:dyDescent="0.3">
      <c r="A20" s="732" t="s">
        <v>398</v>
      </c>
      <c r="B20" s="733"/>
      <c r="C20" s="733"/>
      <c r="D20" s="733"/>
      <c r="E20" s="733"/>
      <c r="F20" s="733"/>
      <c r="G20" s="733"/>
      <c r="H20" s="734"/>
      <c r="I20" s="470"/>
    </row>
    <row r="21" spans="1:10" x14ac:dyDescent="0.25">
      <c r="A21" s="721"/>
      <c r="B21" s="722"/>
      <c r="C21" s="722"/>
      <c r="D21" s="722"/>
      <c r="E21" s="722"/>
      <c r="F21" s="722"/>
      <c r="G21" s="722"/>
      <c r="H21" s="722"/>
      <c r="I21" s="723"/>
    </row>
    <row r="22" spans="1:10" x14ac:dyDescent="0.25">
      <c r="A22" s="710" t="s">
        <v>399</v>
      </c>
      <c r="B22" s="711"/>
      <c r="C22" s="711"/>
      <c r="D22" s="711"/>
      <c r="E22" s="711"/>
      <c r="F22" s="711"/>
      <c r="G22" s="711"/>
      <c r="H22" s="711"/>
      <c r="I22" s="712"/>
    </row>
    <row r="23" spans="1:10" x14ac:dyDescent="0.25">
      <c r="A23" s="497"/>
      <c r="B23" s="498"/>
      <c r="C23" s="498"/>
      <c r="D23" s="498"/>
      <c r="E23" s="498"/>
      <c r="F23" s="498"/>
      <c r="G23" s="498"/>
      <c r="H23" s="713" t="s">
        <v>334</v>
      </c>
      <c r="I23" s="714"/>
    </row>
    <row r="24" spans="1:10" x14ac:dyDescent="0.25">
      <c r="A24" s="499" t="s">
        <v>359</v>
      </c>
      <c r="B24" s="500" t="s">
        <v>400</v>
      </c>
      <c r="C24" s="501"/>
      <c r="D24" s="500"/>
      <c r="E24" s="501"/>
      <c r="F24" s="501"/>
      <c r="G24" s="502"/>
      <c r="H24" s="503"/>
      <c r="I24" s="504">
        <v>1</v>
      </c>
    </row>
    <row r="25" spans="1:10" x14ac:dyDescent="0.25">
      <c r="A25" s="477"/>
      <c r="B25" s="478"/>
      <c r="C25" s="480"/>
      <c r="D25" s="472"/>
      <c r="E25" s="480"/>
      <c r="F25" s="473"/>
      <c r="G25" s="505">
        <f>H18</f>
        <v>16366720</v>
      </c>
      <c r="H25" s="475"/>
      <c r="I25" s="506"/>
    </row>
    <row r="26" spans="1:10" x14ac:dyDescent="0.25">
      <c r="A26" s="499" t="s">
        <v>360</v>
      </c>
      <c r="B26" s="500" t="s">
        <v>93</v>
      </c>
      <c r="C26" s="501"/>
      <c r="D26" s="500"/>
      <c r="E26" s="501"/>
      <c r="F26" s="501"/>
      <c r="G26" s="502">
        <f>G25*I26</f>
        <v>10850044.245333333</v>
      </c>
      <c r="H26" s="503"/>
      <c r="I26" s="507">
        <f>+SUM(H27:H34)</f>
        <v>0.66293333333333326</v>
      </c>
    </row>
    <row r="27" spans="1:10" x14ac:dyDescent="0.25">
      <c r="A27" s="477"/>
      <c r="B27" s="478" t="s">
        <v>401</v>
      </c>
      <c r="C27" s="480"/>
      <c r="D27" s="472"/>
      <c r="E27" s="480"/>
      <c r="F27" s="473"/>
      <c r="G27" s="505"/>
      <c r="H27" s="508">
        <v>0.125</v>
      </c>
      <c r="I27" s="506"/>
      <c r="J27" s="495"/>
    </row>
    <row r="28" spans="1:10" x14ac:dyDescent="0.25">
      <c r="A28" s="477"/>
      <c r="B28" s="478" t="s">
        <v>402</v>
      </c>
      <c r="C28" s="480"/>
      <c r="D28" s="472"/>
      <c r="E28" s="480"/>
      <c r="F28" s="473"/>
      <c r="G28" s="505"/>
      <c r="H28" s="508">
        <v>0.16</v>
      </c>
      <c r="I28" s="506"/>
    </row>
    <row r="29" spans="1:10" x14ac:dyDescent="0.25">
      <c r="A29" s="477"/>
      <c r="B29" s="478" t="s">
        <v>403</v>
      </c>
      <c r="C29" s="480"/>
      <c r="D29" s="472"/>
      <c r="E29" s="480"/>
      <c r="F29" s="473"/>
      <c r="G29" s="505"/>
      <c r="H29" s="508">
        <v>6.9599999999999995E-2</v>
      </c>
      <c r="I29" s="506"/>
    </row>
    <row r="30" spans="1:10" x14ac:dyDescent="0.25">
      <c r="A30" s="477"/>
      <c r="B30" s="478" t="s">
        <v>404</v>
      </c>
      <c r="C30" s="480"/>
      <c r="D30" s="472"/>
      <c r="E30" s="480"/>
      <c r="F30" s="473"/>
      <c r="G30" s="505"/>
      <c r="H30" s="508">
        <f>1/12</f>
        <v>8.3333333333333329E-2</v>
      </c>
      <c r="I30" s="506"/>
    </row>
    <row r="31" spans="1:10" x14ac:dyDescent="0.25">
      <c r="A31" s="477"/>
      <c r="B31" s="478" t="s">
        <v>405</v>
      </c>
      <c r="C31" s="480"/>
      <c r="D31" s="472"/>
      <c r="E31" s="480"/>
      <c r="F31" s="473"/>
      <c r="G31" s="505"/>
      <c r="H31" s="508">
        <f>+H30*0.12</f>
        <v>9.9999999999999985E-3</v>
      </c>
      <c r="I31" s="506"/>
    </row>
    <row r="32" spans="1:10" x14ac:dyDescent="0.25">
      <c r="A32" s="477"/>
      <c r="B32" s="478" t="s">
        <v>406</v>
      </c>
      <c r="C32" s="480"/>
      <c r="D32" s="472"/>
      <c r="E32" s="480"/>
      <c r="F32" s="473"/>
      <c r="G32" s="505"/>
      <c r="H32" s="508">
        <f>1/12</f>
        <v>8.3333333333333329E-2</v>
      </c>
      <c r="I32" s="506"/>
    </row>
    <row r="33" spans="1:9" x14ac:dyDescent="0.25">
      <c r="A33" s="477"/>
      <c r="B33" s="478" t="s">
        <v>407</v>
      </c>
      <c r="C33" s="480"/>
      <c r="D33" s="472"/>
      <c r="E33" s="480"/>
      <c r="F33" s="473"/>
      <c r="G33" s="505"/>
      <c r="H33" s="508">
        <v>0.09</v>
      </c>
      <c r="I33" s="506"/>
    </row>
    <row r="34" spans="1:9" x14ac:dyDescent="0.25">
      <c r="A34" s="477"/>
      <c r="B34" s="478" t="s">
        <v>408</v>
      </c>
      <c r="C34" s="480"/>
      <c r="D34" s="472"/>
      <c r="E34" s="480"/>
      <c r="F34" s="473"/>
      <c r="G34" s="505"/>
      <c r="H34" s="508">
        <f>+H32/2</f>
        <v>4.1666666666666664E-2</v>
      </c>
      <c r="I34" s="506"/>
    </row>
    <row r="35" spans="1:9" x14ac:dyDescent="0.25">
      <c r="A35" s="499" t="s">
        <v>361</v>
      </c>
      <c r="B35" s="500" t="s">
        <v>409</v>
      </c>
      <c r="C35" s="501"/>
      <c r="D35" s="500"/>
      <c r="E35" s="501"/>
      <c r="F35" s="501"/>
      <c r="G35" s="502" t="s">
        <v>410</v>
      </c>
      <c r="H35" s="509"/>
      <c r="I35" s="507">
        <f>SUM(H36:H41)</f>
        <v>5.5099999999999996E-2</v>
      </c>
    </row>
    <row r="36" spans="1:9" x14ac:dyDescent="0.25">
      <c r="A36" s="477"/>
      <c r="B36" s="478" t="s">
        <v>411</v>
      </c>
      <c r="C36" s="510">
        <v>0</v>
      </c>
      <c r="D36" s="483">
        <v>4</v>
      </c>
      <c r="E36" s="480"/>
      <c r="F36" s="473"/>
      <c r="G36" s="511">
        <f t="shared" ref="G36:G41" si="2">+C36*D36</f>
        <v>0</v>
      </c>
      <c r="H36" s="508">
        <v>3.7199999999999997E-2</v>
      </c>
      <c r="I36" s="506"/>
    </row>
    <row r="37" spans="1:9" x14ac:dyDescent="0.25">
      <c r="A37" s="477"/>
      <c r="B37" s="478" t="s">
        <v>412</v>
      </c>
      <c r="C37" s="510">
        <v>0</v>
      </c>
      <c r="D37" s="483">
        <v>4</v>
      </c>
      <c r="E37" s="480"/>
      <c r="F37" s="473"/>
      <c r="G37" s="511">
        <f t="shared" si="2"/>
        <v>0</v>
      </c>
      <c r="H37" s="508">
        <f>+G37/$I$24</f>
        <v>0</v>
      </c>
      <c r="I37" s="506"/>
    </row>
    <row r="38" spans="1:9" x14ac:dyDescent="0.25">
      <c r="A38" s="477"/>
      <c r="B38" s="478" t="s">
        <v>413</v>
      </c>
      <c r="C38" s="510">
        <v>0</v>
      </c>
      <c r="D38" s="483">
        <v>4</v>
      </c>
      <c r="E38" s="480"/>
      <c r="F38" s="473"/>
      <c r="G38" s="511">
        <f t="shared" si="2"/>
        <v>0</v>
      </c>
      <c r="H38" s="508">
        <f>+G38/$I$24</f>
        <v>0</v>
      </c>
      <c r="I38" s="506"/>
    </row>
    <row r="39" spans="1:9" x14ac:dyDescent="0.25">
      <c r="A39" s="477"/>
      <c r="B39" s="478" t="s">
        <v>414</v>
      </c>
      <c r="C39" s="510">
        <v>0</v>
      </c>
      <c r="D39" s="483">
        <v>4</v>
      </c>
      <c r="E39" s="480"/>
      <c r="F39" s="473"/>
      <c r="G39" s="511">
        <f t="shared" si="2"/>
        <v>0</v>
      </c>
      <c r="H39" s="508">
        <f>+G39/$I$24</f>
        <v>0</v>
      </c>
      <c r="I39" s="506"/>
    </row>
    <row r="40" spans="1:9" x14ac:dyDescent="0.25">
      <c r="A40" s="477"/>
      <c r="B40" s="478" t="s">
        <v>415</v>
      </c>
      <c r="C40" s="510">
        <v>0</v>
      </c>
      <c r="D40" s="483">
        <v>4</v>
      </c>
      <c r="E40" s="480"/>
      <c r="F40" s="473"/>
      <c r="G40" s="511">
        <f t="shared" si="2"/>
        <v>0</v>
      </c>
      <c r="H40" s="508">
        <v>1.7899999999999999E-2</v>
      </c>
      <c r="I40" s="506"/>
    </row>
    <row r="41" spans="1:9" x14ac:dyDescent="0.25">
      <c r="A41" s="477"/>
      <c r="B41" s="478" t="s">
        <v>416</v>
      </c>
      <c r="C41" s="510">
        <v>0</v>
      </c>
      <c r="D41" s="483">
        <v>4</v>
      </c>
      <c r="E41" s="480"/>
      <c r="F41" s="473"/>
      <c r="G41" s="511">
        <f t="shared" si="2"/>
        <v>0</v>
      </c>
      <c r="H41" s="508">
        <f>+G41/$I$24</f>
        <v>0</v>
      </c>
      <c r="I41" s="506"/>
    </row>
    <row r="42" spans="1:9" x14ac:dyDescent="0.25">
      <c r="A42" s="499" t="s">
        <v>362</v>
      </c>
      <c r="B42" s="500" t="s">
        <v>417</v>
      </c>
      <c r="C42" s="501"/>
      <c r="D42" s="500">
        <v>0</v>
      </c>
      <c r="E42" s="501"/>
      <c r="F42" s="501"/>
      <c r="G42" s="512" t="s">
        <v>410</v>
      </c>
      <c r="H42" s="509"/>
      <c r="I42" s="507">
        <f>+SUM(H43:H49)</f>
        <v>0.13980000000000001</v>
      </c>
    </row>
    <row r="43" spans="1:9" x14ac:dyDescent="0.25">
      <c r="A43" s="477"/>
      <c r="B43" s="478" t="s">
        <v>418</v>
      </c>
      <c r="C43" s="510">
        <v>0</v>
      </c>
      <c r="D43" s="483">
        <v>4</v>
      </c>
      <c r="E43" s="513">
        <v>0.5</v>
      </c>
      <c r="F43" s="473"/>
      <c r="G43" s="511">
        <f>+C43*D43*E43</f>
        <v>0</v>
      </c>
      <c r="H43" s="508">
        <v>8.4000000000000005E-2</v>
      </c>
      <c r="I43" s="506"/>
    </row>
    <row r="44" spans="1:9" x14ac:dyDescent="0.25">
      <c r="A44" s="477"/>
      <c r="B44" s="478" t="s">
        <v>419</v>
      </c>
      <c r="C44" s="510">
        <v>0</v>
      </c>
      <c r="D44" s="483">
        <v>4</v>
      </c>
      <c r="E44" s="480"/>
      <c r="F44" s="473"/>
      <c r="G44" s="511">
        <f>+C44*D44</f>
        <v>0</v>
      </c>
      <c r="H44" s="508">
        <v>3.7000000000000002E-3</v>
      </c>
      <c r="I44" s="506"/>
    </row>
    <row r="45" spans="1:9" x14ac:dyDescent="0.25">
      <c r="A45" s="477"/>
      <c r="B45" s="478" t="s">
        <v>420</v>
      </c>
      <c r="C45" s="510">
        <v>0</v>
      </c>
      <c r="D45" s="483">
        <v>4</v>
      </c>
      <c r="E45" s="480"/>
      <c r="F45" s="473"/>
      <c r="G45" s="511">
        <f>(+C45*D45)+208.98</f>
        <v>208.98</v>
      </c>
      <c r="H45" s="508">
        <v>3.7000000000000002E-3</v>
      </c>
      <c r="I45" s="506"/>
    </row>
    <row r="46" spans="1:9" x14ac:dyDescent="0.25">
      <c r="A46" s="477"/>
      <c r="B46" s="478" t="s">
        <v>421</v>
      </c>
      <c r="C46" s="510">
        <v>0</v>
      </c>
      <c r="D46" s="483">
        <v>4</v>
      </c>
      <c r="E46" s="480"/>
      <c r="F46" s="473"/>
      <c r="G46" s="511">
        <f>+C46*D46</f>
        <v>0</v>
      </c>
      <c r="H46" s="508">
        <v>1.49E-2</v>
      </c>
      <c r="I46" s="506"/>
    </row>
    <row r="47" spans="1:9" x14ac:dyDescent="0.25">
      <c r="A47" s="477"/>
      <c r="B47" s="478" t="s">
        <v>422</v>
      </c>
      <c r="C47" s="510">
        <v>0</v>
      </c>
      <c r="D47" s="483">
        <v>4</v>
      </c>
      <c r="E47" s="480"/>
      <c r="F47" s="473"/>
      <c r="G47" s="511">
        <f>+C47*D47</f>
        <v>0</v>
      </c>
      <c r="H47" s="508">
        <v>2.5999999999999999E-2</v>
      </c>
      <c r="I47" s="506"/>
    </row>
    <row r="48" spans="1:9" x14ac:dyDescent="0.25">
      <c r="A48" s="477"/>
      <c r="B48" s="478" t="s">
        <v>423</v>
      </c>
      <c r="C48" s="510">
        <v>0</v>
      </c>
      <c r="D48" s="472">
        <v>2</v>
      </c>
      <c r="E48" s="480"/>
      <c r="F48" s="473"/>
      <c r="G48" s="505">
        <f>+C48*D48</f>
        <v>0</v>
      </c>
      <c r="H48" s="508">
        <v>5.0000000000000001E-3</v>
      </c>
      <c r="I48" s="506"/>
    </row>
    <row r="49" spans="1:11" x14ac:dyDescent="0.25">
      <c r="A49" s="477"/>
      <c r="B49" s="478" t="s">
        <v>424</v>
      </c>
      <c r="C49" s="510">
        <v>0</v>
      </c>
      <c r="D49" s="472"/>
      <c r="E49" s="480"/>
      <c r="F49" s="473"/>
      <c r="G49" s="505"/>
      <c r="H49" s="508">
        <v>2.5000000000000001E-3</v>
      </c>
      <c r="I49" s="506"/>
    </row>
    <row r="50" spans="1:11" x14ac:dyDescent="0.25">
      <c r="A50" s="477"/>
      <c r="B50" s="478" t="s">
        <v>425</v>
      </c>
      <c r="C50" s="514"/>
      <c r="D50" s="472"/>
      <c r="E50" s="480"/>
      <c r="F50" s="473"/>
      <c r="G50" s="505"/>
      <c r="H50" s="508">
        <v>0</v>
      </c>
      <c r="I50" s="506"/>
    </row>
    <row r="51" spans="1:11" x14ac:dyDescent="0.25">
      <c r="A51" s="499" t="s">
        <v>362</v>
      </c>
      <c r="B51" s="500" t="s">
        <v>426</v>
      </c>
      <c r="C51" s="501"/>
      <c r="D51" s="500"/>
      <c r="E51" s="501"/>
      <c r="F51" s="501"/>
      <c r="G51" s="502"/>
      <c r="H51" s="509"/>
      <c r="I51" s="507">
        <v>0.14219999999999999</v>
      </c>
    </row>
    <row r="52" spans="1:11" x14ac:dyDescent="0.25">
      <c r="A52" s="477"/>
      <c r="B52" s="478"/>
      <c r="C52" s="514"/>
      <c r="D52" s="472"/>
      <c r="E52" s="513"/>
      <c r="F52" s="473"/>
      <c r="G52" s="505"/>
      <c r="H52" s="508"/>
      <c r="I52" s="506"/>
    </row>
    <row r="53" spans="1:11" x14ac:dyDescent="0.25">
      <c r="A53" s="499" t="s">
        <v>363</v>
      </c>
      <c r="B53" s="500" t="s">
        <v>427</v>
      </c>
      <c r="C53" s="501"/>
      <c r="D53" s="500"/>
      <c r="E53" s="501"/>
      <c r="F53" s="501"/>
      <c r="G53" s="502"/>
      <c r="H53" s="509"/>
      <c r="I53" s="507">
        <v>0</v>
      </c>
    </row>
    <row r="54" spans="1:11" ht="15.75" thickBot="1" x14ac:dyDescent="0.3">
      <c r="A54" s="477"/>
      <c r="B54" s="478" t="s">
        <v>428</v>
      </c>
      <c r="C54" s="514" t="s">
        <v>429</v>
      </c>
      <c r="D54" s="472"/>
      <c r="E54" s="480"/>
      <c r="F54" s="473"/>
      <c r="G54" s="505"/>
      <c r="H54" s="508">
        <v>0</v>
      </c>
      <c r="I54" s="506"/>
    </row>
    <row r="55" spans="1:11" ht="17.25" thickBot="1" x14ac:dyDescent="0.3">
      <c r="A55" s="515"/>
      <c r="B55" s="715" t="s">
        <v>430</v>
      </c>
      <c r="C55" s="715"/>
      <c r="D55" s="715"/>
      <c r="E55" s="715"/>
      <c r="F55" s="715"/>
      <c r="G55" s="715"/>
      <c r="H55" s="716"/>
      <c r="I55" s="516">
        <f>+SUM(I25:I54)</f>
        <v>1.0000333333333333</v>
      </c>
    </row>
    <row r="56" spans="1:11" x14ac:dyDescent="0.25">
      <c r="A56" s="717" t="s">
        <v>431</v>
      </c>
      <c r="B56" s="718"/>
      <c r="C56" s="718"/>
      <c r="D56" s="718"/>
      <c r="E56" s="718"/>
      <c r="F56" s="718"/>
      <c r="G56" s="718"/>
      <c r="H56" s="718"/>
      <c r="I56" s="719"/>
    </row>
    <row r="57" spans="1:11" x14ac:dyDescent="0.25">
      <c r="A57" s="477"/>
      <c r="B57" s="720" t="s">
        <v>432</v>
      </c>
      <c r="C57" s="720"/>
      <c r="D57" s="720"/>
      <c r="E57" s="720"/>
      <c r="F57" s="720"/>
      <c r="G57" s="720"/>
      <c r="H57" s="720"/>
      <c r="I57" s="517">
        <f>+H18+G36+G40+G43+G44+G45+G46+G47+G48+G26</f>
        <v>27216973.225333333</v>
      </c>
      <c r="J57" s="495"/>
      <c r="K57" s="495"/>
    </row>
    <row r="58" spans="1:11" x14ac:dyDescent="0.25">
      <c r="I58" s="518">
        <v>0.1</v>
      </c>
    </row>
  </sheetData>
  <mergeCells count="11">
    <mergeCell ref="A21:I21"/>
    <mergeCell ref="A1:H1"/>
    <mergeCell ref="A2:A3"/>
    <mergeCell ref="B2:B3"/>
    <mergeCell ref="A19:H19"/>
    <mergeCell ref="A20:H20"/>
    <mergeCell ref="A22:I22"/>
    <mergeCell ref="H23:I23"/>
    <mergeCell ref="B55:H55"/>
    <mergeCell ref="A56:I56"/>
    <mergeCell ref="B57:H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Estudio de Mercado</vt:lpstr>
      <vt:lpstr>Establecimiento</vt:lpstr>
      <vt:lpstr>Aislamiento</vt:lpstr>
      <vt:lpstr>Mantenimiento</vt:lpstr>
      <vt:lpstr>Enriquecimiento</vt:lpstr>
      <vt:lpstr>Mantenimientos</vt:lpstr>
      <vt:lpstr>Administracion  Aislamiento</vt:lpstr>
      <vt:lpstr>Administracion  Establecimiento</vt:lpstr>
      <vt:lpstr>Mantenimiento!Área_de_impresión</vt:lpstr>
      <vt:lpstr>Mantenimientos!Área_de_impresión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SDA</dc:creator>
  <cp:lastModifiedBy>Jorge Sechague</cp:lastModifiedBy>
  <cp:lastPrinted>2021-07-21T23:00:00Z</cp:lastPrinted>
  <dcterms:created xsi:type="dcterms:W3CDTF">2020-01-08T14:32:02Z</dcterms:created>
  <dcterms:modified xsi:type="dcterms:W3CDTF">2022-07-01T16:43:28Z</dcterms:modified>
</cp:coreProperties>
</file>