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2/MC-16 DE 2022 - III TRIM - SERVICIO TRANSPORTE DE CARGA/"/>
    </mc:Choice>
  </mc:AlternateContent>
  <xr:revisionPtr revIDLastSave="4" documentId="8_{F248A4E0-37B3-4EB4-A349-36E77BE3A2A9}" xr6:coauthVersionLast="47" xr6:coauthVersionMax="47" xr10:uidLastSave="{D63FD77F-FEBA-4FCC-8C84-FFFBB41F3D6D}"/>
  <bookViews>
    <workbookView xWindow="-120" yWindow="-120" windowWidth="29040" windowHeight="15840" tabRatio="475" xr2:uid="{00000000-000D-0000-FFFF-FFFF00000000}"/>
  </bookViews>
  <sheets>
    <sheet name="ESTUDIO DE MERCAD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12" i="3" l="1"/>
  <c r="Z11" i="3"/>
  <c r="Z10" i="3"/>
  <c r="Z9" i="3"/>
  <c r="Z8" i="3"/>
  <c r="Y12" i="3"/>
  <c r="Y11" i="3"/>
  <c r="Y10" i="3"/>
  <c r="Y9" i="3"/>
  <c r="Y8" i="3"/>
  <c r="X12" i="3"/>
  <c r="X11" i="3"/>
  <c r="X10" i="3"/>
  <c r="X9" i="3"/>
  <c r="X8" i="3"/>
  <c r="W12" i="3"/>
  <c r="W11" i="3"/>
  <c r="W10" i="3"/>
  <c r="W9" i="3"/>
  <c r="W8" i="3"/>
  <c r="V12" i="3"/>
  <c r="V11" i="3"/>
  <c r="V10" i="3"/>
  <c r="V9" i="3"/>
  <c r="V8" i="3"/>
  <c r="U12" i="3"/>
  <c r="U11" i="3"/>
  <c r="U10" i="3"/>
  <c r="U9" i="3"/>
  <c r="U8" i="3"/>
  <c r="T12" i="3"/>
  <c r="T11" i="3"/>
  <c r="T10" i="3"/>
  <c r="T9" i="3"/>
  <c r="S12" i="3"/>
  <c r="S11" i="3"/>
  <c r="S10" i="3"/>
  <c r="S9" i="3"/>
  <c r="T8" i="3"/>
  <c r="S13" i="3" s="1"/>
  <c r="S8" i="3"/>
  <c r="J12" i="3"/>
  <c r="I12" i="3"/>
  <c r="H12" i="3"/>
  <c r="G12" i="3"/>
  <c r="F12" i="3"/>
  <c r="E12" i="3"/>
  <c r="D12" i="3"/>
  <c r="C12" i="3"/>
  <c r="C11" i="3"/>
  <c r="D11" i="3"/>
  <c r="E11" i="3"/>
  <c r="F11" i="3"/>
  <c r="G11" i="3"/>
  <c r="H11" i="3"/>
  <c r="I11" i="3"/>
  <c r="J11" i="3"/>
  <c r="J10" i="3"/>
  <c r="I10" i="3"/>
  <c r="H10" i="3"/>
  <c r="G10" i="3"/>
  <c r="F10" i="3"/>
  <c r="E10" i="3"/>
  <c r="D10" i="3"/>
  <c r="C10" i="3"/>
  <c r="C8" i="3"/>
  <c r="J8" i="3"/>
  <c r="I8" i="3"/>
  <c r="H8" i="3"/>
  <c r="G8" i="3"/>
  <c r="F8" i="3"/>
  <c r="E8" i="3"/>
  <c r="D8" i="3"/>
  <c r="C9" i="3"/>
  <c r="D9" i="3"/>
  <c r="E9" i="3"/>
  <c r="I9" i="3"/>
  <c r="J9" i="3"/>
  <c r="H9" i="3"/>
  <c r="G9" i="3"/>
  <c r="F9" i="3"/>
  <c r="K13" i="3"/>
  <c r="C13" i="3" l="1"/>
</calcChain>
</file>

<file path=xl/sharedStrings.xml><?xml version="1.0" encoding="utf-8"?>
<sst xmlns="http://schemas.openxmlformats.org/spreadsheetml/2006/main" count="36" uniqueCount="20">
  <si>
    <t xml:space="preserve">VALOR PROMEDIO </t>
  </si>
  <si>
    <t>DETALLE</t>
  </si>
  <si>
    <t>Vr. envió 1 Kg hasta 5 Kg</t>
  </si>
  <si>
    <t>Vr. envió  5.01Kg a 10 Kg</t>
  </si>
  <si>
    <t>Vr. envió 10.1Kg a 15 Kg</t>
  </si>
  <si>
    <t>Vr. envió 15.1Kg a 20 Kg</t>
  </si>
  <si>
    <t>Vr. envió 20.1 Kg hasta 25 Kg</t>
  </si>
  <si>
    <t>Vr. envió  25.01Kg a 30 Kg</t>
  </si>
  <si>
    <t>Vr. envió 30.1Kg a 35 Kg</t>
  </si>
  <si>
    <t>Vr. envió 35.1Kg a 40 Kg</t>
  </si>
  <si>
    <t xml:space="preserve">1. Envío de mercancía Desde Neiva a los Municipios del Departamento del Huila y viceversa </t>
  </si>
  <si>
    <t>2. Envío de mercancía desde Neiva a Florencia y viceversa.</t>
  </si>
  <si>
    <t>3. Envío de mercancía desde Neiva a los  Municipios del Departamento del Caquetá distinto a Florencia  y viceversa</t>
  </si>
  <si>
    <t>4. Envío de mercancía Desde Florencia  a los Municipios del Departamento del Caquetá y viceversa</t>
  </si>
  <si>
    <t>5. Envío de mercancía a nivel nacional diferentes a los Departamentos del Huila y Caquetá</t>
  </si>
  <si>
    <t>COTIZACION SURENVIOS S.A.S</t>
  </si>
  <si>
    <t>Contratar en nombre de la Nación - Consejo Superior de la Judicatura – Dirección Ejecutiva de Administración Judicial Seccional Neiva, a precios unitarios el servicio de transporte de elementos de oficina, muebles, papelería, equipos de cómputo, elementos de bioseguridad (Emergencia sanitaria COVID 19)  y demás que se requieran remitir con destino a los despachos judiciales y demás corporaciones judiciales a nivel local y/o nacional, en especial a los municipios de los distritos judiciales de Neiva y Florencia.</t>
  </si>
  <si>
    <r>
      <t>ü</t>
    </r>
    <r>
      <rPr>
        <b/>
        <sz val="12"/>
        <color theme="1"/>
        <rFont val="Times New Roman"/>
        <family val="1"/>
      </rPr>
      <t xml:space="preserve">  </t>
    </r>
    <r>
      <rPr>
        <b/>
        <sz val="12"/>
        <color theme="1"/>
        <rFont val="Arial"/>
        <family val="2"/>
      </rPr>
      <t>El porcentaje (%) para la tasa de manejo que le se le aplicara al valor declarado. Es del  1%.</t>
    </r>
  </si>
  <si>
    <t>PROPUESTA ECONOMICA 12-SER027-2021 SURENVIOS S.A.S</t>
  </si>
  <si>
    <t>ANEXO 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</si>
</sst>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\ #,##0"/>
    <numFmt numFmtId="166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1"/>
      <name val="Arial Narrow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Wingdings"/>
      <charset val="2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165" fontId="0" fillId="0" borderId="0" xfId="0" applyNumberFormat="1" applyAlignment="1">
      <alignment horizontal="right" vertical="center"/>
    </xf>
    <xf numFmtId="165" fontId="0" fillId="0" borderId="9" xfId="0" applyNumberFormat="1" applyFill="1" applyBorder="1" applyAlignment="1">
      <alignment horizontal="right" vertical="center"/>
    </xf>
    <xf numFmtId="165" fontId="0" fillId="0" borderId="10" xfId="0" applyNumberFormat="1" applyFill="1" applyBorder="1" applyAlignment="1">
      <alignment horizontal="right" vertical="center"/>
    </xf>
    <xf numFmtId="165" fontId="0" fillId="0" borderId="11" xfId="0" applyNumberForma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65" fontId="0" fillId="2" borderId="9" xfId="0" applyNumberFormat="1" applyFill="1" applyBorder="1" applyAlignment="1">
      <alignment horizontal="right" vertical="center"/>
    </xf>
    <xf numFmtId="0" fontId="2" fillId="3" borderId="4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166" fontId="0" fillId="0" borderId="0" xfId="1" applyNumberFormat="1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65" fontId="5" fillId="3" borderId="13" xfId="0" applyNumberFormat="1" applyFont="1" applyFill="1" applyBorder="1" applyAlignment="1">
      <alignment horizontal="center" vertical="center"/>
    </xf>
    <xf numFmtId="165" fontId="5" fillId="3" borderId="14" xfId="0" applyNumberFormat="1" applyFont="1" applyFill="1" applyBorder="1" applyAlignment="1">
      <alignment horizontal="center" vertical="center"/>
    </xf>
    <xf numFmtId="165" fontId="5" fillId="3" borderId="15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4" borderId="14" xfId="0" applyNumberFormat="1" applyFont="1" applyFill="1" applyBorder="1" applyAlignment="1">
      <alignment horizontal="center" vertical="center"/>
    </xf>
    <xf numFmtId="165" fontId="5" fillId="4" borderId="15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AA16"/>
  <sheetViews>
    <sheetView tabSelected="1" topLeftCell="A5" zoomScaleNormal="100" workbookViewId="0">
      <selection activeCell="B4" sqref="B4:Z15"/>
    </sheetView>
  </sheetViews>
  <sheetFormatPr baseColWidth="10" defaultRowHeight="15" x14ac:dyDescent="0.25"/>
  <cols>
    <col min="1" max="1" width="2.42578125" customWidth="1"/>
    <col min="2" max="2" width="20.7109375" customWidth="1"/>
    <col min="3" max="3" width="9.5703125" style="9" bestFit="1" customWidth="1"/>
    <col min="4" max="7" width="8" style="9" bestFit="1" customWidth="1"/>
    <col min="8" max="8" width="9" style="9" bestFit="1" customWidth="1"/>
    <col min="9" max="10" width="8" style="9" bestFit="1" customWidth="1"/>
    <col min="11" max="11" width="9.5703125" style="9" bestFit="1" customWidth="1"/>
    <col min="12" max="12" width="8" style="9" bestFit="1" customWidth="1"/>
    <col min="13" max="13" width="9" style="9" bestFit="1" customWidth="1"/>
    <col min="14" max="15" width="8" style="9" bestFit="1" customWidth="1"/>
    <col min="16" max="16" width="9" style="9" bestFit="1" customWidth="1"/>
    <col min="17" max="18" width="8" style="9" bestFit="1" customWidth="1"/>
    <col min="19" max="26" width="10" style="9" customWidth="1"/>
  </cols>
  <sheetData>
    <row r="3" spans="2:27" thickBot="1" x14ac:dyDescent="0.3"/>
    <row r="4" spans="2:27" ht="39.75" customHeight="1" thickBot="1" x14ac:dyDescent="0.3">
      <c r="B4" s="19" t="s">
        <v>19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1"/>
    </row>
    <row r="5" spans="2:27" ht="63.75" customHeight="1" thickBot="1" x14ac:dyDescent="0.3">
      <c r="B5" s="22" t="s">
        <v>16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4"/>
    </row>
    <row r="6" spans="2:27" s="1" customFormat="1" ht="37.5" customHeight="1" x14ac:dyDescent="0.25">
      <c r="B6" s="13"/>
      <c r="C6" s="25" t="s">
        <v>18</v>
      </c>
      <c r="D6" s="26"/>
      <c r="E6" s="26"/>
      <c r="F6" s="26"/>
      <c r="G6" s="26"/>
      <c r="H6" s="26"/>
      <c r="I6" s="26"/>
      <c r="J6" s="27"/>
      <c r="K6" s="25" t="s">
        <v>15</v>
      </c>
      <c r="L6" s="26"/>
      <c r="M6" s="26"/>
      <c r="N6" s="26"/>
      <c r="O6" s="26"/>
      <c r="P6" s="26"/>
      <c r="Q6" s="26"/>
      <c r="R6" s="27"/>
      <c r="S6" s="28" t="s">
        <v>0</v>
      </c>
      <c r="T6" s="29"/>
      <c r="U6" s="29"/>
      <c r="V6" s="29"/>
      <c r="W6" s="29"/>
      <c r="X6" s="29"/>
      <c r="Y6" s="29"/>
      <c r="Z6" s="30"/>
    </row>
    <row r="7" spans="2:27" ht="48" x14ac:dyDescent="0.25">
      <c r="B7" s="2" t="s">
        <v>1</v>
      </c>
      <c r="C7" s="10" t="s">
        <v>2</v>
      </c>
      <c r="D7" s="8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  <c r="J7" s="11" t="s">
        <v>9</v>
      </c>
      <c r="K7" s="10" t="s">
        <v>2</v>
      </c>
      <c r="L7" s="8" t="s">
        <v>3</v>
      </c>
      <c r="M7" s="8" t="s">
        <v>4</v>
      </c>
      <c r="N7" s="8" t="s">
        <v>5</v>
      </c>
      <c r="O7" s="8" t="s">
        <v>6</v>
      </c>
      <c r="P7" s="8" t="s">
        <v>7</v>
      </c>
      <c r="Q7" s="8" t="s">
        <v>8</v>
      </c>
      <c r="R7" s="11" t="s">
        <v>9</v>
      </c>
      <c r="S7" s="10" t="s">
        <v>2</v>
      </c>
      <c r="T7" s="8" t="s">
        <v>3</v>
      </c>
      <c r="U7" s="8" t="s">
        <v>4</v>
      </c>
      <c r="V7" s="8" t="s">
        <v>5</v>
      </c>
      <c r="W7" s="8" t="s">
        <v>6</v>
      </c>
      <c r="X7" s="8" t="s">
        <v>7</v>
      </c>
      <c r="Y7" s="8" t="s">
        <v>8</v>
      </c>
      <c r="Z7" s="11" t="s">
        <v>9</v>
      </c>
    </row>
    <row r="8" spans="2:27" ht="60" x14ac:dyDescent="0.25">
      <c r="B8" s="3" t="s">
        <v>10</v>
      </c>
      <c r="C8" s="5">
        <f>3250*1.0562</f>
        <v>3432.65</v>
      </c>
      <c r="D8" s="5">
        <f>6500*1.0562</f>
        <v>6865.3</v>
      </c>
      <c r="E8" s="5">
        <f>9750*1.0562</f>
        <v>10297.950000000001</v>
      </c>
      <c r="F8" s="5">
        <f>13000*1.0562</f>
        <v>13730.6</v>
      </c>
      <c r="G8" s="12">
        <f>16250*1.0562</f>
        <v>17163.25</v>
      </c>
      <c r="H8" s="12">
        <f>19500*1.0562</f>
        <v>20595.900000000001</v>
      </c>
      <c r="I8" s="12">
        <f>22750*1.0562</f>
        <v>24028.55</v>
      </c>
      <c r="J8" s="12">
        <f>24000*1.0562</f>
        <v>25348.799999999999</v>
      </c>
      <c r="K8" s="5">
        <v>5000</v>
      </c>
      <c r="L8" s="6">
        <v>8500</v>
      </c>
      <c r="M8" s="6">
        <v>10000</v>
      </c>
      <c r="N8" s="6">
        <v>13000</v>
      </c>
      <c r="O8" s="6">
        <v>17000</v>
      </c>
      <c r="P8" s="6">
        <v>20000</v>
      </c>
      <c r="Q8" s="6">
        <v>24000</v>
      </c>
      <c r="R8" s="7">
        <v>28000</v>
      </c>
      <c r="S8" s="5">
        <f t="shared" ref="S8:Z12" si="0">(C8+K8)/2</f>
        <v>4216.3249999999998</v>
      </c>
      <c r="T8" s="5">
        <f t="shared" si="0"/>
        <v>7682.65</v>
      </c>
      <c r="U8" s="5">
        <f t="shared" si="0"/>
        <v>10148.975</v>
      </c>
      <c r="V8" s="5">
        <f t="shared" si="0"/>
        <v>13365.3</v>
      </c>
      <c r="W8" s="5">
        <f t="shared" si="0"/>
        <v>17081.625</v>
      </c>
      <c r="X8" s="5">
        <f t="shared" si="0"/>
        <v>20297.95</v>
      </c>
      <c r="Y8" s="5">
        <f t="shared" si="0"/>
        <v>24014.275000000001</v>
      </c>
      <c r="Z8" s="5">
        <f t="shared" si="0"/>
        <v>26674.400000000001</v>
      </c>
      <c r="AA8" s="4"/>
    </row>
    <row r="9" spans="2:27" ht="36" x14ac:dyDescent="0.25">
      <c r="B9" s="3" t="s">
        <v>11</v>
      </c>
      <c r="C9" s="5">
        <f>5150*1.0562</f>
        <v>5439.43</v>
      </c>
      <c r="D9" s="5">
        <f>11000*1.0562</f>
        <v>11618.2</v>
      </c>
      <c r="E9" s="5">
        <f>15000*1.0562</f>
        <v>15843</v>
      </c>
      <c r="F9" s="5">
        <f>18000*1.0562</f>
        <v>19011.600000000002</v>
      </c>
      <c r="G9" s="12">
        <f>22000*1.0562</f>
        <v>23236.400000000001</v>
      </c>
      <c r="H9" s="12">
        <f>25000*1.0562</f>
        <v>26405</v>
      </c>
      <c r="I9" s="12">
        <f>28000*1.0562</f>
        <v>29573.600000000002</v>
      </c>
      <c r="J9" s="12">
        <f>35000*1.0562</f>
        <v>36967</v>
      </c>
      <c r="K9" s="5">
        <v>7500</v>
      </c>
      <c r="L9" s="6">
        <v>12000</v>
      </c>
      <c r="M9" s="6">
        <v>17000</v>
      </c>
      <c r="N9" s="6">
        <v>20000</v>
      </c>
      <c r="O9" s="6">
        <v>25000</v>
      </c>
      <c r="P9" s="6">
        <v>28000</v>
      </c>
      <c r="Q9" s="6">
        <v>30000</v>
      </c>
      <c r="R9" s="7">
        <v>35000</v>
      </c>
      <c r="S9" s="5">
        <f t="shared" si="0"/>
        <v>6469.7150000000001</v>
      </c>
      <c r="T9" s="5">
        <f t="shared" si="0"/>
        <v>11809.1</v>
      </c>
      <c r="U9" s="5">
        <f t="shared" si="0"/>
        <v>16421.5</v>
      </c>
      <c r="V9" s="5">
        <f t="shared" si="0"/>
        <v>19505.800000000003</v>
      </c>
      <c r="W9" s="5">
        <f t="shared" si="0"/>
        <v>24118.2</v>
      </c>
      <c r="X9" s="5">
        <f t="shared" si="0"/>
        <v>27202.5</v>
      </c>
      <c r="Y9" s="5">
        <f t="shared" si="0"/>
        <v>29786.800000000003</v>
      </c>
      <c r="Z9" s="5">
        <f t="shared" si="0"/>
        <v>35983.5</v>
      </c>
      <c r="AA9" s="4"/>
    </row>
    <row r="10" spans="2:27" ht="72" x14ac:dyDescent="0.25">
      <c r="B10" s="3" t="s">
        <v>12</v>
      </c>
      <c r="C10" s="5">
        <f>6900*1.0562</f>
        <v>7287.78</v>
      </c>
      <c r="D10" s="5">
        <f>13800*1.0562</f>
        <v>14575.56</v>
      </c>
      <c r="E10" s="5">
        <f>20700*1.0562</f>
        <v>21863.34</v>
      </c>
      <c r="F10" s="5">
        <f>27600*1.0562</f>
        <v>29151.119999999999</v>
      </c>
      <c r="G10" s="12">
        <f>34500*1.0562</f>
        <v>36438.9</v>
      </c>
      <c r="H10" s="12">
        <f>41400*1.0562</f>
        <v>43726.68</v>
      </c>
      <c r="I10" s="12">
        <f>45000*1.0562</f>
        <v>47529</v>
      </c>
      <c r="J10" s="12">
        <f>48000*1.0562</f>
        <v>50697.599999999999</v>
      </c>
      <c r="K10" s="5">
        <v>9000</v>
      </c>
      <c r="L10" s="6">
        <v>15000</v>
      </c>
      <c r="M10" s="6">
        <v>22000</v>
      </c>
      <c r="N10" s="6">
        <v>30000</v>
      </c>
      <c r="O10" s="6">
        <v>36000</v>
      </c>
      <c r="P10" s="6">
        <v>45000</v>
      </c>
      <c r="Q10" s="6">
        <v>47000</v>
      </c>
      <c r="R10" s="7">
        <v>49000</v>
      </c>
      <c r="S10" s="5">
        <f t="shared" si="0"/>
        <v>8143.8899999999994</v>
      </c>
      <c r="T10" s="5">
        <f t="shared" si="0"/>
        <v>14787.779999999999</v>
      </c>
      <c r="U10" s="5">
        <f t="shared" si="0"/>
        <v>21931.67</v>
      </c>
      <c r="V10" s="5">
        <f t="shared" si="0"/>
        <v>29575.559999999998</v>
      </c>
      <c r="W10" s="5">
        <f t="shared" si="0"/>
        <v>36219.449999999997</v>
      </c>
      <c r="X10" s="5">
        <f t="shared" si="0"/>
        <v>44363.34</v>
      </c>
      <c r="Y10" s="5">
        <f t="shared" si="0"/>
        <v>47264.5</v>
      </c>
      <c r="Z10" s="5">
        <f t="shared" si="0"/>
        <v>49848.800000000003</v>
      </c>
      <c r="AA10" s="4"/>
    </row>
    <row r="11" spans="2:27" ht="60" x14ac:dyDescent="0.25">
      <c r="B11" s="3" t="s">
        <v>13</v>
      </c>
      <c r="C11" s="5">
        <f>6000*1.0562</f>
        <v>6337.2</v>
      </c>
      <c r="D11" s="5">
        <f>9000*1.0562</f>
        <v>9505.8000000000011</v>
      </c>
      <c r="E11" s="5">
        <f>14000*1.0562</f>
        <v>14786.800000000001</v>
      </c>
      <c r="F11" s="5">
        <f>18000*1.0562</f>
        <v>19011.600000000002</v>
      </c>
      <c r="G11" s="12">
        <f>30000*1.0562</f>
        <v>31686</v>
      </c>
      <c r="H11" s="12">
        <f>30900*1.0562</f>
        <v>32636.58</v>
      </c>
      <c r="I11" s="12">
        <f>36000*1.0562</f>
        <v>38023.200000000004</v>
      </c>
      <c r="J11" s="12">
        <f>40000*1.0562</f>
        <v>42248</v>
      </c>
      <c r="K11" s="5">
        <v>8000</v>
      </c>
      <c r="L11" s="6">
        <v>12000</v>
      </c>
      <c r="M11" s="6">
        <v>16000</v>
      </c>
      <c r="N11" s="6">
        <v>20000</v>
      </c>
      <c r="O11" s="6">
        <v>35000</v>
      </c>
      <c r="P11" s="6">
        <v>37000</v>
      </c>
      <c r="Q11" s="6">
        <v>38000</v>
      </c>
      <c r="R11" s="7">
        <v>41000</v>
      </c>
      <c r="S11" s="5">
        <f t="shared" si="0"/>
        <v>7168.6</v>
      </c>
      <c r="T11" s="5">
        <f t="shared" si="0"/>
        <v>10752.900000000001</v>
      </c>
      <c r="U11" s="5">
        <f t="shared" si="0"/>
        <v>15393.400000000001</v>
      </c>
      <c r="V11" s="5">
        <f t="shared" si="0"/>
        <v>19505.800000000003</v>
      </c>
      <c r="W11" s="5">
        <f t="shared" si="0"/>
        <v>33343</v>
      </c>
      <c r="X11" s="5">
        <f t="shared" si="0"/>
        <v>34818.29</v>
      </c>
      <c r="Y11" s="5">
        <f t="shared" si="0"/>
        <v>38011.600000000006</v>
      </c>
      <c r="Z11" s="5">
        <f t="shared" si="0"/>
        <v>41624</v>
      </c>
      <c r="AA11" s="4"/>
    </row>
    <row r="12" spans="2:27" ht="48" x14ac:dyDescent="0.25">
      <c r="B12" s="3" t="s">
        <v>14</v>
      </c>
      <c r="C12" s="5">
        <f>7900*1.0562</f>
        <v>8343.98</v>
      </c>
      <c r="D12" s="5">
        <f>15800*1.0562</f>
        <v>16687.96</v>
      </c>
      <c r="E12" s="5">
        <f>21000*1.0562</f>
        <v>22180.2</v>
      </c>
      <c r="F12" s="5">
        <f>30000*1.0562</f>
        <v>31686</v>
      </c>
      <c r="G12" s="12">
        <f>32000*1.0562</f>
        <v>33798.400000000001</v>
      </c>
      <c r="H12" s="12">
        <f>32000*1.0562</f>
        <v>33798.400000000001</v>
      </c>
      <c r="I12" s="12">
        <f>38000*1.0562</f>
        <v>40135.599999999999</v>
      </c>
      <c r="J12" s="12">
        <f>38000*1.0562</f>
        <v>40135.599999999999</v>
      </c>
      <c r="K12" s="5">
        <v>9500</v>
      </c>
      <c r="L12" s="6">
        <v>17000</v>
      </c>
      <c r="M12" s="6">
        <v>23000</v>
      </c>
      <c r="N12" s="6">
        <v>32000</v>
      </c>
      <c r="O12" s="6">
        <v>35000</v>
      </c>
      <c r="P12" s="6">
        <v>37000</v>
      </c>
      <c r="Q12" s="6">
        <v>40000</v>
      </c>
      <c r="R12" s="7">
        <v>42000</v>
      </c>
      <c r="S12" s="5">
        <f t="shared" si="0"/>
        <v>8921.99</v>
      </c>
      <c r="T12" s="5">
        <f t="shared" si="0"/>
        <v>16843.98</v>
      </c>
      <c r="U12" s="5">
        <f t="shared" si="0"/>
        <v>22590.1</v>
      </c>
      <c r="V12" s="5">
        <f t="shared" si="0"/>
        <v>31843</v>
      </c>
      <c r="W12" s="5">
        <f t="shared" si="0"/>
        <v>34399.199999999997</v>
      </c>
      <c r="X12" s="5">
        <f t="shared" si="0"/>
        <v>35399.199999999997</v>
      </c>
      <c r="Y12" s="5">
        <f t="shared" si="0"/>
        <v>40067.800000000003</v>
      </c>
      <c r="Z12" s="5">
        <f t="shared" si="0"/>
        <v>41067.800000000003</v>
      </c>
      <c r="AA12" s="4"/>
    </row>
    <row r="13" spans="2:27" ht="19.7" thickBot="1" x14ac:dyDescent="0.3">
      <c r="B13" s="14"/>
      <c r="C13" s="31">
        <f>SUM(C8:J12)</f>
        <v>961828.52999999991</v>
      </c>
      <c r="D13" s="32"/>
      <c r="E13" s="32"/>
      <c r="F13" s="32"/>
      <c r="G13" s="32"/>
      <c r="H13" s="32"/>
      <c r="I13" s="32"/>
      <c r="J13" s="33"/>
      <c r="K13" s="31">
        <f>SUM(K8:R12)</f>
        <v>995500</v>
      </c>
      <c r="L13" s="32"/>
      <c r="M13" s="32"/>
      <c r="N13" s="32"/>
      <c r="O13" s="32"/>
      <c r="P13" s="32"/>
      <c r="Q13" s="32"/>
      <c r="R13" s="33"/>
      <c r="S13" s="34">
        <f>SUM(S8:Z12)</f>
        <v>978664.26500000013</v>
      </c>
      <c r="T13" s="35"/>
      <c r="U13" s="35"/>
      <c r="V13" s="35"/>
      <c r="W13" s="35"/>
      <c r="X13" s="35"/>
      <c r="Y13" s="35"/>
      <c r="Z13" s="36"/>
      <c r="AA13" s="4"/>
    </row>
    <row r="14" spans="2:27" ht="27" customHeight="1" thickBot="1" x14ac:dyDescent="0.3">
      <c r="B14" s="16" t="s">
        <v>17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/>
    </row>
    <row r="16" spans="2:27" x14ac:dyDescent="0.25">
      <c r="C16" s="15"/>
    </row>
  </sheetData>
  <mergeCells count="9">
    <mergeCell ref="B14:Z14"/>
    <mergeCell ref="B4:Z4"/>
    <mergeCell ref="B5:Z5"/>
    <mergeCell ref="C6:J6"/>
    <mergeCell ref="K6:R6"/>
    <mergeCell ref="S6:Z6"/>
    <mergeCell ref="C13:J13"/>
    <mergeCell ref="K13:R13"/>
    <mergeCell ref="S13:Z13"/>
  </mergeCells>
  <pageMargins left="0.7" right="0.7" top="0.75" bottom="0.75" header="0.3" footer="0.3"/>
  <pageSetup paperSize="14" scale="62" fitToHeight="0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243A2526F804CAD59D350F3EA46BD" ma:contentTypeVersion="9" ma:contentTypeDescription="Crear nuevo documento." ma:contentTypeScope="" ma:versionID="dbf3cb4fe0bb032e8ddabf4628d5202b">
  <xsd:schema xmlns:xsd="http://www.w3.org/2001/XMLSchema" xmlns:xs="http://www.w3.org/2001/XMLSchema" xmlns:p="http://schemas.microsoft.com/office/2006/metadata/properties" xmlns:ns3="c0cdf386-1dab-4406-af51-0844f578eaf9" xmlns:ns4="a7eca116-aff4-49fe-944c-055809909390" targetNamespace="http://schemas.microsoft.com/office/2006/metadata/properties" ma:root="true" ma:fieldsID="67c6e50dc45a2ae3676cbb5f6deb6175" ns3:_="" ns4:_="">
    <xsd:import namespace="c0cdf386-1dab-4406-af51-0844f578eaf9"/>
    <xsd:import namespace="a7eca116-aff4-49fe-944c-05580990939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df386-1dab-4406-af51-0844f578eaf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ca116-aff4-49fe-944c-0558099093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DFF14-1B92-471B-8B2D-CC69F53E3843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c0cdf386-1dab-4406-af51-0844f578eaf9"/>
    <ds:schemaRef ds:uri="http://schemas.microsoft.com/office/2006/documentManagement/types"/>
    <ds:schemaRef ds:uri="http://purl.org/dc/elements/1.1/"/>
    <ds:schemaRef ds:uri="a7eca116-aff4-49fe-944c-055809909390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24B3C1E-97D9-4E03-BFCB-164D52CA48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cdf386-1dab-4406-af51-0844f578eaf9"/>
    <ds:schemaRef ds:uri="a7eca116-aff4-49fe-944c-0558099093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11A181-0F3C-4A92-8EEE-5E4295D70A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Lorena Fajardo Farfan</dc:creator>
  <cp:lastModifiedBy>Magda Lorena Fajardo Farfan</cp:lastModifiedBy>
  <cp:lastPrinted>2022-07-25T18:15:35Z</cp:lastPrinted>
  <dcterms:created xsi:type="dcterms:W3CDTF">2020-02-18T20:55:18Z</dcterms:created>
  <dcterms:modified xsi:type="dcterms:W3CDTF">2022-07-25T18:15:36Z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0x01010003C243A2526F804CAD59D350F3EA46BD</vt:lpwstr>
  </property>
</Properties>
</file>