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24226"/>
  <mc:AlternateContent xmlns:mc="http://schemas.openxmlformats.org/markup-compatibility/2006">
    <mc:Choice Requires="x15">
      <x15ac:absPath xmlns:x15ac="http://schemas.microsoft.com/office/spreadsheetml/2010/11/ac" url="C:\Users\luromerop\OneDrive - Fondo Nacional del Ahorro\11 - COMITE EVALUADOR\4 - PROCESO FNA-SG-SB-007-2022 - material promocional\9 - INFORME FINAL\"/>
    </mc:Choice>
  </mc:AlternateContent>
  <xr:revisionPtr revIDLastSave="0" documentId="8_{1898BAFF-DB01-4521-A056-8683129A049E}" xr6:coauthVersionLast="47" xr6:coauthVersionMax="47" xr10:uidLastSave="{00000000-0000-0000-0000-000000000000}"/>
  <bookViews>
    <workbookView xWindow="-120" yWindow="-120" windowWidth="20730" windowHeight="11160" tabRatio="849" firstSheet="3" activeTab="3" xr2:uid="{00000000-000D-0000-FFFF-FFFF00000000}"/>
  </bookViews>
  <sheets>
    <sheet name="SMMLV" sheetId="37" state="hidden" r:id="rId1"/>
    <sheet name="General" sheetId="11" state="hidden" r:id="rId2"/>
    <sheet name="Directorio" sheetId="1" state="hidden" r:id="rId3"/>
    <sheet name="Conclusión de Evaluación" sheetId="44" r:id="rId4"/>
    <sheet name="Exp. Proponente" sheetId="16" r:id="rId5"/>
    <sheet name="Requisitos Técnicos" sheetId="41"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 localSheetId="5">#REF!</definedName>
    <definedName name="_">#REF!</definedName>
    <definedName name="_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#REF!</definedName>
    <definedName name="A_impresión_IM">#REF!</definedName>
    <definedName name="AAC">[1]AASHTO!$A$14:$F$17</definedName>
    <definedName name="ABG">[1]AASHTO!$A$2:$F$5</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3">'Conclusión de Evaluación'!$A$1:$F$58</definedName>
    <definedName name="_xlnm.Print_Area" localSheetId="2">Directorio!$A$1:$BX$10</definedName>
    <definedName name="_xlnm.Print_Area" localSheetId="4">'Exp. Proponente'!$A$5:$P$182</definedName>
    <definedName name="_xlnm.Print_Area" localSheetId="5">'Requisitos Técnicos'!$A$1:$CS$9</definedName>
    <definedName name="Arena_de_Peña">#REF!</definedName>
    <definedName name="Arena_de_rio">#REF!</definedName>
    <definedName name="Arena_Lavada_de_Peña">#REF!</definedName>
    <definedName name="Arena_semilavada">#REF!</definedName>
    <definedName name="ARR">[2]AC!#REF!</definedName>
    <definedName name="ASB">[1]AASHTO!$A$8:$F$11</definedName>
    <definedName name="Aseo_general">#REF!</definedName>
    <definedName name="Aseo_General___3_HS__Sal__Mínimo">#REF!</definedName>
    <definedName name="Asta_Para_Banderas">#REF!</definedName>
    <definedName name="AULAS">#REF!</definedName>
    <definedName name="AULU">#N/A</definedName>
    <definedName name="Auxiliar_de_Contabilidad">#REF!</definedName>
    <definedName name="AV">VLOOKUP([2]APU!#REF!,[2]INS!#REF!,4,FALSE)</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VLOOKUP([2]APU!#REF!,[2]AUX!#REF!,2,FALSE)</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SUMIF([2]APU!#REF!,[2]APU!#REF!,[2]APU!D$1:D$65536)+SUMIF([2]APU!#REF!,[2]APU!#REF!&amp;"6I",[2]APU!E$1:E$65536)</definedName>
    <definedName name="BC">VLOOKUP([2]APU!#REF!,[2]INS!#REF!,5,FALSE)</definedName>
    <definedName name="BD">VLOOKUP([2]APU!#REF!,[2]APU!#REF!,2,FALSE)</definedName>
    <definedName name="BE">VLOOKUP([2]APU!$C1,[2]APU!$G$1:$L$65536,3,FALSE)*[2]APU!$G1</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D">VLOOKUP([2]APU!#REF!,[2]INS!#REF!,4,FALSE)</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VLOOKUP([2]PPTO!$F1,[2]AC!$B$1:$D$65536,2,0)</definedName>
    <definedName name="Desinfeccion_del_Sistema_de_Agua_Potable">#REF!</definedName>
    <definedName name="DifConsultoriaFMMin">#REF!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[6]EQUIPOS!$B$20:$IV$1000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[5]VARIABLES!$C$7</definedName>
    <definedName name="fffff">#REF!</definedName>
    <definedName name="Fijamix_Alfa">#REF!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mMainForm_tblFormContainer_trContentRow_tdLeftColumn_divViewProfilePerspective_tblProfileDetails_trIsGroupContentRow_tdTitleCell_rptIsGroupRepeater_rpteIsGroupConditionalElements_lnkIsGroupConditionalSpan_1" localSheetId="2">Directorio!$Q$9</definedName>
    <definedName name="G">IF(ISERROR([2]PPTO!G1+[2]PPTO!I1+[2]PPTO!K1+[2]PPTO!M1+[2]PPTO!O1),"",ROUND(([2]PPTO!G1+[2]PPTO!I1+[2]PPTO!K1+[2]PPTO!M1+[2]PPTO!O1),2))</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[7]Datos!$A$2:$A$100</definedName>
    <definedName name="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VLOOKUP([2]APU!#REF!,[2]AUX!#REF!,2,FALSE)</definedName>
    <definedName name="Juego_de_incrustaciones_acuacer">#REF!</definedName>
    <definedName name="Juego_de_incrustaciones_en_color_blanco">#REF!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LEN([2]PPTO!$F1)</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[8]CUADRILLAS!$A$11:$H$1000</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[4]Materiales!$B$19:$J$2977</definedName>
    <definedName name="matriz">'[9]Calculo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IF(MATCH(MAX([2]APU!$I1:$L1),[2]APU!$I1:$L1,0)=2,1,IF(MATCH(MAX([2]APU!$I1:$L1),[2]APU!$I1:$L1,0)=1,6,IF(MATCH(MAX([2]APU!$I1:$L1),[2]APU!$I1:$L1,0)=3,2,4)))</definedName>
    <definedName name="OBJETO.CONTRATO">[5]VARIABLES!$C$8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ROUND(VLOOKUP([2]PPTO!$F1,[2]APU!$G$1:$H$65536,2,FALSE),0)</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[3]PRESUPUESTO!$B$6:$L$2024</definedName>
    <definedName name="Profesionales">[7]Datos!$B$2:$B$60</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VLOOKUP([2]PPTO!$F1,[2]APU!$G$1:$H$65536,2,FALSE)</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[5]VARIABLES!$C$11</definedName>
    <definedName name="REP.CONTRATISTA">[5]VARIABLES!$C$10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SUMIF([2]PPTO!$B$1:$B$65536,[2]PPTO!$B2,[2]PPTO!A$1:A$65536)</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[5]PERSONAL!$D$8</definedName>
    <definedName name="TipoCosteoNivelRiesgo">#REF!</definedName>
    <definedName name="Tiras_Alistado_3_x_3_x_3">#REF!</definedName>
    <definedName name="_xlnm.Print_Titles" localSheetId="5">'Requisitos Técnicos'!$A:$A</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VLOOKUP([2]PPTO!$F1,[2]AC!$B$1:$D$65536,3,FALSE)</definedName>
    <definedName name="V">[2]INS!$F$464*(1+[2]INS!$I$464)</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#REF!</definedName>
    <definedName name="z">[10]Datos!$B$2:$B$60</definedName>
    <definedName name="Zocalo_en_acero_inoxidable_e_0_10_ML">#REF!</definedName>
    <definedName name="Zorra_Metalica__Ruedas_de_Cauch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51" i="16" l="1"/>
  <c r="K151" i="16" s="1"/>
  <c r="I138" i="16"/>
  <c r="K138" i="16" s="1"/>
  <c r="I139" i="16"/>
  <c r="K139" i="16"/>
  <c r="I140" i="16"/>
  <c r="K140" i="16" s="1"/>
  <c r="I112" i="16"/>
  <c r="K112" i="16" s="1"/>
  <c r="M9" i="1" l="1"/>
  <c r="M10" i="1"/>
  <c r="M7" i="1" l="1"/>
  <c r="M8" i="1"/>
  <c r="I83" i="16"/>
  <c r="I84" i="16"/>
  <c r="I85" i="16"/>
  <c r="I39" i="16"/>
  <c r="K39" i="16" s="1"/>
  <c r="I40" i="16"/>
  <c r="K40" i="16" s="1"/>
  <c r="I13" i="16" l="1"/>
  <c r="K13" i="16" s="1"/>
  <c r="I12" i="16"/>
  <c r="K12" i="16" s="1"/>
  <c r="I177" i="16" l="1"/>
  <c r="I176" i="16"/>
  <c r="I152" i="16"/>
  <c r="I150" i="16"/>
  <c r="I149" i="16"/>
  <c r="I137" i="16"/>
  <c r="I113" i="16" l="1"/>
  <c r="I111" i="16"/>
  <c r="I110" i="16"/>
  <c r="I86" i="16" l="1"/>
  <c r="I82" i="16"/>
  <c r="I42" i="16"/>
  <c r="I41" i="16"/>
  <c r="K41" i="16" s="1"/>
  <c r="I38" i="16"/>
  <c r="I14" i="16"/>
  <c r="K14" i="16" s="1"/>
  <c r="I11" i="16"/>
  <c r="R21" i="16"/>
  <c r="S21" i="16"/>
  <c r="T21" i="16"/>
  <c r="I22" i="16"/>
  <c r="K22" i="16"/>
  <c r="R22" i="16"/>
  <c r="S22" i="16"/>
  <c r="T22" i="16"/>
  <c r="I23" i="16"/>
  <c r="K23" i="16"/>
  <c r="R23" i="16"/>
  <c r="S23" i="16"/>
  <c r="T23" i="16"/>
  <c r="I24" i="16"/>
  <c r="K24" i="16"/>
  <c r="R24" i="16"/>
  <c r="S24" i="16"/>
  <c r="T24" i="16"/>
  <c r="I25" i="16"/>
  <c r="K25" i="16"/>
  <c r="R25" i="16"/>
  <c r="S25" i="16"/>
  <c r="T25" i="16"/>
  <c r="I26" i="16"/>
  <c r="K26" i="16"/>
  <c r="R26" i="16"/>
  <c r="S26" i="16"/>
  <c r="T26" i="16"/>
  <c r="I27" i="16"/>
  <c r="K27" i="16"/>
  <c r="R27" i="16"/>
  <c r="S27" i="16"/>
  <c r="T27" i="16"/>
  <c r="A2" i="44"/>
  <c r="K28" i="16" l="1"/>
  <c r="I15" i="11"/>
  <c r="I96" i="16" l="1"/>
  <c r="K256" i="16" l="1"/>
  <c r="I256" i="16"/>
  <c r="K255" i="16"/>
  <c r="I255" i="16"/>
  <c r="K254" i="16"/>
  <c r="I254" i="16"/>
  <c r="K253" i="16"/>
  <c r="I253" i="16"/>
  <c r="K252" i="16"/>
  <c r="I252" i="16"/>
  <c r="K251" i="16"/>
  <c r="I251" i="16"/>
  <c r="K223" i="16"/>
  <c r="I223" i="16"/>
  <c r="K222" i="16"/>
  <c r="I222" i="16"/>
  <c r="K221" i="16"/>
  <c r="I221" i="16"/>
  <c r="K220" i="16"/>
  <c r="I220" i="16"/>
  <c r="K219" i="16"/>
  <c r="I219" i="16"/>
  <c r="K218" i="16"/>
  <c r="I218" i="16"/>
  <c r="K190" i="16"/>
  <c r="I190" i="16"/>
  <c r="K189" i="16"/>
  <c r="I189" i="16"/>
  <c r="K188" i="16"/>
  <c r="I188" i="16"/>
  <c r="K187" i="16"/>
  <c r="I187" i="16"/>
  <c r="K186" i="16"/>
  <c r="I186" i="16"/>
  <c r="K185" i="16"/>
  <c r="I185" i="16"/>
  <c r="K165" i="16"/>
  <c r="I165" i="16"/>
  <c r="K164" i="16"/>
  <c r="I164" i="16"/>
  <c r="K163" i="16"/>
  <c r="I163" i="16"/>
  <c r="K162" i="16"/>
  <c r="I162" i="16"/>
  <c r="K161" i="16"/>
  <c r="I161" i="16"/>
  <c r="K160" i="16"/>
  <c r="I160" i="16"/>
  <c r="K126" i="16"/>
  <c r="I126" i="16"/>
  <c r="K125" i="16"/>
  <c r="I125" i="16"/>
  <c r="K124" i="16"/>
  <c r="I124" i="16"/>
  <c r="K123" i="16"/>
  <c r="I123" i="16"/>
  <c r="K122" i="16"/>
  <c r="I122" i="16"/>
  <c r="K121" i="16"/>
  <c r="I121" i="16"/>
  <c r="K99" i="16"/>
  <c r="I99" i="16"/>
  <c r="K98" i="16"/>
  <c r="I98" i="16"/>
  <c r="K97" i="16"/>
  <c r="I97" i="16"/>
  <c r="K96" i="16"/>
  <c r="K95" i="16"/>
  <c r="I95" i="16"/>
  <c r="K94" i="16"/>
  <c r="I94" i="16"/>
  <c r="M4" i="1"/>
  <c r="M5" i="1"/>
  <c r="M6" i="1"/>
  <c r="K257" i="16" l="1"/>
  <c r="K224" i="16"/>
  <c r="K191" i="16"/>
  <c r="K166" i="16"/>
  <c r="K127" i="16"/>
  <c r="K100" i="16"/>
  <c r="K55" i="16" l="1"/>
  <c r="I55" i="16"/>
  <c r="K54" i="16"/>
  <c r="I54" i="16"/>
  <c r="K53" i="16"/>
  <c r="I53" i="16"/>
  <c r="K52" i="16"/>
  <c r="I52" i="16"/>
  <c r="I51" i="16"/>
  <c r="K51" i="16" s="1"/>
  <c r="I50" i="16"/>
  <c r="K50" i="16" s="1"/>
  <c r="K56" i="16" l="1"/>
  <c r="K11" i="16" l="1"/>
  <c r="E17" i="16" l="1"/>
  <c r="D18" i="16"/>
  <c r="E18" i="16"/>
  <c r="D17" i="16"/>
  <c r="I66" i="16"/>
  <c r="I67" i="16"/>
  <c r="I6" i="11" l="1"/>
  <c r="K15" i="16" l="1"/>
  <c r="I438" i="16" l="1"/>
  <c r="I437" i="16"/>
  <c r="I436" i="16"/>
  <c r="I435" i="16"/>
  <c r="I434" i="16"/>
  <c r="I433" i="16"/>
  <c r="I432" i="16"/>
  <c r="I431" i="16"/>
  <c r="I430" i="16"/>
  <c r="I429" i="16"/>
  <c r="I420" i="16"/>
  <c r="I419" i="16"/>
  <c r="I418" i="16"/>
  <c r="I417" i="16"/>
  <c r="I416" i="16"/>
  <c r="I415" i="16"/>
  <c r="I414" i="16"/>
  <c r="I413" i="16"/>
  <c r="I412" i="16"/>
  <c r="I411" i="16"/>
  <c r="I402" i="16"/>
  <c r="I401" i="16"/>
  <c r="I400" i="16"/>
  <c r="I399" i="16"/>
  <c r="I398" i="16"/>
  <c r="I397" i="16"/>
  <c r="I396" i="16"/>
  <c r="I395" i="16"/>
  <c r="I394" i="16"/>
  <c r="I393" i="16"/>
  <c r="I384" i="16"/>
  <c r="I383" i="16"/>
  <c r="I382" i="16"/>
  <c r="I381" i="16"/>
  <c r="I380" i="16"/>
  <c r="I379" i="16"/>
  <c r="I378" i="16"/>
  <c r="I377" i="16"/>
  <c r="I376" i="16"/>
  <c r="I375" i="16"/>
  <c r="I366" i="16"/>
  <c r="I365" i="16"/>
  <c r="I364" i="16"/>
  <c r="I363" i="16"/>
  <c r="I362" i="16"/>
  <c r="I361" i="16"/>
  <c r="I360" i="16"/>
  <c r="I359" i="16"/>
  <c r="I358" i="16"/>
  <c r="I357" i="16"/>
  <c r="I348" i="16"/>
  <c r="I347" i="16"/>
  <c r="I346" i="16"/>
  <c r="I345" i="16"/>
  <c r="I344" i="16"/>
  <c r="I343" i="16"/>
  <c r="I342" i="16"/>
  <c r="I341" i="16"/>
  <c r="I340" i="16"/>
  <c r="I339" i="16"/>
  <c r="I330" i="16"/>
  <c r="I329" i="16"/>
  <c r="I328" i="16"/>
  <c r="I327" i="16"/>
  <c r="I326" i="16"/>
  <c r="I325" i="16"/>
  <c r="I324" i="16"/>
  <c r="I323" i="16"/>
  <c r="I322" i="16"/>
  <c r="I321" i="16"/>
  <c r="I312" i="16"/>
  <c r="I311" i="16"/>
  <c r="I310" i="16"/>
  <c r="I309" i="16"/>
  <c r="I308" i="16"/>
  <c r="I307" i="16"/>
  <c r="I306" i="16"/>
  <c r="I305" i="16"/>
  <c r="I304" i="16"/>
  <c r="I303" i="16"/>
  <c r="I294" i="16"/>
  <c r="I293" i="16"/>
  <c r="I292" i="16"/>
  <c r="I291" i="16"/>
  <c r="I290" i="16"/>
  <c r="I289" i="16"/>
  <c r="I288" i="16"/>
  <c r="I287" i="16"/>
  <c r="I286" i="16"/>
  <c r="I285" i="16"/>
  <c r="I276" i="16"/>
  <c r="I275" i="16"/>
  <c r="I274" i="16"/>
  <c r="I273" i="16"/>
  <c r="I272" i="16"/>
  <c r="I271" i="16"/>
  <c r="I270" i="16"/>
  <c r="I269" i="16"/>
  <c r="I268" i="16"/>
  <c r="I267" i="16"/>
  <c r="I243" i="16"/>
  <c r="I242" i="16"/>
  <c r="I241" i="16"/>
  <c r="I240" i="16"/>
  <c r="I239" i="16"/>
  <c r="I238" i="16"/>
  <c r="I237" i="16"/>
  <c r="I236" i="16"/>
  <c r="I235" i="16"/>
  <c r="I234" i="16"/>
  <c r="I210" i="16"/>
  <c r="I209" i="16"/>
  <c r="I208" i="16"/>
  <c r="I207" i="16"/>
  <c r="I206" i="16"/>
  <c r="I205" i="16"/>
  <c r="I204" i="16"/>
  <c r="I203" i="16"/>
  <c r="I202" i="16"/>
  <c r="I201" i="16"/>
  <c r="I71" i="16"/>
  <c r="I70" i="16"/>
  <c r="I69" i="16"/>
  <c r="I68" i="16"/>
  <c r="F1" i="41" l="1"/>
  <c r="BZ1" i="41" s="1"/>
  <c r="C1" i="41"/>
  <c r="K438" i="16"/>
  <c r="K437" i="16"/>
  <c r="K436" i="16"/>
  <c r="K435" i="16"/>
  <c r="K434" i="16"/>
  <c r="K433" i="16"/>
  <c r="K432" i="16"/>
  <c r="K431" i="16"/>
  <c r="K430" i="16"/>
  <c r="K429" i="16"/>
  <c r="K420" i="16"/>
  <c r="K419" i="16"/>
  <c r="K418" i="16"/>
  <c r="K417" i="16"/>
  <c r="K416" i="16"/>
  <c r="K415" i="16"/>
  <c r="K414" i="16"/>
  <c r="K413" i="16"/>
  <c r="K412" i="16"/>
  <c r="K411" i="16"/>
  <c r="K402" i="16"/>
  <c r="K401" i="16"/>
  <c r="K400" i="16"/>
  <c r="K399" i="16"/>
  <c r="K398" i="16"/>
  <c r="K397" i="16"/>
  <c r="K396" i="16"/>
  <c r="K395" i="16"/>
  <c r="K394" i="16"/>
  <c r="K393" i="16"/>
  <c r="K384" i="16"/>
  <c r="K383" i="16"/>
  <c r="K382" i="16"/>
  <c r="K381" i="16"/>
  <c r="K380" i="16"/>
  <c r="K379" i="16"/>
  <c r="K378" i="16"/>
  <c r="K377" i="16"/>
  <c r="K376" i="16"/>
  <c r="K375" i="16"/>
  <c r="K366" i="16"/>
  <c r="K365" i="16"/>
  <c r="K364" i="16"/>
  <c r="K363" i="16"/>
  <c r="K362" i="16"/>
  <c r="K361" i="16"/>
  <c r="K360" i="16"/>
  <c r="K359" i="16"/>
  <c r="K358" i="16"/>
  <c r="K357" i="16"/>
  <c r="K348" i="16"/>
  <c r="K347" i="16"/>
  <c r="K346" i="16"/>
  <c r="K345" i="16"/>
  <c r="K344" i="16"/>
  <c r="K343" i="16"/>
  <c r="K342" i="16"/>
  <c r="K341" i="16"/>
  <c r="K340" i="16"/>
  <c r="K339" i="16"/>
  <c r="K330" i="16"/>
  <c r="K329" i="16"/>
  <c r="K328" i="16"/>
  <c r="K327" i="16"/>
  <c r="K326" i="16"/>
  <c r="K325" i="16"/>
  <c r="K324" i="16"/>
  <c r="K323" i="16"/>
  <c r="K322" i="16"/>
  <c r="K321" i="16"/>
  <c r="K312" i="16"/>
  <c r="K311" i="16"/>
  <c r="K310" i="16"/>
  <c r="K309" i="16"/>
  <c r="K308" i="16"/>
  <c r="K307" i="16"/>
  <c r="K306" i="16"/>
  <c r="K305" i="16"/>
  <c r="K304" i="16"/>
  <c r="K303" i="16"/>
  <c r="K294" i="16"/>
  <c r="K293" i="16"/>
  <c r="K292" i="16"/>
  <c r="K291" i="16"/>
  <c r="K290" i="16"/>
  <c r="K289" i="16"/>
  <c r="K288" i="16"/>
  <c r="K287" i="16"/>
  <c r="K286" i="16"/>
  <c r="K285" i="16"/>
  <c r="K276" i="16"/>
  <c r="K275" i="16"/>
  <c r="K274" i="16"/>
  <c r="K273" i="16"/>
  <c r="K272" i="16"/>
  <c r="K271" i="16"/>
  <c r="K270" i="16"/>
  <c r="K269" i="16"/>
  <c r="K268" i="16"/>
  <c r="K267" i="16"/>
  <c r="K243" i="16"/>
  <c r="K242" i="16"/>
  <c r="K241" i="16"/>
  <c r="K240" i="16"/>
  <c r="K239" i="16"/>
  <c r="K238" i="16"/>
  <c r="K237" i="16"/>
  <c r="K236" i="16"/>
  <c r="K235" i="16"/>
  <c r="K234" i="16"/>
  <c r="K210" i="16"/>
  <c r="K209" i="16"/>
  <c r="K208" i="16"/>
  <c r="K207" i="16"/>
  <c r="K206" i="16"/>
  <c r="K205" i="16"/>
  <c r="K204" i="16"/>
  <c r="K203" i="16"/>
  <c r="K202" i="16"/>
  <c r="K201" i="16"/>
  <c r="K177" i="16"/>
  <c r="K176" i="16"/>
  <c r="K152" i="16"/>
  <c r="K150" i="16"/>
  <c r="K149" i="16"/>
  <c r="K137" i="16"/>
  <c r="K113" i="16"/>
  <c r="K111" i="16"/>
  <c r="K110" i="16"/>
  <c r="K86" i="16"/>
  <c r="K85" i="16"/>
  <c r="K82" i="16"/>
  <c r="K71" i="16"/>
  <c r="K70" i="16"/>
  <c r="K69" i="16"/>
  <c r="K68" i="16"/>
  <c r="K67" i="16"/>
  <c r="K66" i="16"/>
  <c r="B36" i="16"/>
  <c r="B80" i="16" s="1"/>
  <c r="K42" i="16"/>
  <c r="K38" i="16"/>
  <c r="E19" i="16"/>
  <c r="D19" i="16"/>
  <c r="T10" i="16" s="1"/>
  <c r="S10" i="16"/>
  <c r="R10" i="16"/>
  <c r="R14" i="16" s="1"/>
  <c r="I9" i="16"/>
  <c r="D9" i="16"/>
  <c r="G6" i="16"/>
  <c r="BZ2" i="41" l="1"/>
  <c r="CD1" i="41"/>
  <c r="CA1" i="41"/>
  <c r="K43" i="16"/>
  <c r="W11" i="16"/>
  <c r="Y11" i="16"/>
  <c r="X11" i="16"/>
  <c r="V11" i="16"/>
  <c r="E47" i="16"/>
  <c r="R11" i="16"/>
  <c r="S11" i="16"/>
  <c r="T11" i="16"/>
  <c r="K72" i="16"/>
  <c r="K87" i="16"/>
  <c r="K141" i="16"/>
  <c r="K142" i="16" s="1"/>
  <c r="K178" i="16"/>
  <c r="K295" i="16"/>
  <c r="K367" i="16"/>
  <c r="K403" i="16"/>
  <c r="K439" i="16"/>
  <c r="D47" i="16"/>
  <c r="D45" i="16"/>
  <c r="K277" i="16"/>
  <c r="K349" i="16"/>
  <c r="K385" i="16"/>
  <c r="K421" i="16"/>
  <c r="K114" i="16"/>
  <c r="K153" i="16"/>
  <c r="K313" i="16"/>
  <c r="E45" i="16"/>
  <c r="K244" i="16"/>
  <c r="K331" i="16"/>
  <c r="D36" i="16"/>
  <c r="D46" i="16"/>
  <c r="I36" i="16"/>
  <c r="E46" i="16"/>
  <c r="K211" i="16"/>
  <c r="B2" i="41"/>
  <c r="J1" i="41"/>
  <c r="J2" i="41" s="1"/>
  <c r="G1" i="41"/>
  <c r="F2" i="41"/>
  <c r="CE1" i="41" l="1"/>
  <c r="CH1" i="41"/>
  <c r="CD2" i="41"/>
  <c r="E91" i="16"/>
  <c r="K1" i="41"/>
  <c r="N1" i="41"/>
  <c r="CH2" i="41" l="1"/>
  <c r="CL1" i="41"/>
  <c r="CI1" i="41"/>
  <c r="R250" i="16"/>
  <c r="R253" i="16"/>
  <c r="R255" i="16"/>
  <c r="R251" i="16"/>
  <c r="R254" i="16"/>
  <c r="R256" i="16"/>
  <c r="R252" i="16"/>
  <c r="S250" i="16"/>
  <c r="S253" i="16"/>
  <c r="S255" i="16"/>
  <c r="S252" i="16"/>
  <c r="S251" i="16"/>
  <c r="S256" i="16"/>
  <c r="S254" i="16"/>
  <c r="T255" i="16"/>
  <c r="T251" i="16"/>
  <c r="T250" i="16"/>
  <c r="T253" i="16"/>
  <c r="T256" i="16"/>
  <c r="T254" i="16"/>
  <c r="T252" i="16"/>
  <c r="S217" i="16"/>
  <c r="S222" i="16"/>
  <c r="S221" i="16"/>
  <c r="S218" i="16"/>
  <c r="S223" i="16"/>
  <c r="S219" i="16"/>
  <c r="S220" i="16"/>
  <c r="R218" i="16"/>
  <c r="R217" i="16"/>
  <c r="R222" i="16"/>
  <c r="R219" i="16"/>
  <c r="R223" i="16"/>
  <c r="R221" i="16"/>
  <c r="R220" i="16"/>
  <c r="T222" i="16"/>
  <c r="T221" i="16"/>
  <c r="T220" i="16"/>
  <c r="T218" i="16"/>
  <c r="T217" i="16"/>
  <c r="T223" i="16"/>
  <c r="T219" i="16"/>
  <c r="S188" i="16"/>
  <c r="S185" i="16"/>
  <c r="S184" i="16"/>
  <c r="S189" i="16"/>
  <c r="S190" i="16"/>
  <c r="S186" i="16"/>
  <c r="S187" i="16"/>
  <c r="R189" i="16"/>
  <c r="R184" i="16"/>
  <c r="R185" i="16"/>
  <c r="R188" i="16"/>
  <c r="R187" i="16"/>
  <c r="R186" i="16"/>
  <c r="R190" i="16"/>
  <c r="T185" i="16"/>
  <c r="T187" i="16"/>
  <c r="T184" i="16"/>
  <c r="T188" i="16"/>
  <c r="T189" i="16"/>
  <c r="T190" i="16"/>
  <c r="T186" i="16"/>
  <c r="S159" i="16"/>
  <c r="S164" i="16"/>
  <c r="S163" i="16"/>
  <c r="S160" i="16"/>
  <c r="S162" i="16"/>
  <c r="S165" i="16"/>
  <c r="S161" i="16"/>
  <c r="R160" i="16"/>
  <c r="R159" i="16"/>
  <c r="R164" i="16"/>
  <c r="R163" i="16"/>
  <c r="R161" i="16"/>
  <c r="R165" i="16"/>
  <c r="R162" i="16"/>
  <c r="T164" i="16"/>
  <c r="T163" i="16"/>
  <c r="T162" i="16"/>
  <c r="T160" i="16"/>
  <c r="T159" i="16"/>
  <c r="T165" i="16"/>
  <c r="T161" i="16"/>
  <c r="S126" i="16"/>
  <c r="S122" i="16"/>
  <c r="S121" i="16"/>
  <c r="S120" i="16"/>
  <c r="S125" i="16"/>
  <c r="S123" i="16"/>
  <c r="S124" i="16"/>
  <c r="R120" i="16"/>
  <c r="R122" i="16"/>
  <c r="R126" i="16"/>
  <c r="R123" i="16"/>
  <c r="R125" i="16"/>
  <c r="R124" i="16"/>
  <c r="R121" i="16"/>
  <c r="T125" i="16"/>
  <c r="T124" i="16"/>
  <c r="T121" i="16"/>
  <c r="T120" i="16"/>
  <c r="T126" i="16"/>
  <c r="T122" i="16"/>
  <c r="T123" i="16"/>
  <c r="S94" i="16"/>
  <c r="S93" i="16"/>
  <c r="S98" i="16"/>
  <c r="S99" i="16"/>
  <c r="S95" i="16"/>
  <c r="S97" i="16"/>
  <c r="S96" i="16"/>
  <c r="R95" i="16"/>
  <c r="R93" i="16"/>
  <c r="R99" i="16"/>
  <c r="R94" i="16"/>
  <c r="R96" i="16"/>
  <c r="R98" i="16"/>
  <c r="R97" i="16"/>
  <c r="T99" i="16"/>
  <c r="T95" i="16"/>
  <c r="T98" i="16"/>
  <c r="T97" i="16"/>
  <c r="T94" i="16"/>
  <c r="T93" i="16"/>
  <c r="T96" i="16"/>
  <c r="R54" i="16"/>
  <c r="R52" i="16"/>
  <c r="R50" i="16"/>
  <c r="R49" i="16"/>
  <c r="R55" i="16"/>
  <c r="R53" i="16"/>
  <c r="R51" i="16"/>
  <c r="T54" i="16"/>
  <c r="T52" i="16"/>
  <c r="T50" i="16"/>
  <c r="T49" i="16"/>
  <c r="T55" i="16"/>
  <c r="T53" i="16"/>
  <c r="T51" i="16"/>
  <c r="S55" i="16"/>
  <c r="S53" i="16"/>
  <c r="S51" i="16"/>
  <c r="S49" i="16"/>
  <c r="S54" i="16"/>
  <c r="S52" i="16"/>
  <c r="S50" i="16"/>
  <c r="E89" i="16"/>
  <c r="D89" i="16"/>
  <c r="D90" i="16"/>
  <c r="B108" i="16"/>
  <c r="E116" i="16" s="1"/>
  <c r="D91" i="16"/>
  <c r="D80" i="16"/>
  <c r="E90" i="16"/>
  <c r="I80" i="16"/>
  <c r="O1" i="41"/>
  <c r="R1" i="41"/>
  <c r="R2" i="41" s="1"/>
  <c r="N2" i="41"/>
  <c r="CM1" i="41" l="1"/>
  <c r="CP1" i="41"/>
  <c r="CL2" i="41"/>
  <c r="D108" i="16"/>
  <c r="D117" i="16"/>
  <c r="D118" i="16"/>
  <c r="D116" i="16"/>
  <c r="E118" i="16"/>
  <c r="E117" i="16"/>
  <c r="I108" i="16"/>
  <c r="B135" i="16"/>
  <c r="D145" i="16" s="1"/>
  <c r="S1" i="41"/>
  <c r="V1" i="41"/>
  <c r="CP2" i="41" l="1"/>
  <c r="CQ1" i="41"/>
  <c r="D144" i="16"/>
  <c r="D135" i="16"/>
  <c r="I135" i="16"/>
  <c r="E143" i="16"/>
  <c r="D143" i="16"/>
  <c r="E144" i="16"/>
  <c r="B147" i="16"/>
  <c r="D155" i="16" s="1"/>
  <c r="E145" i="16"/>
  <c r="V2" i="41"/>
  <c r="W1" i="41"/>
  <c r="Z1" i="41"/>
  <c r="B174" i="16" l="1"/>
  <c r="I174" i="16" s="1"/>
  <c r="D156" i="16"/>
  <c r="E156" i="16"/>
  <c r="E155" i="16"/>
  <c r="I147" i="16"/>
  <c r="E157" i="16"/>
  <c r="D147" i="16"/>
  <c r="D157" i="16"/>
  <c r="AA1" i="41"/>
  <c r="AD1" i="41"/>
  <c r="Z2" i="41"/>
  <c r="E180" i="16" l="1"/>
  <c r="D181" i="16"/>
  <c r="D182" i="16"/>
  <c r="D180" i="16"/>
  <c r="D174" i="16"/>
  <c r="B199" i="16"/>
  <c r="D199" i="16" s="1"/>
  <c r="E182" i="16"/>
  <c r="E181" i="16"/>
  <c r="AE1" i="41"/>
  <c r="AH1" i="41"/>
  <c r="AD2" i="41"/>
  <c r="D213" i="16" l="1"/>
  <c r="D215" i="16"/>
  <c r="E214" i="16"/>
  <c r="E213" i="16"/>
  <c r="E215" i="16"/>
  <c r="D214" i="16"/>
  <c r="B232" i="16"/>
  <c r="D246" i="16" s="1"/>
  <c r="I199" i="16"/>
  <c r="AI1" i="41"/>
  <c r="AL1" i="41"/>
  <c r="AH2" i="41"/>
  <c r="E248" i="16" l="1"/>
  <c r="D248" i="16"/>
  <c r="E246" i="16"/>
  <c r="B265" i="16"/>
  <c r="D265" i="16" s="1"/>
  <c r="D247" i="16"/>
  <c r="D232" i="16"/>
  <c r="I232" i="16"/>
  <c r="E247" i="16"/>
  <c r="AM1" i="41"/>
  <c r="AP1" i="41"/>
  <c r="AL2" i="41"/>
  <c r="D281" i="16" l="1"/>
  <c r="E279" i="16"/>
  <c r="B283" i="16"/>
  <c r="D298" i="16" s="1"/>
  <c r="D280" i="16"/>
  <c r="E280" i="16"/>
  <c r="E281" i="16"/>
  <c r="D279" i="16"/>
  <c r="I265" i="16"/>
  <c r="AP2" i="41"/>
  <c r="AT1" i="41"/>
  <c r="AQ1" i="41"/>
  <c r="B301" i="16" l="1"/>
  <c r="I301" i="16" s="1"/>
  <c r="D297" i="16"/>
  <c r="D283" i="16"/>
  <c r="I283" i="16"/>
  <c r="E298" i="16"/>
  <c r="E299" i="16"/>
  <c r="D299" i="16"/>
  <c r="E297" i="16"/>
  <c r="AU1" i="41"/>
  <c r="AX1" i="41"/>
  <c r="AT2" i="41"/>
  <c r="D317" i="16" l="1"/>
  <c r="D315" i="16"/>
  <c r="D301" i="16"/>
  <c r="B319" i="16"/>
  <c r="I319" i="16" s="1"/>
  <c r="E315" i="16"/>
  <c r="E317" i="16"/>
  <c r="E316" i="16"/>
  <c r="D316" i="16"/>
  <c r="AY1" i="41"/>
  <c r="BB1" i="41"/>
  <c r="E333" i="16" l="1"/>
  <c r="E334" i="16"/>
  <c r="E335" i="16"/>
  <c r="B337" i="16"/>
  <c r="D352" i="16" s="1"/>
  <c r="D335" i="16"/>
  <c r="D334" i="16"/>
  <c r="D319" i="16"/>
  <c r="D333" i="16"/>
  <c r="BB2" i="41"/>
  <c r="BF1" i="41"/>
  <c r="BC1" i="41"/>
  <c r="E351" i="16" l="1"/>
  <c r="B355" i="16"/>
  <c r="E371" i="16" s="1"/>
  <c r="D351" i="16"/>
  <c r="D353" i="16"/>
  <c r="E353" i="16"/>
  <c r="I337" i="16"/>
  <c r="D337" i="16"/>
  <c r="E352" i="16"/>
  <c r="BJ1" i="41"/>
  <c r="BG1" i="41"/>
  <c r="BF2" i="41"/>
  <c r="D370" i="16" l="1"/>
  <c r="D369" i="16"/>
  <c r="I355" i="16"/>
  <c r="E370" i="16"/>
  <c r="E369" i="16"/>
  <c r="D355" i="16"/>
  <c r="D371" i="16"/>
  <c r="B373" i="16"/>
  <c r="E389" i="16" s="1"/>
  <c r="BK1" i="41"/>
  <c r="BN1" i="41"/>
  <c r="BJ2" i="41"/>
  <c r="D388" i="16" l="1"/>
  <c r="D373" i="16"/>
  <c r="D387" i="16"/>
  <c r="E388" i="16"/>
  <c r="B391" i="16"/>
  <c r="B409" i="16" s="1"/>
  <c r="D409" i="16" s="1"/>
  <c r="E387" i="16"/>
  <c r="I373" i="16"/>
  <c r="D389" i="16"/>
  <c r="BO1" i="41"/>
  <c r="BR1" i="41"/>
  <c r="BN2" i="41"/>
  <c r="E425" i="16" l="1"/>
  <c r="E424" i="16"/>
  <c r="E423" i="16"/>
  <c r="B427" i="16"/>
  <c r="D427" i="16" s="1"/>
  <c r="E406" i="16"/>
  <c r="E405" i="16"/>
  <c r="D424" i="16"/>
  <c r="E407" i="16"/>
  <c r="D423" i="16"/>
  <c r="D391" i="16"/>
  <c r="D425" i="16"/>
  <c r="D406" i="16"/>
  <c r="D405" i="16"/>
  <c r="I409" i="16"/>
  <c r="D407" i="16"/>
  <c r="I391" i="16"/>
  <c r="BS1" i="41"/>
  <c r="BV1" i="41"/>
  <c r="BR2" i="41"/>
  <c r="E443" i="16" l="1"/>
  <c r="E441" i="16"/>
  <c r="E442" i="16"/>
  <c r="I427" i="16"/>
  <c r="D441" i="16"/>
  <c r="D442" i="16"/>
  <c r="D443" i="16"/>
  <c r="BW1" i="41"/>
  <c r="BV2" i="41"/>
  <c r="C11" i="44" l="1"/>
  <c r="B12" i="44"/>
  <c r="B13" i="44" s="1"/>
  <c r="A6" i="44"/>
  <c r="A4" i="44"/>
  <c r="T37" i="16"/>
  <c r="S37" i="16"/>
  <c r="R37" i="16"/>
  <c r="B14" i="44" l="1"/>
  <c r="C13" i="44"/>
  <c r="R39" i="16"/>
  <c r="R38" i="16"/>
  <c r="C12" i="44"/>
  <c r="R41" i="16"/>
  <c r="R42" i="16"/>
  <c r="T41" i="16"/>
  <c r="T42" i="16"/>
  <c r="T38" i="16"/>
  <c r="S42" i="16"/>
  <c r="S38" i="16"/>
  <c r="S41" i="16"/>
  <c r="T81" i="16"/>
  <c r="C14" i="44" l="1"/>
  <c r="B15" i="44"/>
  <c r="S43" i="16"/>
  <c r="F46" i="16" s="1"/>
  <c r="S71" i="16"/>
  <c r="S69" i="16"/>
  <c r="S67" i="16"/>
  <c r="S65" i="16"/>
  <c r="S70" i="16"/>
  <c r="S68" i="16"/>
  <c r="S66" i="16"/>
  <c r="T86" i="16"/>
  <c r="T82" i="16"/>
  <c r="T85" i="16"/>
  <c r="T70" i="16"/>
  <c r="T68" i="16"/>
  <c r="T66" i="16"/>
  <c r="T71" i="16"/>
  <c r="T69" i="16"/>
  <c r="T67" i="16"/>
  <c r="T65" i="16"/>
  <c r="R70" i="16"/>
  <c r="R68" i="16"/>
  <c r="R66" i="16"/>
  <c r="R71" i="16"/>
  <c r="R69" i="16"/>
  <c r="R67" i="16"/>
  <c r="R65" i="16"/>
  <c r="T43" i="16"/>
  <c r="F47" i="16" s="1"/>
  <c r="G47" i="16" s="1"/>
  <c r="K57" i="16" s="1"/>
  <c r="R43" i="16"/>
  <c r="F45" i="16" s="1"/>
  <c r="K44" i="16" s="1"/>
  <c r="S81" i="16"/>
  <c r="C15" i="44" l="1"/>
  <c r="B16" i="44"/>
  <c r="S56" i="16"/>
  <c r="T56" i="16"/>
  <c r="R56" i="16"/>
  <c r="S85" i="16"/>
  <c r="S86" i="16"/>
  <c r="S82" i="16"/>
  <c r="T109" i="16"/>
  <c r="S109" i="16"/>
  <c r="U43" i="16"/>
  <c r="G46" i="16" s="1"/>
  <c r="C16" i="44" l="1"/>
  <c r="B17" i="44"/>
  <c r="C17" i="44" s="1"/>
  <c r="U56" i="16"/>
  <c r="G45" i="16"/>
  <c r="G48" i="16" s="1"/>
  <c r="S87" i="16"/>
  <c r="F90" i="16" s="1"/>
  <c r="G90" i="16" s="1"/>
  <c r="T113" i="16"/>
  <c r="T110" i="16"/>
  <c r="T111" i="16"/>
  <c r="S111" i="16"/>
  <c r="S110" i="16"/>
  <c r="S113" i="16"/>
  <c r="T136" i="16"/>
  <c r="S136" i="16"/>
  <c r="S72" i="16"/>
  <c r="T87" i="16"/>
  <c r="T72" i="16"/>
  <c r="F91" i="16" l="1"/>
  <c r="G91" i="16" s="1"/>
  <c r="T100" i="16"/>
  <c r="S100" i="16"/>
  <c r="R72" i="16"/>
  <c r="S140" i="16"/>
  <c r="S137" i="16"/>
  <c r="T137" i="16"/>
  <c r="T140" i="16"/>
  <c r="T148" i="16"/>
  <c r="S148" i="16"/>
  <c r="T114" i="16"/>
  <c r="F118" i="16" s="1"/>
  <c r="G118" i="16" s="1"/>
  <c r="T127" i="16" l="1"/>
  <c r="U72" i="16"/>
  <c r="S150" i="16"/>
  <c r="S149" i="16"/>
  <c r="S152" i="16"/>
  <c r="T152" i="16"/>
  <c r="T149" i="16"/>
  <c r="T150" i="16"/>
  <c r="S175" i="16"/>
  <c r="T175" i="16"/>
  <c r="T141" i="16"/>
  <c r="F145" i="16" s="1"/>
  <c r="S141" i="16"/>
  <c r="F144" i="16" s="1"/>
  <c r="S114" i="16"/>
  <c r="F117" i="16" l="1"/>
  <c r="G117" i="16" s="1"/>
  <c r="S127" i="16"/>
  <c r="T176" i="16"/>
  <c r="T177" i="16"/>
  <c r="S177" i="16"/>
  <c r="S178" i="16" s="1"/>
  <c r="S176" i="16"/>
  <c r="T153" i="16"/>
  <c r="F157" i="16" s="1"/>
  <c r="G157" i="16" s="1"/>
  <c r="K167" i="16" s="1"/>
  <c r="S153" i="16"/>
  <c r="F156" i="16" s="1"/>
  <c r="T200" i="16"/>
  <c r="S200" i="16"/>
  <c r="T178" i="16" l="1"/>
  <c r="S166" i="16"/>
  <c r="T166" i="16"/>
  <c r="G78" i="16"/>
  <c r="K73" i="16" s="1"/>
  <c r="T209" i="16"/>
  <c r="T207" i="16"/>
  <c r="T205" i="16"/>
  <c r="T203" i="16"/>
  <c r="T201" i="16"/>
  <c r="T210" i="16"/>
  <c r="T206" i="16"/>
  <c r="T202" i="16"/>
  <c r="T208" i="16"/>
  <c r="T204" i="16"/>
  <c r="S210" i="16"/>
  <c r="S208" i="16"/>
  <c r="S206" i="16"/>
  <c r="S204" i="16"/>
  <c r="S202" i="16"/>
  <c r="S209" i="16"/>
  <c r="S205" i="16"/>
  <c r="S201" i="16"/>
  <c r="S207" i="16"/>
  <c r="S203" i="16"/>
  <c r="S233" i="16"/>
  <c r="T233" i="16"/>
  <c r="F182" i="16"/>
  <c r="G182" i="16" s="1"/>
  <c r="K192" i="16" s="1"/>
  <c r="F181" i="16"/>
  <c r="G181" i="16" s="1"/>
  <c r="S191" i="16" l="1"/>
  <c r="T191" i="16"/>
  <c r="S243" i="16"/>
  <c r="S241" i="16"/>
  <c r="S239" i="16"/>
  <c r="S237" i="16"/>
  <c r="S235" i="16"/>
  <c r="S240" i="16"/>
  <c r="S236" i="16"/>
  <c r="S242" i="16"/>
  <c r="S238" i="16"/>
  <c r="S234" i="16"/>
  <c r="T242" i="16"/>
  <c r="T240" i="16"/>
  <c r="T238" i="16"/>
  <c r="T236" i="16"/>
  <c r="T234" i="16"/>
  <c r="T241" i="16"/>
  <c r="T237" i="16"/>
  <c r="T243" i="16"/>
  <c r="T239" i="16"/>
  <c r="T235" i="16"/>
  <c r="T211" i="16"/>
  <c r="F215" i="16" s="1"/>
  <c r="G215" i="16" s="1"/>
  <c r="K225" i="16" s="1"/>
  <c r="T266" i="16"/>
  <c r="S266" i="16"/>
  <c r="S211" i="16"/>
  <c r="F214" i="16" s="1"/>
  <c r="G214" i="16" s="1"/>
  <c r="T224" i="16" l="1"/>
  <c r="S224" i="16"/>
  <c r="S276" i="16"/>
  <c r="S274" i="16"/>
  <c r="S272" i="16"/>
  <c r="S270" i="16"/>
  <c r="S268" i="16"/>
  <c r="S275" i="16"/>
  <c r="S271" i="16"/>
  <c r="S267" i="16"/>
  <c r="S273" i="16"/>
  <c r="S269" i="16"/>
  <c r="T275" i="16"/>
  <c r="T273" i="16"/>
  <c r="T271" i="16"/>
  <c r="T269" i="16"/>
  <c r="T267" i="16"/>
  <c r="T276" i="16"/>
  <c r="T272" i="16"/>
  <c r="T268" i="16"/>
  <c r="T274" i="16"/>
  <c r="T270" i="16"/>
  <c r="T284" i="16"/>
  <c r="S284" i="16"/>
  <c r="T244" i="16"/>
  <c r="F248" i="16" s="1"/>
  <c r="G248" i="16" s="1"/>
  <c r="K258" i="16" s="1"/>
  <c r="S244" i="16"/>
  <c r="F247" i="16" s="1"/>
  <c r="G247" i="16" s="1"/>
  <c r="T257" i="16" l="1"/>
  <c r="S257" i="16"/>
  <c r="T293" i="16"/>
  <c r="T291" i="16"/>
  <c r="T289" i="16"/>
  <c r="T287" i="16"/>
  <c r="T285" i="16"/>
  <c r="T292" i="16"/>
  <c r="T288" i="16"/>
  <c r="T294" i="16"/>
  <c r="T290" i="16"/>
  <c r="T286" i="16"/>
  <c r="S294" i="16"/>
  <c r="S292" i="16"/>
  <c r="S290" i="16"/>
  <c r="S288" i="16"/>
  <c r="S286" i="16"/>
  <c r="S291" i="16"/>
  <c r="S287" i="16"/>
  <c r="S293" i="16"/>
  <c r="S289" i="16"/>
  <c r="S285" i="16"/>
  <c r="S277" i="16"/>
  <c r="F280" i="16" s="1"/>
  <c r="G280" i="16" s="1"/>
  <c r="T277" i="16"/>
  <c r="F281" i="16" s="1"/>
  <c r="G281" i="16" s="1"/>
  <c r="T302" i="16"/>
  <c r="S302" i="16"/>
  <c r="T311" i="16" l="1"/>
  <c r="T309" i="16"/>
  <c r="T307" i="16"/>
  <c r="T305" i="16"/>
  <c r="T303" i="16"/>
  <c r="T312" i="16"/>
  <c r="T308" i="16"/>
  <c r="T304" i="16"/>
  <c r="T310" i="16"/>
  <c r="T306" i="16"/>
  <c r="S312" i="16"/>
  <c r="S310" i="16"/>
  <c r="S308" i="16"/>
  <c r="S306" i="16"/>
  <c r="S304" i="16"/>
  <c r="S311" i="16"/>
  <c r="S307" i="16"/>
  <c r="S303" i="16"/>
  <c r="S309" i="16"/>
  <c r="S305" i="16"/>
  <c r="T320" i="16"/>
  <c r="S320" i="16"/>
  <c r="T295" i="16"/>
  <c r="F299" i="16" s="1"/>
  <c r="G299" i="16" s="1"/>
  <c r="S295" i="16"/>
  <c r="F298" i="16" s="1"/>
  <c r="G298" i="16" s="1"/>
  <c r="T313" i="16" l="1"/>
  <c r="F317" i="16" s="1"/>
  <c r="G317" i="16" s="1"/>
  <c r="T338" i="16"/>
  <c r="S338" i="16"/>
  <c r="S313" i="16"/>
  <c r="F316" i="16" s="1"/>
  <c r="G316" i="16" s="1"/>
  <c r="S348" i="16" l="1"/>
  <c r="S346" i="16"/>
  <c r="S344" i="16"/>
  <c r="S342" i="16"/>
  <c r="S340" i="16"/>
  <c r="S347" i="16"/>
  <c r="S343" i="16"/>
  <c r="S339" i="16"/>
  <c r="S345" i="16"/>
  <c r="S341" i="16"/>
  <c r="T347" i="16"/>
  <c r="T345" i="16"/>
  <c r="T343" i="16"/>
  <c r="T341" i="16"/>
  <c r="T339" i="16"/>
  <c r="T348" i="16"/>
  <c r="T344" i="16"/>
  <c r="T340" i="16"/>
  <c r="T346" i="16"/>
  <c r="T342" i="16"/>
  <c r="T356" i="16"/>
  <c r="R356" i="16"/>
  <c r="S356" i="16"/>
  <c r="S366" i="16" l="1"/>
  <c r="S364" i="16"/>
  <c r="S362" i="16"/>
  <c r="S360" i="16"/>
  <c r="S358" i="16"/>
  <c r="S363" i="16"/>
  <c r="S359" i="16"/>
  <c r="S365" i="16"/>
  <c r="S361" i="16"/>
  <c r="S357" i="16"/>
  <c r="T365" i="16"/>
  <c r="T363" i="16"/>
  <c r="T361" i="16"/>
  <c r="T359" i="16"/>
  <c r="T357" i="16"/>
  <c r="T364" i="16"/>
  <c r="T360" i="16"/>
  <c r="T366" i="16"/>
  <c r="T362" i="16"/>
  <c r="T358" i="16"/>
  <c r="R365" i="16"/>
  <c r="R363" i="16"/>
  <c r="R361" i="16"/>
  <c r="R359" i="16"/>
  <c r="R357" i="16"/>
  <c r="R366" i="16"/>
  <c r="R362" i="16"/>
  <c r="R358" i="16"/>
  <c r="R364" i="16"/>
  <c r="R360" i="16"/>
  <c r="T374" i="16"/>
  <c r="S374" i="16"/>
  <c r="R374" i="16"/>
  <c r="S349" i="16"/>
  <c r="F352" i="16" s="1"/>
  <c r="G352" i="16" s="1"/>
  <c r="T349" i="16"/>
  <c r="F353" i="16" s="1"/>
  <c r="G353" i="16" s="1"/>
  <c r="R302" i="16"/>
  <c r="R284" i="16"/>
  <c r="R266" i="16"/>
  <c r="R233" i="16"/>
  <c r="R200" i="16"/>
  <c r="R209" i="16" l="1"/>
  <c r="R207" i="16"/>
  <c r="R205" i="16"/>
  <c r="R203" i="16"/>
  <c r="R201" i="16"/>
  <c r="R208" i="16"/>
  <c r="R204" i="16"/>
  <c r="R210" i="16"/>
  <c r="R206" i="16"/>
  <c r="R202" i="16"/>
  <c r="R275" i="16"/>
  <c r="R273" i="16"/>
  <c r="R271" i="16"/>
  <c r="R269" i="16"/>
  <c r="R267" i="16"/>
  <c r="R274" i="16"/>
  <c r="R270" i="16"/>
  <c r="R276" i="16"/>
  <c r="R272" i="16"/>
  <c r="R268" i="16"/>
  <c r="R311" i="16"/>
  <c r="R309" i="16"/>
  <c r="R307" i="16"/>
  <c r="R305" i="16"/>
  <c r="R303" i="16"/>
  <c r="R310" i="16"/>
  <c r="R306" i="16"/>
  <c r="R312" i="16"/>
  <c r="R308" i="16"/>
  <c r="R304" i="16"/>
  <c r="R383" i="16"/>
  <c r="R381" i="16"/>
  <c r="R379" i="16"/>
  <c r="R377" i="16"/>
  <c r="R375" i="16"/>
  <c r="R382" i="16"/>
  <c r="R378" i="16"/>
  <c r="R384" i="16"/>
  <c r="R380" i="16"/>
  <c r="R376" i="16"/>
  <c r="T383" i="16"/>
  <c r="T381" i="16"/>
  <c r="T379" i="16"/>
  <c r="T377" i="16"/>
  <c r="T375" i="16"/>
  <c r="T384" i="16"/>
  <c r="T380" i="16"/>
  <c r="T376" i="16"/>
  <c r="T382" i="16"/>
  <c r="T378" i="16"/>
  <c r="R242" i="16"/>
  <c r="R240" i="16"/>
  <c r="R238" i="16"/>
  <c r="R236" i="16"/>
  <c r="R234" i="16"/>
  <c r="R243" i="16"/>
  <c r="R239" i="16"/>
  <c r="R235" i="16"/>
  <c r="R241" i="16"/>
  <c r="R237" i="16"/>
  <c r="R293" i="16"/>
  <c r="R291" i="16"/>
  <c r="R289" i="16"/>
  <c r="R287" i="16"/>
  <c r="R285" i="16"/>
  <c r="R294" i="16"/>
  <c r="R290" i="16"/>
  <c r="R286" i="16"/>
  <c r="R292" i="16"/>
  <c r="R288" i="16"/>
  <c r="S384" i="16"/>
  <c r="S382" i="16"/>
  <c r="S380" i="16"/>
  <c r="S378" i="16"/>
  <c r="S376" i="16"/>
  <c r="S383" i="16"/>
  <c r="S379" i="16"/>
  <c r="S375" i="16"/>
  <c r="S381" i="16"/>
  <c r="S377" i="16"/>
  <c r="S367" i="16"/>
  <c r="F370" i="16" s="1"/>
  <c r="G370" i="16" s="1"/>
  <c r="R367" i="16"/>
  <c r="F369" i="16" s="1"/>
  <c r="G369" i="16" s="1"/>
  <c r="T392" i="16"/>
  <c r="S392" i="16"/>
  <c r="R392" i="16"/>
  <c r="T367" i="16"/>
  <c r="F371" i="16" s="1"/>
  <c r="G371" i="16" s="1"/>
  <c r="R320" i="16"/>
  <c r="R338" i="16"/>
  <c r="AX2" i="41" l="1"/>
  <c r="R401" i="16"/>
  <c r="R399" i="16"/>
  <c r="R397" i="16"/>
  <c r="R395" i="16"/>
  <c r="R393" i="16"/>
  <c r="R402" i="16"/>
  <c r="R398" i="16"/>
  <c r="R394" i="16"/>
  <c r="R400" i="16"/>
  <c r="R396" i="16"/>
  <c r="T401" i="16"/>
  <c r="T399" i="16"/>
  <c r="T397" i="16"/>
  <c r="T395" i="16"/>
  <c r="T393" i="16"/>
  <c r="T400" i="16"/>
  <c r="T396" i="16"/>
  <c r="T402" i="16"/>
  <c r="T398" i="16"/>
  <c r="T394" i="16"/>
  <c r="R347" i="16"/>
  <c r="R345" i="16"/>
  <c r="R343" i="16"/>
  <c r="R341" i="16"/>
  <c r="R339" i="16"/>
  <c r="R346" i="16"/>
  <c r="R342" i="16"/>
  <c r="R348" i="16"/>
  <c r="R344" i="16"/>
  <c r="R340" i="16"/>
  <c r="S330" i="16"/>
  <c r="T329" i="16"/>
  <c r="R329" i="16"/>
  <c r="S328" i="16"/>
  <c r="T327" i="16"/>
  <c r="R327" i="16"/>
  <c r="S326" i="16"/>
  <c r="T325" i="16"/>
  <c r="R325" i="16"/>
  <c r="S324" i="16"/>
  <c r="T323" i="16"/>
  <c r="R323" i="16"/>
  <c r="S322" i="16"/>
  <c r="T321" i="16"/>
  <c r="R321" i="16"/>
  <c r="R330" i="16"/>
  <c r="T328" i="16"/>
  <c r="S327" i="16"/>
  <c r="R326" i="16"/>
  <c r="T324" i="16"/>
  <c r="S323" i="16"/>
  <c r="R322" i="16"/>
  <c r="T330" i="16"/>
  <c r="S329" i="16"/>
  <c r="R328" i="16"/>
  <c r="T326" i="16"/>
  <c r="S325" i="16"/>
  <c r="R324" i="16"/>
  <c r="T322" i="16"/>
  <c r="S321" i="16"/>
  <c r="S402" i="16"/>
  <c r="S400" i="16"/>
  <c r="S398" i="16"/>
  <c r="S396" i="16"/>
  <c r="S394" i="16"/>
  <c r="S399" i="16"/>
  <c r="S395" i="16"/>
  <c r="S401" i="16"/>
  <c r="S397" i="16"/>
  <c r="S393" i="16"/>
  <c r="G372" i="16"/>
  <c r="T410" i="16"/>
  <c r="R410" i="16"/>
  <c r="S410" i="16"/>
  <c r="U367" i="16"/>
  <c r="S385" i="16"/>
  <c r="F388" i="16" s="1"/>
  <c r="G388" i="16" s="1"/>
  <c r="R385" i="16"/>
  <c r="F387" i="16" s="1"/>
  <c r="G387" i="16" s="1"/>
  <c r="T385" i="16"/>
  <c r="F389" i="16" s="1"/>
  <c r="G389" i="16" s="1"/>
  <c r="R313" i="16"/>
  <c r="F315" i="16" s="1"/>
  <c r="R211" i="16"/>
  <c r="F213" i="16" s="1"/>
  <c r="G213" i="16" s="1"/>
  <c r="R244" i="16"/>
  <c r="F246" i="16" s="1"/>
  <c r="G246" i="16" s="1"/>
  <c r="R277" i="16"/>
  <c r="F279" i="16" s="1"/>
  <c r="G279" i="16" s="1"/>
  <c r="R295" i="16"/>
  <c r="F297" i="16" s="1"/>
  <c r="G297" i="16" s="1"/>
  <c r="R257" i="16" l="1"/>
  <c r="U257" i="16" s="1"/>
  <c r="R224" i="16"/>
  <c r="U224" i="16" s="1"/>
  <c r="G282" i="16"/>
  <c r="G216" i="16"/>
  <c r="G300" i="16"/>
  <c r="G249" i="16"/>
  <c r="G315" i="16"/>
  <c r="G318" i="16" s="1"/>
  <c r="G390" i="16"/>
  <c r="R419" i="16"/>
  <c r="R417" i="16"/>
  <c r="R415" i="16"/>
  <c r="R413" i="16"/>
  <c r="R411" i="16"/>
  <c r="R418" i="16"/>
  <c r="R414" i="16"/>
  <c r="R420" i="16"/>
  <c r="R416" i="16"/>
  <c r="R412" i="16"/>
  <c r="S420" i="16"/>
  <c r="S418" i="16"/>
  <c r="S416" i="16"/>
  <c r="S414" i="16"/>
  <c r="S412" i="16"/>
  <c r="S419" i="16"/>
  <c r="S415" i="16"/>
  <c r="S411" i="16"/>
  <c r="S417" i="16"/>
  <c r="S413" i="16"/>
  <c r="T419" i="16"/>
  <c r="T417" i="16"/>
  <c r="T415" i="16"/>
  <c r="T413" i="16"/>
  <c r="T411" i="16"/>
  <c r="T420" i="16"/>
  <c r="T416" i="16"/>
  <c r="T412" i="16"/>
  <c r="T418" i="16"/>
  <c r="T414" i="16"/>
  <c r="S331" i="16"/>
  <c r="F334" i="16" s="1"/>
  <c r="G334" i="16" s="1"/>
  <c r="T331" i="16"/>
  <c r="F335" i="16" s="1"/>
  <c r="G335" i="16" s="1"/>
  <c r="S403" i="16"/>
  <c r="F406" i="16" s="1"/>
  <c r="G406" i="16" s="1"/>
  <c r="U385" i="16"/>
  <c r="T403" i="16"/>
  <c r="F407" i="16" s="1"/>
  <c r="G407" i="16" s="1"/>
  <c r="R403" i="16"/>
  <c r="F405" i="16" s="1"/>
  <c r="G405" i="16" s="1"/>
  <c r="T428" i="16"/>
  <c r="R428" i="16"/>
  <c r="S428" i="16"/>
  <c r="U211" i="16"/>
  <c r="U313" i="16"/>
  <c r="R331" i="16"/>
  <c r="F333" i="16" s="1"/>
  <c r="G333" i="16" s="1"/>
  <c r="U295" i="16"/>
  <c r="U277" i="16"/>
  <c r="U244" i="16"/>
  <c r="R349" i="16"/>
  <c r="F351" i="16" s="1"/>
  <c r="G351" i="16" s="1"/>
  <c r="G354" i="16" l="1"/>
  <c r="G336" i="16"/>
  <c r="G408" i="16"/>
  <c r="R437" i="16"/>
  <c r="R435" i="16"/>
  <c r="R433" i="16"/>
  <c r="R431" i="16"/>
  <c r="R429" i="16"/>
  <c r="R438" i="16"/>
  <c r="R434" i="16"/>
  <c r="R430" i="16"/>
  <c r="R436" i="16"/>
  <c r="R432" i="16"/>
  <c r="S438" i="16"/>
  <c r="S436" i="16"/>
  <c r="S434" i="16"/>
  <c r="S432" i="16"/>
  <c r="S430" i="16"/>
  <c r="S435" i="16"/>
  <c r="S431" i="16"/>
  <c r="S437" i="16"/>
  <c r="S433" i="16"/>
  <c r="S429" i="16"/>
  <c r="T437" i="16"/>
  <c r="T435" i="16"/>
  <c r="T433" i="16"/>
  <c r="T431" i="16"/>
  <c r="T429" i="16"/>
  <c r="T436" i="16"/>
  <c r="T432" i="16"/>
  <c r="T438" i="16"/>
  <c r="T434" i="16"/>
  <c r="T430" i="16"/>
  <c r="S421" i="16"/>
  <c r="F424" i="16" s="1"/>
  <c r="G424" i="16" s="1"/>
  <c r="R421" i="16"/>
  <c r="F423" i="16" s="1"/>
  <c r="G423" i="16" s="1"/>
  <c r="U403" i="16"/>
  <c r="T421" i="16"/>
  <c r="F425" i="16" s="1"/>
  <c r="G425" i="16" s="1"/>
  <c r="U331" i="16"/>
  <c r="U349" i="16"/>
  <c r="R175" i="16"/>
  <c r="R177" i="16" s="1"/>
  <c r="R148" i="16"/>
  <c r="R136" i="16"/>
  <c r="R109" i="16"/>
  <c r="R81" i="16"/>
  <c r="R113" i="16" l="1"/>
  <c r="R110" i="16"/>
  <c r="R111" i="16"/>
  <c r="R152" i="16"/>
  <c r="R149" i="16"/>
  <c r="R150" i="16"/>
  <c r="R86" i="16"/>
  <c r="R82" i="16"/>
  <c r="R85" i="16"/>
  <c r="R137" i="16"/>
  <c r="R140" i="16"/>
  <c r="R176" i="16"/>
  <c r="R178" i="16" s="1"/>
  <c r="U178" i="16" s="1"/>
  <c r="G426" i="16"/>
  <c r="U421" i="16"/>
  <c r="S439" i="16"/>
  <c r="F442" i="16" s="1"/>
  <c r="G442" i="16" s="1"/>
  <c r="T439" i="16"/>
  <c r="F443" i="16" s="1"/>
  <c r="G443" i="16" s="1"/>
  <c r="R439" i="16"/>
  <c r="F441" i="16" s="1"/>
  <c r="G441" i="16" s="1"/>
  <c r="G444" i="16" l="1"/>
  <c r="U439" i="16"/>
  <c r="R114" i="16"/>
  <c r="F116" i="16" s="1"/>
  <c r="F180" i="16"/>
  <c r="R87" i="16"/>
  <c r="F89" i="16" s="1"/>
  <c r="R153" i="16"/>
  <c r="F155" i="16" s="1"/>
  <c r="R141" i="16"/>
  <c r="F143" i="16" s="1"/>
  <c r="R191" i="16" l="1"/>
  <c r="U191" i="16" s="1"/>
  <c r="R166" i="16"/>
  <c r="U166" i="16" s="1"/>
  <c r="R127" i="16"/>
  <c r="U127" i="16" s="1"/>
  <c r="R100" i="16"/>
  <c r="U100" i="16" s="1"/>
  <c r="G89" i="16"/>
  <c r="U141" i="16"/>
  <c r="U153" i="16"/>
  <c r="G156" i="16" s="1"/>
  <c r="U87" i="16"/>
  <c r="G180" i="16"/>
  <c r="G183" i="16" s="1"/>
  <c r="K179" i="16" s="1"/>
  <c r="U114" i="16"/>
  <c r="G116" i="16" s="1"/>
  <c r="G133" i="16" l="1"/>
  <c r="K128" i="16" s="1"/>
  <c r="G119" i="16"/>
  <c r="K115" i="16" s="1"/>
  <c r="G155" i="16"/>
  <c r="G92" i="16"/>
  <c r="K88" i="16" s="1"/>
  <c r="G106" i="16"/>
  <c r="K101" i="16" s="1"/>
  <c r="G144" i="16"/>
  <c r="G145" i="16"/>
  <c r="G143" i="16"/>
  <c r="T15" i="16"/>
  <c r="T28" i="16" s="1"/>
  <c r="R15" i="16"/>
  <c r="S15" i="16"/>
  <c r="K212" i="16"/>
  <c r="K368" i="16"/>
  <c r="K245" i="16"/>
  <c r="K278" i="16"/>
  <c r="K386" i="16"/>
  <c r="K296" i="16"/>
  <c r="K314" i="16"/>
  <c r="K332" i="16"/>
  <c r="K350" i="16"/>
  <c r="K404" i="16"/>
  <c r="K422" i="16"/>
  <c r="K440" i="16"/>
  <c r="H6" i="16"/>
  <c r="M3" i="1"/>
  <c r="M2" i="1"/>
  <c r="A2" i="16"/>
  <c r="A1" i="16"/>
  <c r="K154" i="16" l="1"/>
  <c r="F17" i="16"/>
  <c r="R28" i="16"/>
  <c r="U28" i="16" s="1"/>
  <c r="F18" i="16"/>
  <c r="G18" i="16" s="1"/>
  <c r="S28" i="16"/>
  <c r="V9" i="16"/>
  <c r="V10" i="16" s="1"/>
  <c r="W9" i="16"/>
  <c r="W10" i="16" s="1"/>
  <c r="F19" i="16"/>
  <c r="Y9" i="16"/>
  <c r="Y10" i="16" s="1"/>
  <c r="X9" i="16"/>
  <c r="X10" i="16" s="1"/>
  <c r="U15" i="16"/>
  <c r="G17" i="16" l="1"/>
  <c r="K16" i="16" s="1"/>
  <c r="K32" i="16"/>
  <c r="K31" i="16"/>
  <c r="K263" i="16"/>
  <c r="K34" i="16"/>
  <c r="K103" i="16"/>
  <c r="K262" i="16"/>
  <c r="K260" i="16"/>
  <c r="K261" i="16"/>
  <c r="K229" i="16"/>
  <c r="K197" i="16"/>
  <c r="K230" i="16"/>
  <c r="K228" i="16"/>
  <c r="K194" i="16"/>
  <c r="K227" i="16"/>
  <c r="K196" i="16"/>
  <c r="K195" i="16"/>
  <c r="K133" i="16"/>
  <c r="K172" i="16"/>
  <c r="K170" i="16"/>
  <c r="K132" i="16"/>
  <c r="K171" i="16"/>
  <c r="K169" i="16"/>
  <c r="K131" i="16"/>
  <c r="K130" i="16"/>
  <c r="K105" i="16"/>
  <c r="K104" i="16"/>
  <c r="K78" i="16"/>
  <c r="K106" i="16"/>
  <c r="K76" i="16"/>
  <c r="K77" i="16"/>
  <c r="K75" i="16"/>
  <c r="K62" i="16"/>
  <c r="K60" i="16"/>
  <c r="K59" i="16"/>
  <c r="K61" i="16"/>
  <c r="G19" i="16"/>
  <c r="K29" i="16" s="1"/>
  <c r="K33" i="16" s="1"/>
  <c r="G20" i="16" l="1"/>
</calcChain>
</file>

<file path=xl/sharedStrings.xml><?xml version="1.0" encoding="utf-8"?>
<sst xmlns="http://schemas.openxmlformats.org/spreadsheetml/2006/main" count="984" uniqueCount="250">
  <si>
    <t>Integrante 1</t>
  </si>
  <si>
    <t>Integrante 2</t>
  </si>
  <si>
    <t>DOCUMENTO</t>
  </si>
  <si>
    <t xml:space="preserve">SI </t>
  </si>
  <si>
    <t>NO</t>
  </si>
  <si>
    <t>Folio</t>
  </si>
  <si>
    <t>No.</t>
  </si>
  <si>
    <t>REPRESENTANTE LEGAL</t>
  </si>
  <si>
    <t>SMMLV</t>
  </si>
  <si>
    <t>INTEGRANTE 3</t>
  </si>
  <si>
    <t>% Int. 1</t>
  </si>
  <si>
    <t>% Int. 2</t>
  </si>
  <si>
    <t>% Int. 3</t>
  </si>
  <si>
    <t>AÑO</t>
  </si>
  <si>
    <t xml:space="preserve">Direccion </t>
  </si>
  <si>
    <t xml:space="preserve">Email </t>
  </si>
  <si>
    <t xml:space="preserve">Ciudad </t>
  </si>
  <si>
    <t>Objeto T:</t>
  </si>
  <si>
    <t>Presupuesto:</t>
  </si>
  <si>
    <t xml:space="preserve"> </t>
  </si>
  <si>
    <t>Póliza de G. Y C. Crédito Req:</t>
  </si>
  <si>
    <t>USD</t>
  </si>
  <si>
    <t>Cronograma:</t>
  </si>
  <si>
    <t>Cierre del término para presentar propuestas:</t>
  </si>
  <si>
    <t># Contratos</t>
  </si>
  <si>
    <t>Fecha Lím. Fin. Cont.</t>
  </si>
  <si>
    <t>Valor Sumatoria Contratos SMMLV</t>
  </si>
  <si>
    <t>Propietario o Entidad Contratante</t>
  </si>
  <si>
    <t>Objeto</t>
  </si>
  <si>
    <t>Fecha Finalización</t>
  </si>
  <si>
    <t>Valor Contrato us$</t>
  </si>
  <si>
    <t>TRM
(Si aplica)</t>
  </si>
  <si>
    <t>Valor Contrato</t>
  </si>
  <si>
    <t>SMMLV para Cálculo</t>
  </si>
  <si>
    <t>Valor Contrato en SMMLV</t>
  </si>
  <si>
    <t>Observaciones</t>
  </si>
  <si>
    <t>Contratista</t>
  </si>
  <si>
    <t>OBSERVACIONES</t>
  </si>
  <si>
    <t>Póliza de G. Y C. Crédito Req Grupo Unico</t>
  </si>
  <si>
    <t>PRESUPUESTO</t>
  </si>
  <si>
    <t>NIT</t>
  </si>
  <si>
    <t>CEDULA</t>
  </si>
  <si>
    <t>NIT O CEDULA DE CIUDADANIA</t>
  </si>
  <si>
    <t>INTEGRANTES DEL CONSORCIO O DE LA UNION TEMPORAL</t>
  </si>
  <si>
    <t>Socios Integrante 1</t>
  </si>
  <si>
    <t>Socios Integrante 2</t>
  </si>
  <si>
    <t>Socios Integrante 3</t>
  </si>
  <si>
    <t>Socio 1</t>
  </si>
  <si>
    <t>Socio 2</t>
  </si>
  <si>
    <t>Socio 3</t>
  </si>
  <si>
    <t>Socio 4</t>
  </si>
  <si>
    <t>Socio 5</t>
  </si>
  <si>
    <t>Socio 6</t>
  </si>
  <si>
    <t>Nombre</t>
  </si>
  <si>
    <t>C. de Ciudadania</t>
  </si>
  <si>
    <t>NOMBRE COMPLETO</t>
  </si>
  <si>
    <t>REQUISITOS HABILITANTES</t>
  </si>
  <si>
    <t>TOTAL</t>
  </si>
  <si>
    <t>Informe de Solicitud de Aclaraciones</t>
  </si>
  <si>
    <t>Plazo para Subsanar</t>
  </si>
  <si>
    <t>Informe de Verificación de Requisitos Habilitantes</t>
  </si>
  <si>
    <t>Plazo para Observaciones</t>
  </si>
  <si>
    <t>Respuesta a Observaciones</t>
  </si>
  <si>
    <t>Audiencia</t>
  </si>
  <si>
    <t>Publicacion Observaciones</t>
  </si>
  <si>
    <t>NO CUMPLE</t>
  </si>
  <si>
    <t>% Part Ejecuc</t>
  </si>
  <si>
    <t>CUMPLE</t>
  </si>
  <si>
    <t>Fecha 1 mes antes de cierre para control Certificado Existencia y Póliza Garantía</t>
  </si>
  <si>
    <t>I1</t>
  </si>
  <si>
    <t>I2</t>
  </si>
  <si>
    <t>I3</t>
  </si>
  <si>
    <t>No</t>
  </si>
  <si>
    <t>Fax</t>
  </si>
  <si>
    <t>Celular</t>
  </si>
  <si>
    <t xml:space="preserve">Teléfono </t>
  </si>
  <si>
    <t>Profesional de Estudios Previos</t>
  </si>
  <si>
    <t>Gerente de Convenio</t>
  </si>
  <si>
    <t>Asesor Juridico del Proceso</t>
  </si>
  <si>
    <t>(ORIGINAL FIRMADO)</t>
  </si>
  <si>
    <t>Año de evaluacion del proceso</t>
  </si>
  <si>
    <t>SMMLV del año del proceso</t>
  </si>
  <si>
    <t>Presupuesto Oficial en SMMLV</t>
  </si>
  <si>
    <t>CARLOS HECTOR CASTRO</t>
  </si>
  <si>
    <t>JHON JAIRO  ORTIZ RODRIGUEZ</t>
  </si>
  <si>
    <t>JORGE ANDRES OSORIO ORTIZ</t>
  </si>
  <si>
    <t>MONICA SANCHEZ MORENO</t>
  </si>
  <si>
    <t>OSCAR JULIAN OLEA SALGADO</t>
  </si>
  <si>
    <t>WILSON BONILLA CRISTANCHO</t>
  </si>
  <si>
    <t>PROFESIONAL DE ESTUDIOS PREVIOS</t>
  </si>
  <si>
    <t>CLAUDIA BEATRIZ NIETO</t>
  </si>
  <si>
    <t>ELSA LUCIA CRUZ RODRIGUEZ</t>
  </si>
  <si>
    <t>ASESOR JURIDICO DEL PROCESO</t>
  </si>
  <si>
    <t>CELMIRA MORENO CARRERO</t>
  </si>
  <si>
    <t>DIANA PATRICIA LOPEZ ESTUPIÑAN</t>
  </si>
  <si>
    <t>ERICK VONN CABARCAS GOMEZ</t>
  </si>
  <si>
    <t>FREDY CASTELLANOS OVIEDO</t>
  </si>
  <si>
    <t>GERMAN ALFONSO RODRIGUEZ SILVA</t>
  </si>
  <si>
    <t>HERNANDO ALFONSO GOMEZ LOPEZ</t>
  </si>
  <si>
    <t>JAIRO FIDEL ORTEGA CHAPARRO</t>
  </si>
  <si>
    <t>LUSANGELA GALINDO BERROCAL</t>
  </si>
  <si>
    <t>MARIO ERIBERTO CHACON TUNJO</t>
  </si>
  <si>
    <t>ORLANDO FABIO BARRIOS  LOZANO</t>
  </si>
  <si>
    <t>SANDRA GIOVANA SALEH FRANCO</t>
  </si>
  <si>
    <t>LUIS CARLOS ANDRADE FONSECA</t>
  </si>
  <si>
    <t>JHON  JAIRO CORREDOR CALDAS</t>
  </si>
  <si>
    <t>ALEXANDRA BAUTISTA BELTRAN</t>
  </si>
  <si>
    <t>GERMAN ANDRES URREGO SABOGAL</t>
  </si>
  <si>
    <t>IVAN ABELARDO SARMIENTO GALVIS</t>
  </si>
  <si>
    <t>JOSE RODRIGO BERMUDEZ CASTRO</t>
  </si>
  <si>
    <t>MARGARITA MARIA MUÑOZ CABRERA</t>
  </si>
  <si>
    <t>SANTIAGO PEREZ BUITRAGO</t>
  </si>
  <si>
    <t>TANIA LILIANA SANABRIA BARRERA</t>
  </si>
  <si>
    <t>JAIME ALEJANDRO DURAN FONTANILLA</t>
  </si>
  <si>
    <t>MONICA YULIETH PONGUTA ACHURY</t>
  </si>
  <si>
    <t>CAMILO ERNESTO QUIROGA MORA</t>
  </si>
  <si>
    <t>JUAN SEBASTIAN ARANGO PASTOR</t>
  </si>
  <si>
    <t xml:space="preserve">FIRMEZA DE RUP </t>
  </si>
  <si>
    <t xml:space="preserve">Pago de derechos de participación </t>
  </si>
  <si>
    <t>OFERENTE</t>
  </si>
  <si>
    <t>REQUISITOS MÍNIMOS EXIGIDOS</t>
  </si>
  <si>
    <t>Condiciones Experiencia del OFERENTE</t>
  </si>
  <si>
    <t>OFERENTE:</t>
  </si>
  <si>
    <t>NOMBRE DEL OFERENTE</t>
  </si>
  <si>
    <t xml:space="preserve">REVISAR DIEZ DIAS HABILES </t>
  </si>
  <si>
    <t xml:space="preserve">Experiencia a Acreditar  </t>
  </si>
  <si>
    <t>X</t>
  </si>
  <si>
    <t>N/A</t>
  </si>
  <si>
    <t xml:space="preserve">EXPERIENCIA ADICIONAL </t>
  </si>
  <si>
    <t>Integrante 4</t>
  </si>
  <si>
    <t>% Int. 4</t>
  </si>
  <si>
    <t>Integrante 5</t>
  </si>
  <si>
    <t>% Int. 5</t>
  </si>
  <si>
    <t>INTEGRANTE 6</t>
  </si>
  <si>
    <t>% Int. 6</t>
  </si>
  <si>
    <t>Integrante 7</t>
  </si>
  <si>
    <t>% Int. 7</t>
  </si>
  <si>
    <t>Integrante 8</t>
  </si>
  <si>
    <t>% Int. 8</t>
  </si>
  <si>
    <t>INTEGRANTE 9</t>
  </si>
  <si>
    <t>% Int. 9</t>
  </si>
  <si>
    <t xml:space="preserve">NUMERAL 6.2.1 PRIMER CRITERIO (5 PUNTOS) </t>
  </si>
  <si>
    <t>NUMERAL 6.2.1 SEGUNDO CRITERIO (10 PUNTOS)</t>
  </si>
  <si>
    <t>NUMERAL 6.2.1 TERCER CRITERIO (15 PUNTOS)</t>
  </si>
  <si>
    <t>NUMERAL 6.2.1 TERCER CRITERIO (20 PUNTOS)</t>
  </si>
  <si>
    <t>Código UNSPSC</t>
  </si>
  <si>
    <t>NO APORTÓ EXPERIENCIA ADICIONAL</t>
  </si>
  <si>
    <t xml:space="preserve">NUMERAL 6.2.1 PRIMER CRITERIO (8 PUNTOS) </t>
  </si>
  <si>
    <t>NUMERAL 6.2.1 SEGUNDO CRITERIO (15 PUNTOS)</t>
  </si>
  <si>
    <t xml:space="preserve">Entidad: </t>
  </si>
  <si>
    <t>FONDO NACIONAL DEL AHORRO</t>
  </si>
  <si>
    <t>Proceso No.</t>
  </si>
  <si>
    <t>INSCRIPCIÓN EN EL REGISTRO ÚNICO DE PROPONENTES</t>
  </si>
  <si>
    <t>Inscripción en el RUP</t>
  </si>
  <si>
    <t>HABILITADO / 
NO HABILITADO</t>
  </si>
  <si>
    <t xml:space="preserve"> 4.5.3.1. CERTIFICACIONES</t>
  </si>
  <si>
    <t xml:space="preserve">INFORME DE EVALUACIÓN Y VERIFICACIÓN DE REQUISITOS DE CARÁCTER TÉCNICO </t>
  </si>
  <si>
    <t>Como producto de la verificación de los Requisitos Técnicos, a la fecha del presente Informe el resultado es el siguiente:</t>
  </si>
  <si>
    <t>Evaluador Técnico</t>
  </si>
  <si>
    <t>TIPO DE PROCESO CD, SB. CP, CPA</t>
  </si>
  <si>
    <t xml:space="preserve">Acreditación Experiencia Especifica del Oferente Formato No. 6; </t>
  </si>
  <si>
    <t>BOGOTA</t>
  </si>
  <si>
    <t>HABILITADO</t>
  </si>
  <si>
    <t>NO HABILITADO</t>
  </si>
  <si>
    <t>ELECTRICOS.COM LTDA</t>
  </si>
  <si>
    <t>BACATA INGENIEROS LTDA</t>
  </si>
  <si>
    <t>FNA-SG-SB-007-2022</t>
  </si>
  <si>
    <t>SUMINISTRO DE MATERIAL PROMOCIONAL PUBLICITARIO INSTITUCIONAL PARA LA PROMOCIÓN, POSICIONAMIENTO, SOCIALIZACIÓN Y DIFUSIÓN DE LA MARCA FNA</t>
  </si>
  <si>
    <t>CONSORCIO LM &amp; CB</t>
  </si>
  <si>
    <t>WILLIAM HERNANDO VERA MORENO</t>
  </si>
  <si>
    <t>79.520.090</t>
  </si>
  <si>
    <t>LITTLE MONKEY BTL SAS</t>
  </si>
  <si>
    <t>COMERCIALIZADORA CAFÉ BOTERO SAS</t>
  </si>
  <si>
    <t>4.1.3.1. EXPERIENCIA ESPECIFICA
La experiencia se acreditará mediante la presentación de mínimo uno (1) y máximo cuatro (4) certificaciones de contratos terminados o ejecutados o liquidados que deberán estar registrados en el Registro Único de Proponentes donde el objeto u obligaciones contractuales contemplen alguno de los siguientes aspectos:
• Producción y/o suministro de material publicitario.
• Promoción comercial (Merchandising)
Adicionalmente que cumplan en conjunto con las siguientes condiciones:
• La sumatoria de la experiencia certificada sea igual o mayor al presupuesto oficial expresado en SMMLV. La verificación de la experiencia se realizará en SMLMV, tomando el valor del contrato al momento de la terminación y se divide por el valor del SMMLV del año correspondiente.</t>
  </si>
  <si>
    <t>MAX 4</t>
  </si>
  <si>
    <t>D&amp;M SOLUTIONS</t>
  </si>
  <si>
    <t>IMPRENTA NACIONAL</t>
  </si>
  <si>
    <t>MSM PROMOCIONALES SAS</t>
  </si>
  <si>
    <t>Suministro de Material Publicitario</t>
  </si>
  <si>
    <t>Suministro de Material Publicitario y Material Impreso</t>
  </si>
  <si>
    <t>Suministro de tapabocas Reutilizables INPEC y material promocional Impreso</t>
  </si>
  <si>
    <t>Anexa formato No. 15</t>
  </si>
  <si>
    <t>4.1.2.1. MANIFESTACIÓN DE ACEPTACIÓN DE REQUERIMIENTOS MÍNIMOS OBLIGATORIOS</t>
  </si>
  <si>
    <t>El oferente deberá manifestar mediante la suscripción por el Representante Legal del FORMATO No. 15, que entiende, acepta y cumple cada uno de los requerimientos técnicos mínimos obligatorios exigidos en el Anexo No. 1. Especificaciones Técnicas, el anexo No. 2 Análisis del sector, el Anexo No 3. Matriz de Riesgos, el Anexo No. 4 Acuerdo Niveles de Servicio y el Anexo No. 5 Estudio de Mercado, los cuales han sido dados a conocer, sin perjuicio de que en la ejecución del contrato se acuerden entre las partes requerimientos técnicos adicionales a los establecidos en el proceso de selección.</t>
  </si>
  <si>
    <t xml:space="preserve"> CUMPLE</t>
  </si>
  <si>
    <t>COMERCIALIZADORA COMSILA SAS</t>
  </si>
  <si>
    <t>900.889.064-1</t>
  </si>
  <si>
    <t>MARIA CAMILA SIERRA</t>
  </si>
  <si>
    <t>1.022.384.264</t>
  </si>
  <si>
    <t>VENTAS 577</t>
  </si>
  <si>
    <t>Diseño, Impresión, producción y entrega en los puntos asignados de kits publicitarios.</t>
  </si>
  <si>
    <t xml:space="preserve">80141600; </t>
  </si>
  <si>
    <t>4P PUBLICIDAD SAS</t>
  </si>
  <si>
    <t>NHORA APARICIO REYES</t>
  </si>
  <si>
    <t>31.170.954</t>
  </si>
  <si>
    <t>901.092.024-9</t>
  </si>
  <si>
    <t>Porvenir S.A</t>
  </si>
  <si>
    <t>Banco W</t>
  </si>
  <si>
    <t>Colmena Seguros</t>
  </si>
  <si>
    <t>Venta de bolígrafos promocionales.</t>
  </si>
  <si>
    <t>Venta de artículos promocionales.</t>
  </si>
  <si>
    <t>GN GENERACION DE NEGOCIOS SAS</t>
  </si>
  <si>
    <t>901.370.420-5</t>
  </si>
  <si>
    <t>CRISTIAN CAMILO CEDEÑO V.</t>
  </si>
  <si>
    <t>79.939.350</t>
  </si>
  <si>
    <t>Adquisicion de material publicitario institucional para promocón socializaciòn y difusiòn de la marca FNA</t>
  </si>
  <si>
    <t xml:space="preserve">ALIANNZ SEGUROS </t>
  </si>
  <si>
    <t>Presto el servicio de venta, almacenamiento y administración de promocionales por contrato.</t>
  </si>
  <si>
    <t>82101500;</t>
  </si>
  <si>
    <t>80141600; 82101500;</t>
  </si>
  <si>
    <t>ESCUELA SUPERIOR DE ADMINSIRACION PUBLICA</t>
  </si>
  <si>
    <t>Implantacion y formtalecimientio del sistema de difusión del Quehacer Misional, Oferta y Prestación de servicios en Bogotá en Bogotá y Sedes Territoriales, a traves de la elementos de difusión de la imagen institucional de la ESAP</t>
  </si>
  <si>
    <t>82101500; 80141600;</t>
  </si>
  <si>
    <t>CAR</t>
  </si>
  <si>
    <t>Adquisicion de piezas comunicativas, educativas, pedagogicas y material POP de acuerdo con las condiciones tecnicas definidas por la corporacion en el marco de los convenios 1544/2016, 1545/2016, 1546/2016 y 1592/2016</t>
  </si>
  <si>
    <t>PROMOS LTDA.</t>
  </si>
  <si>
    <t>GABRIEL FERNANDO RAMIREZ BOTERO</t>
  </si>
  <si>
    <t>830.018.350-3</t>
  </si>
  <si>
    <t>FABRICA DE LICORES DE ANTIOQUIA</t>
  </si>
  <si>
    <t>Suministro de material de promoción o publicitario (POP) - lote 5 material textil</t>
  </si>
  <si>
    <t xml:space="preserve">82101500; </t>
  </si>
  <si>
    <t>Adquisición de material publicitario institucional para promoción, socialización y difusón de la marca FNA</t>
  </si>
  <si>
    <t>CAJA PROMOTORA DE VIVIENDA MILITAR</t>
  </si>
  <si>
    <t>Adquisición de elementos promocionales para la Caja Promotora de Vivienda Militar y de Policía</t>
  </si>
  <si>
    <t>El oferente debera allegar la certificacion y/o acta de terminacion y/o acta de liquidacion del contrato aportado, con el fin de verificar la informacion del contrato.</t>
  </si>
  <si>
    <t>CITIBANK SA</t>
  </si>
  <si>
    <t>Suministro de merchandising</t>
  </si>
  <si>
    <t>80141600;</t>
  </si>
  <si>
    <t>Signal Marketing SAS</t>
  </si>
  <si>
    <t>800.226.923-6</t>
  </si>
  <si>
    <t>María Antonia Mejía Gutiérrez</t>
  </si>
  <si>
    <t>30.321.584</t>
  </si>
  <si>
    <t>MANIZALEZ</t>
  </si>
  <si>
    <t>Electrificadora de Santander SA ESP (ESSA)</t>
  </si>
  <si>
    <t>Suministro de material publicitario en apoyo al posicionamiento de la marca ESSA en los programas, proyectos, procesos y campañas de las diferentes áreas de ESSA.</t>
  </si>
  <si>
    <t>Empresa de Desarrollo Urbano (EDU)</t>
  </si>
  <si>
    <t>Suministro de souvenirs institucionales para divulgar la imagen de la entidad en los diferentes eventos</t>
  </si>
  <si>
    <t>PorkColombia</t>
  </si>
  <si>
    <t>Prestar los servicios profesionales para el suministro de material promocional, pop o merchandising (alcancías, bolígrafos, USBs, bolsas, monederos, entre otros) que apoyen y fortalezcan las actividades de las distintas áreas del Fondo Nacional de la Porcicultura y tiene como especificaciones técnicas la disponibilidad de material en bodega, contar con marcación en tampografía, láser o sublimación.</t>
  </si>
  <si>
    <t>Servicios Aéreo a Territorios Nacionales (SATENA)</t>
  </si>
  <si>
    <t>Elaboración y suministro de material P.O.P., conforme a las especificaciones técnicas solicitadas por SATENA.</t>
  </si>
  <si>
    <t>IMPRIDEAS S.A.S.</t>
  </si>
  <si>
    <t>900.305.563-1</t>
  </si>
  <si>
    <t>ALEJANDRO RESTREPO VÉLEZ</t>
  </si>
  <si>
    <t>MEDELLIN</t>
  </si>
  <si>
    <t>GRUPO ÉXITO</t>
  </si>
  <si>
    <t>PRESTAR EL SERVICIO A NIVEL NACIONAL DE DISEÑO, IMPRESIÓN, TRANSPORTE, INSTALACIÓN, DESINSTALACIÓN Y MANTENIMIENTO DE PIEZAS PUBLICITARIAS, DE GRAN FORMATO, PRODUCCIÓN LITOGRÁFICA, SEÑALIZACIÓN DE CARÁCTER INFORMATIVO Y PUBLICITARIO,
SEÑALIZACIÓN VIAL VERTICAL Y HORIZONTAL</t>
  </si>
  <si>
    <t>El oferente debera allegar la certificacion y/o acta de terminacion y/o acta de liquidacion de los contratos aportados, con el fin de verificar la informacion del contrato.
Asi mismo debe allegar el Formato No. 6 debidamente suscrito por el Representante Legal
El orferente no allego dentro del termino establecido para la subsanacion de requisitos tecnicos habilitantes los documentos solicitados en el informe prteliminar de verificacion, por lo tanto el oferente incurre en causal de rechazo No. "1. Cuando el comité evaluador haya solicitado presentar algún documento o subsanar o aclarar alguna información necesaria para el cumplimiento de los requisitos habilitantes, y el oferente no aporte, subsane o aclare lo pertinente, en los plazos y condiciones señalados por el comité evaluador."</t>
  </si>
  <si>
    <t>RECHAZADO</t>
  </si>
  <si>
    <t>Bogotá D.C., a los nueve (9) días del mes de agosto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</si>
</sst>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1" formatCode="_-* #,##0_-;\-* #,##0_-;_-*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_ &quot;$&quot;\ * #,##0_ ;_ &quot;$&quot;\ * \-#,##0_ ;_ &quot;$&quot;\ * &quot;-&quot;_ ;_ @_ "/>
    <numFmt numFmtId="169" formatCode="_ &quot;$&quot;\ * #,##0.00_ ;_ &quot;$&quot;\ * \-#,##0.00_ ;_ &quot;$&quot;\ * &quot;-&quot;??_ ;_ @_ "/>
    <numFmt numFmtId="170" formatCode="_ * #,##0.00_ ;_ * \-#,##0.00_ ;_ * &quot;-&quot;??_ ;_ @_ "/>
    <numFmt numFmtId="171" formatCode="_(&quot;$&quot;* #,##0.00_);_(&quot;$&quot;* \(#,##0.00\);_(&quot;$&quot;* &quot;-&quot;??_);_(@_)"/>
    <numFmt numFmtId="172" formatCode="_(&quot;$&quot;* #,##0_);_(&quot;$&quot;* \(#,##0\);_(&quot;$&quot;* &quot;-&quot;??_);_(@_)"/>
    <numFmt numFmtId="173" formatCode="[$-C0A]dd\-mmm\-yy;@"/>
    <numFmt numFmtId="174" formatCode="_([$€]* #,##0.00_);_([$€]* \(#,##0.00\);_([$€]* &quot;-&quot;??_);_(@_)"/>
    <numFmt numFmtId="175" formatCode="[$$-240A]\ #,##0.00_ ;\-[$$-240A]\ #,##0.00\ "/>
    <numFmt numFmtId="176" formatCode="#,##0.00_ ;\-#,##0.00\ "/>
    <numFmt numFmtId="177" formatCode="[$$-240A]\ #,##0.00"/>
    <numFmt numFmtId="178" formatCode="_-* #,##0.000\ _€_-;\-* #,##0.000\ _€_-;_-* &quot;-&quot;??\ _€_-;_-@_-"/>
    <numFmt numFmtId="179" formatCode="&quot;$&quot;\ #,##0.00"/>
    <numFmt numFmtId="180" formatCode="_ * #,##0.00_ ;_ * \-#,##0.00_ ;_ * &quot;-&quot;???_ ;_ @_ "/>
    <numFmt numFmtId="181" formatCode="_-* #,##0\ _€_-;\-* #,##0\ _€_-;_-* &quot;-&quot;??\ _€_-;_-@_-"/>
    <numFmt numFmtId="182" formatCode="_-* #,##0\ _p_t_a_-;\-* #,##0\ _p_t_a_-;_-* &quot;-&quot;\ _p_t_a_-;_-@_-"/>
    <numFmt numFmtId="183" formatCode="&quot;$&quot;\ #,##0.00;&quot;$&quot;\ \-#,##0.00"/>
    <numFmt numFmtId="184" formatCode="#,##0_ ;\-#,##0\ "/>
    <numFmt numFmtId="185" formatCode="#,###.0"/>
    <numFmt numFmtId="186" formatCode="_(&quot;$&quot;\ * #,##0_);_(&quot;$&quot;\ * \(#,##0\);_(&quot;$&quot;\ * &quot;-&quot;_);_(@_)"/>
    <numFmt numFmtId="187" formatCode="#,###.0\ &quot;COP&quot;"/>
    <numFmt numFmtId="188" formatCode="#,##0.00\ \€"/>
    <numFmt numFmtId="189" formatCode="#,###.00"/>
    <numFmt numFmtId="190" formatCode="#,###.00\ &quot;COP&quot;"/>
    <numFmt numFmtId="191" formatCode="_ * #,##0_ ;_ * \-#,##0_ ;_ * &quot;-&quot;???_ ;_ @_ "/>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name val="Arial"/>
      <family val="2"/>
    </font>
    <font>
      <sz val="11"/>
      <color theme="1"/>
      <name val="Calibri"/>
      <family val="2"/>
      <scheme val="minor"/>
    </font>
    <font>
      <sz val="8"/>
      <name val="Arial"/>
      <family val="2"/>
    </font>
    <font>
      <b/>
      <sz val="8"/>
      <name val="Arial Narrow"/>
      <family val="2"/>
    </font>
    <font>
      <sz val="8"/>
      <name val="Arial Narrow"/>
      <family val="2"/>
    </font>
    <font>
      <b/>
      <sz val="8"/>
      <color indexed="8"/>
      <name val="Arial Narrow"/>
      <family val="2"/>
    </font>
    <font>
      <sz val="10"/>
      <name val="Arial Narrow"/>
      <family val="2"/>
    </font>
    <font>
      <sz val="8"/>
      <color indexed="8"/>
      <name val="Arial Narrow"/>
      <family val="2"/>
    </font>
    <font>
      <u/>
      <sz val="8"/>
      <color indexed="12"/>
      <name val="Arial Narrow"/>
      <family val="2"/>
    </font>
    <font>
      <b/>
      <sz val="12"/>
      <name val="Arial Narrow"/>
      <family val="2"/>
    </font>
    <font>
      <sz val="12"/>
      <name val="Arial Narrow"/>
      <family val="2"/>
    </font>
    <font>
      <sz val="9"/>
      <name val="Arial Narrow"/>
      <family val="2"/>
    </font>
    <font>
      <b/>
      <sz val="9"/>
      <name val="Arial Narrow"/>
      <family val="2"/>
    </font>
    <font>
      <u/>
      <sz val="9"/>
      <name val="Arial Narrow"/>
      <family val="2"/>
    </font>
    <font>
      <sz val="9"/>
      <color indexed="10"/>
      <name val="Arial Narrow"/>
      <family val="2"/>
    </font>
    <font>
      <b/>
      <sz val="10"/>
      <name val="Arial Narrow"/>
      <family val="2"/>
    </font>
    <font>
      <sz val="8"/>
      <color theme="0"/>
      <name val="Arial Narrow"/>
      <family val="2"/>
    </font>
    <font>
      <b/>
      <sz val="8"/>
      <color rgb="FFFF0000"/>
      <name val="Arial Narrow"/>
      <family val="2"/>
    </font>
    <font>
      <sz val="8"/>
      <name val="Tahoma"/>
      <family val="2"/>
    </font>
    <font>
      <sz val="8"/>
      <name val="Univers"/>
      <family val="2"/>
    </font>
    <font>
      <sz val="11"/>
      <name val="Arial Narrow"/>
      <family val="2"/>
    </font>
    <font>
      <b/>
      <sz val="11"/>
      <name val="Arial Narrow"/>
      <family val="2"/>
    </font>
    <font>
      <sz val="11"/>
      <color theme="0"/>
      <name val="Arial Narrow"/>
      <family val="2"/>
    </font>
    <font>
      <b/>
      <sz val="14"/>
      <name val="Arial Narrow"/>
      <family val="2"/>
    </font>
    <font>
      <sz val="10"/>
      <color theme="0"/>
      <name val="Arial Narrow"/>
      <family val="2"/>
    </font>
    <font>
      <b/>
      <sz val="16"/>
      <name val="Arial Narrow"/>
      <family val="2"/>
    </font>
    <font>
      <sz val="11"/>
      <color theme="1"/>
      <name val="Calibri"/>
      <family val="2"/>
    </font>
    <font>
      <b/>
      <sz val="18"/>
      <name val="Arial Narrow"/>
      <family val="2"/>
    </font>
    <font>
      <sz val="10"/>
      <name val="Arial"/>
      <family val="2"/>
    </font>
    <font>
      <sz val="10"/>
      <name val="Zurich BT"/>
    </font>
    <font>
      <sz val="7"/>
      <name val="Arial Narrow"/>
      <family val="2"/>
    </font>
    <font>
      <b/>
      <sz val="22"/>
      <name val="Arial Narrow"/>
      <family val="2"/>
    </font>
    <font>
      <sz val="10"/>
      <color theme="1"/>
      <name val="Verdana"/>
      <family val="2"/>
    </font>
    <font>
      <sz val="10"/>
      <color theme="1"/>
      <name val="Arial"/>
      <family val="2"/>
    </font>
    <font>
      <sz val="16"/>
      <name val="Arial Narrow"/>
      <family val="2"/>
    </font>
    <font>
      <b/>
      <sz val="16"/>
      <color rgb="FFFF0000"/>
      <name val="Arial Narrow"/>
      <family val="2"/>
    </font>
    <font>
      <b/>
      <sz val="10"/>
      <color theme="1"/>
      <name val="Verdana"/>
      <family val="2"/>
    </font>
    <font>
      <b/>
      <sz val="14"/>
      <color theme="1"/>
      <name val="Verdana"/>
      <family val="2"/>
    </font>
    <font>
      <b/>
      <sz val="8"/>
      <color rgb="FF0000FF"/>
      <name val="Arial Narrow"/>
      <family val="2"/>
    </font>
    <font>
      <b/>
      <sz val="8"/>
      <color theme="0"/>
      <name val="Arial Narrow"/>
      <family val="2"/>
    </font>
    <font>
      <sz val="8"/>
      <color theme="4" tint="0.59999389629810485"/>
      <name val="Arial Narrow"/>
      <family val="2"/>
    </font>
    <font>
      <b/>
      <sz val="8"/>
      <color theme="8" tint="0.79998168889431442"/>
      <name val="Arial Narrow"/>
      <family val="2"/>
    </font>
    <font>
      <b/>
      <sz val="14"/>
      <color rgb="FFFF0000"/>
      <name val="Arial Narrow"/>
      <family val="2"/>
    </font>
    <font>
      <b/>
      <sz val="16"/>
      <color rgb="FF002060"/>
      <name val="Arial Narrow"/>
      <family val="2"/>
    </font>
    <font>
      <sz val="11"/>
      <color rgb="FFFF0000"/>
      <name val="Arial Narrow"/>
      <family val="2"/>
    </font>
  </fonts>
  <fills count="27">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theme="8"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DBE5F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17"/>
      </right>
      <top style="medium">
        <color indexed="17"/>
      </top>
      <bottom style="medium">
        <color indexed="17"/>
      </bottom>
      <diagonal/>
    </border>
    <border>
      <left style="medium">
        <color indexed="17"/>
      </left>
      <right/>
      <top style="medium">
        <color indexed="64"/>
      </top>
      <bottom style="medium">
        <color indexed="17"/>
      </bottom>
      <diagonal/>
    </border>
    <border>
      <left/>
      <right style="medium">
        <color indexed="17"/>
      </right>
      <top style="medium">
        <color indexed="64"/>
      </top>
      <bottom style="medium">
        <color indexed="17"/>
      </bottom>
      <diagonal/>
    </border>
    <border>
      <left style="medium">
        <color indexed="17"/>
      </left>
      <right/>
      <top style="medium">
        <color indexed="17"/>
      </top>
      <bottom style="medium">
        <color indexed="17"/>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19">
    <xf numFmtId="0" fontId="0" fillId="0" borderId="0"/>
    <xf numFmtId="174" fontId="27" fillId="0" borderId="0" applyFont="0" applyFill="0" applyBorder="0" applyAlignment="0" applyProtection="0"/>
    <xf numFmtId="174" fontId="27"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0" fontId="26" fillId="0" borderId="0" applyFont="0" applyFill="0" applyBorder="0" applyAlignment="0" applyProtection="0"/>
    <xf numFmtId="0" fontId="24"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0" fontId="25" fillId="0" borderId="0" applyNumberFormat="0" applyFill="0" applyBorder="0" applyAlignment="0" applyProtection="0">
      <alignment vertical="top"/>
      <protection locked="0"/>
    </xf>
    <xf numFmtId="165" fontId="24" fillId="0" borderId="0" applyFont="0" applyFill="0" applyBorder="0" applyAlignment="0" applyProtection="0"/>
    <xf numFmtId="179" fontId="26" fillId="0" borderId="0" applyFont="0" applyFill="0" applyBorder="0" applyAlignment="0" applyProtection="0"/>
    <xf numFmtId="179" fontId="24" fillId="0" borderId="0" applyFont="0" applyFill="0" applyBorder="0" applyAlignment="0" applyProtection="0"/>
    <xf numFmtId="177" fontId="26" fillId="0" borderId="0" applyFont="0" applyFill="0" applyBorder="0" applyAlignment="0" applyProtection="0"/>
    <xf numFmtId="177" fontId="24" fillId="0" borderId="0" applyFont="0" applyFill="0" applyBorder="0" applyAlignment="0" applyProtection="0"/>
    <xf numFmtId="171" fontId="27" fillId="0" borderId="0" applyFont="0" applyFill="0" applyBorder="0" applyAlignment="0" applyProtection="0"/>
    <xf numFmtId="171" fontId="24" fillId="0" borderId="0" applyFont="0" applyFill="0" applyBorder="0" applyAlignment="0" applyProtection="0"/>
    <xf numFmtId="171" fontId="24" fillId="0" borderId="0" applyFont="0" applyFill="0" applyBorder="0" applyAlignment="0" applyProtection="0"/>
    <xf numFmtId="171" fontId="24" fillId="0" borderId="0" applyFont="0" applyFill="0" applyBorder="0" applyAlignment="0" applyProtection="0"/>
    <xf numFmtId="171" fontId="24" fillId="0" borderId="0" applyFont="0" applyFill="0" applyBorder="0" applyAlignment="0" applyProtection="0"/>
    <xf numFmtId="178" fontId="26" fillId="0" borderId="0" applyFont="0" applyFill="0" applyBorder="0" applyAlignment="0" applyProtection="0"/>
    <xf numFmtId="176" fontId="26" fillId="0" borderId="0" applyFont="0" applyFill="0" applyBorder="0" applyAlignment="0" applyProtection="0"/>
    <xf numFmtId="176" fontId="24" fillId="0" borderId="0" applyFont="0" applyFill="0" applyBorder="0" applyAlignment="0" applyProtection="0"/>
    <xf numFmtId="178" fontId="24" fillId="0" borderId="0" applyFont="0" applyFill="0" applyBorder="0" applyAlignment="0" applyProtection="0"/>
    <xf numFmtId="178" fontId="26" fillId="0" borderId="0" applyFont="0" applyFill="0" applyBorder="0" applyAlignment="0" applyProtection="0"/>
    <xf numFmtId="178" fontId="24" fillId="0" borderId="0" applyFont="0" applyFill="0" applyBorder="0" applyAlignment="0" applyProtection="0"/>
    <xf numFmtId="0" fontId="26" fillId="0" borderId="0"/>
    <xf numFmtId="0" fontId="26" fillId="0" borderId="0"/>
    <xf numFmtId="0" fontId="24"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9" fontId="24" fillId="0" borderId="0" applyFont="0" applyFill="0" applyBorder="0" applyAlignment="0" applyProtection="0"/>
    <xf numFmtId="9" fontId="26" fillId="0" borderId="0" applyFont="0" applyFill="0" applyBorder="0" applyAlignment="0" applyProtection="0"/>
    <xf numFmtId="9" fontId="24" fillId="0" borderId="0" applyFont="0" applyFill="0" applyBorder="0" applyAlignment="0" applyProtection="0"/>
    <xf numFmtId="0" fontId="23" fillId="0" borderId="0"/>
    <xf numFmtId="182" fontId="24" fillId="0" borderId="0" applyFont="0" applyFill="0" applyBorder="0" applyAlignment="0" applyProtection="0"/>
    <xf numFmtId="183"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67" fontId="24" fillId="0" borderId="0" applyFont="0" applyFill="0" applyBorder="0" applyAlignment="0" applyProtection="0"/>
    <xf numFmtId="166"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2" fillId="0" borderId="0"/>
    <xf numFmtId="174" fontId="24" fillId="0" borderId="0" applyFont="0" applyFill="0" applyBorder="0" applyAlignment="0" applyProtection="0"/>
    <xf numFmtId="174" fontId="24" fillId="0" borderId="0" applyFont="0" applyFill="0" applyBorder="0" applyAlignment="0" applyProtection="0"/>
    <xf numFmtId="0" fontId="24" fillId="0" borderId="0" applyFont="0" applyFill="0" applyBorder="0" applyAlignment="0" applyProtection="0"/>
    <xf numFmtId="179" fontId="24" fillId="0" borderId="0" applyFont="0" applyFill="0" applyBorder="0" applyAlignment="0" applyProtection="0"/>
    <xf numFmtId="177" fontId="24" fillId="0" borderId="0" applyFont="0" applyFill="0" applyBorder="0" applyAlignment="0" applyProtection="0"/>
    <xf numFmtId="171" fontId="24" fillId="0" borderId="0" applyFont="0" applyFill="0" applyBorder="0" applyAlignment="0" applyProtection="0"/>
    <xf numFmtId="178" fontId="24" fillId="0" borderId="0" applyFont="0" applyFill="0" applyBorder="0" applyAlignment="0" applyProtection="0"/>
    <xf numFmtId="176" fontId="24" fillId="0" borderId="0" applyFont="0" applyFill="0" applyBorder="0" applyAlignment="0" applyProtection="0"/>
    <xf numFmtId="178" fontId="24" fillId="0" borderId="0" applyFont="0" applyFill="0" applyBorder="0" applyAlignment="0" applyProtection="0"/>
    <xf numFmtId="0" fontId="21" fillId="0" borderId="0"/>
    <xf numFmtId="0" fontId="24" fillId="0" borderId="0"/>
    <xf numFmtId="0" fontId="24"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4" fillId="0" borderId="0" applyFont="0" applyFill="0" applyBorder="0" applyAlignment="0" applyProtection="0"/>
    <xf numFmtId="0" fontId="20" fillId="0" borderId="0"/>
    <xf numFmtId="0" fontId="19" fillId="0" borderId="0"/>
    <xf numFmtId="166" fontId="19" fillId="0" borderId="0" applyFont="0" applyFill="0" applyBorder="0" applyAlignment="0" applyProtection="0"/>
    <xf numFmtId="167" fontId="19" fillId="0" borderId="0" applyFont="0" applyFill="0" applyBorder="0" applyAlignment="0" applyProtection="0"/>
    <xf numFmtId="9" fontId="19" fillId="0" borderId="0" applyFont="0" applyFill="0" applyBorder="0" applyAlignment="0" applyProtection="0"/>
    <xf numFmtId="164" fontId="24" fillId="0" borderId="0" applyFont="0" applyFill="0" applyBorder="0" applyAlignment="0" applyProtection="0"/>
    <xf numFmtId="0" fontId="53" fillId="0" borderId="0"/>
    <xf numFmtId="0" fontId="18" fillId="0" borderId="0"/>
    <xf numFmtId="167" fontId="18" fillId="0" borderId="0" applyFont="0" applyFill="0" applyBorder="0" applyAlignment="0" applyProtection="0"/>
    <xf numFmtId="166" fontId="18" fillId="0" borderId="0" applyFont="0" applyFill="0" applyBorder="0" applyAlignment="0" applyProtection="0"/>
    <xf numFmtId="0" fontId="24" fillId="0" borderId="0"/>
    <xf numFmtId="0" fontId="24" fillId="0" borderId="0"/>
    <xf numFmtId="170" fontId="24" fillId="0" borderId="0" applyFont="0" applyFill="0" applyBorder="0" applyAlignment="0" applyProtection="0"/>
    <xf numFmtId="9" fontId="24" fillId="0" borderId="0" applyFont="0" applyFill="0" applyBorder="0" applyAlignment="0" applyProtection="0"/>
    <xf numFmtId="167" fontId="24" fillId="0" borderId="0" applyFont="0" applyFill="0" applyBorder="0" applyAlignment="0" applyProtection="0"/>
    <xf numFmtId="0" fontId="17" fillId="0" borderId="0"/>
    <xf numFmtId="166"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6" fillId="0" borderId="0"/>
    <xf numFmtId="166"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0" fontId="15" fillId="0" borderId="0"/>
    <xf numFmtId="166" fontId="15" fillId="0" borderId="0" applyFont="0" applyFill="0" applyBorder="0" applyAlignment="0" applyProtection="0"/>
    <xf numFmtId="167" fontId="15" fillId="0" borderId="0" applyFont="0" applyFill="0" applyBorder="0" applyAlignment="0" applyProtection="0"/>
    <xf numFmtId="9" fontId="15" fillId="0" borderId="0" applyFont="0" applyFill="0" applyBorder="0" applyAlignment="0" applyProtection="0"/>
    <xf numFmtId="0" fontId="14" fillId="0" borderId="0"/>
    <xf numFmtId="0" fontId="13" fillId="0" borderId="0"/>
    <xf numFmtId="166" fontId="13" fillId="0" borderId="0" applyFont="0" applyFill="0" applyBorder="0" applyAlignment="0" applyProtection="0"/>
    <xf numFmtId="167" fontId="13" fillId="0" borderId="0" applyFont="0" applyFill="0" applyBorder="0" applyAlignment="0" applyProtection="0"/>
    <xf numFmtId="9" fontId="13" fillId="0" borderId="0" applyFont="0" applyFill="0" applyBorder="0" applyAlignment="0" applyProtection="0"/>
    <xf numFmtId="0" fontId="12" fillId="0" borderId="0"/>
    <xf numFmtId="166" fontId="12" fillId="0" borderId="0" applyFont="0" applyFill="0" applyBorder="0" applyAlignment="0" applyProtection="0"/>
    <xf numFmtId="167" fontId="12" fillId="0" borderId="0" applyFont="0" applyFill="0" applyBorder="0" applyAlignment="0" applyProtection="0"/>
    <xf numFmtId="9" fontId="12" fillId="0" borderId="0" applyFont="0" applyFill="0" applyBorder="0" applyAlignment="0" applyProtection="0"/>
    <xf numFmtId="166" fontId="55" fillId="0" borderId="0" applyFont="0" applyFill="0" applyBorder="0" applyAlignment="0" applyProtection="0"/>
    <xf numFmtId="167" fontId="55" fillId="0" borderId="0" applyFont="0" applyFill="0" applyBorder="0" applyAlignment="0" applyProtection="0"/>
    <xf numFmtId="0" fontId="11" fillId="0" borderId="0"/>
    <xf numFmtId="0" fontId="11" fillId="0" borderId="0"/>
    <xf numFmtId="0" fontId="56" fillId="0" borderId="0"/>
    <xf numFmtId="166" fontId="11" fillId="0" borderId="0" applyFont="0" applyFill="0" applyBorder="0" applyAlignment="0" applyProtection="0"/>
    <xf numFmtId="167" fontId="11" fillId="0" borderId="0" applyFont="0" applyFill="0" applyBorder="0" applyAlignment="0" applyProtection="0"/>
    <xf numFmtId="169" fontId="56" fillId="0" borderId="0" applyFont="0" applyFill="0" applyBorder="0" applyAlignment="0" applyProtection="0"/>
    <xf numFmtId="0" fontId="10" fillId="0" borderId="0"/>
    <xf numFmtId="166" fontId="10" fillId="0" borderId="0" applyFont="0" applyFill="0" applyBorder="0" applyAlignment="0" applyProtection="0"/>
    <xf numFmtId="0" fontId="9" fillId="0" borderId="0"/>
    <xf numFmtId="0" fontId="9" fillId="0" borderId="0"/>
    <xf numFmtId="0" fontId="8" fillId="0" borderId="0"/>
    <xf numFmtId="166" fontId="8"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49" fontId="59" fillId="0" borderId="0" applyFill="0" applyBorder="0" applyProtection="0">
      <alignment horizontal="left" vertical="center"/>
    </xf>
    <xf numFmtId="166" fontId="24" fillId="0" borderId="0" applyFont="0" applyFill="0" applyBorder="0" applyAlignment="0" applyProtection="0"/>
    <xf numFmtId="0" fontId="60" fillId="0" borderId="0"/>
    <xf numFmtId="0" fontId="63" fillId="18" borderId="0" applyNumberFormat="0" applyBorder="0" applyProtection="0">
      <alignment horizontal="center" vertical="center"/>
    </xf>
    <xf numFmtId="0" fontId="7" fillId="0" borderId="0"/>
    <xf numFmtId="167" fontId="60" fillId="0" borderId="0" applyFont="0" applyFill="0" applyBorder="0" applyAlignment="0" applyProtection="0"/>
    <xf numFmtId="0" fontId="64" fillId="19" borderId="1" applyNumberFormat="0" applyProtection="0">
      <alignment horizontal="left" vertical="center"/>
    </xf>
    <xf numFmtId="185" fontId="59" fillId="0" borderId="0" applyFill="0" applyBorder="0" applyProtection="0">
      <alignment horizontal="right" vertical="center"/>
    </xf>
    <xf numFmtId="43" fontId="60" fillId="0" borderId="0" applyFont="0" applyFill="0" applyBorder="0" applyAlignment="0" applyProtection="0"/>
    <xf numFmtId="9" fontId="60" fillId="0" borderId="0" applyFont="0" applyFill="0" applyBorder="0" applyAlignment="0" applyProtection="0"/>
    <xf numFmtId="187" fontId="60" fillId="0" borderId="0" applyFont="0" applyFill="0" applyBorder="0" applyAlignment="0" applyProtection="0"/>
    <xf numFmtId="186" fontId="60" fillId="0" borderId="0" applyFont="0" applyFill="0" applyBorder="0" applyAlignment="0" applyProtection="0"/>
    <xf numFmtId="43" fontId="60" fillId="0" borderId="0" applyFont="0" applyFill="0" applyBorder="0" applyAlignment="0" applyProtection="0"/>
    <xf numFmtId="41" fontId="60" fillId="0" borderId="0" applyFont="0" applyFill="0" applyBorder="0" applyAlignment="0" applyProtection="0"/>
    <xf numFmtId="0" fontId="63" fillId="20" borderId="0" applyNumberFormat="0" applyBorder="0" applyProtection="0">
      <alignment horizontal="center" vertical="center"/>
    </xf>
    <xf numFmtId="0" fontId="63" fillId="19" borderId="0" applyNumberFormat="0" applyBorder="0" applyProtection="0">
      <alignment horizontal="center" vertical="center" wrapText="1"/>
    </xf>
    <xf numFmtId="0" fontId="63" fillId="19" borderId="0" applyNumberFormat="0" applyBorder="0" applyProtection="0">
      <alignment horizontal="right" vertical="center" wrapText="1"/>
    </xf>
    <xf numFmtId="0" fontId="63" fillId="21" borderId="0" applyNumberFormat="0" applyBorder="0" applyProtection="0">
      <alignment horizontal="center" vertical="center" wrapText="1"/>
    </xf>
    <xf numFmtId="0" fontId="59" fillId="21" borderId="0" applyNumberFormat="0" applyBorder="0" applyProtection="0">
      <alignment horizontal="right" vertical="center" wrapText="1"/>
    </xf>
    <xf numFmtId="0" fontId="63" fillId="0" borderId="0" applyNumberFormat="0" applyFill="0" applyBorder="0" applyProtection="0">
      <alignment horizontal="left" vertical="center"/>
    </xf>
    <xf numFmtId="0" fontId="63" fillId="0" borderId="0" applyNumberFormat="0" applyFill="0" applyBorder="0" applyProtection="0">
      <alignment horizontal="right" vertical="center"/>
    </xf>
    <xf numFmtId="188" fontId="59" fillId="0" borderId="0" applyFill="0" applyBorder="0" applyProtection="0">
      <alignment horizontal="right" vertical="center"/>
    </xf>
    <xf numFmtId="14" fontId="59" fillId="0" borderId="0" applyFill="0" applyBorder="0" applyProtection="0">
      <alignment horizontal="right" vertical="center"/>
    </xf>
    <xf numFmtId="22" fontId="59" fillId="0" borderId="0" applyFill="0" applyBorder="0" applyProtection="0">
      <alignment horizontal="right" vertical="center"/>
    </xf>
    <xf numFmtId="4" fontId="59" fillId="0" borderId="0" applyFill="0" applyBorder="0" applyProtection="0">
      <alignment horizontal="right" vertical="center"/>
    </xf>
    <xf numFmtId="0" fontId="59" fillId="0" borderId="1" applyNumberFormat="0" applyFill="0" applyProtection="0">
      <alignment horizontal="left" vertical="center"/>
    </xf>
    <xf numFmtId="188" fontId="59" fillId="0" borderId="1" applyFill="0" applyProtection="0">
      <alignment horizontal="right" vertical="center"/>
    </xf>
    <xf numFmtId="3" fontId="59" fillId="0" borderId="1" applyFill="0" applyProtection="0">
      <alignment horizontal="right" vertical="center"/>
    </xf>
    <xf numFmtId="4" fontId="59" fillId="0" borderId="1" applyFill="0" applyProtection="0">
      <alignment horizontal="right" vertical="center"/>
    </xf>
    <xf numFmtId="0" fontId="60" fillId="0" borderId="1" applyNumberFormat="0" applyFont="0" applyFill="0" applyAlignment="0" applyProtection="0"/>
    <xf numFmtId="0" fontId="6" fillId="0" borderId="0"/>
    <xf numFmtId="189" fontId="59" fillId="0" borderId="0" applyFill="0" applyBorder="0" applyProtection="0">
      <alignment horizontal="right" vertical="center"/>
    </xf>
    <xf numFmtId="0" fontId="5" fillId="0" borderId="0"/>
    <xf numFmtId="190" fontId="60"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0" fontId="4" fillId="0" borderId="0"/>
    <xf numFmtId="166" fontId="4" fillId="0" borderId="0" applyFont="0" applyFill="0" applyBorder="0" applyAlignment="0" applyProtection="0"/>
    <xf numFmtId="167" fontId="4" fillId="0" borderId="0" applyFont="0" applyFill="0" applyBorder="0" applyAlignment="0" applyProtection="0"/>
    <xf numFmtId="9" fontId="4" fillId="0" borderId="0" applyFont="0" applyFill="0" applyBorder="0" applyAlignment="0" applyProtection="0"/>
    <xf numFmtId="0" fontId="3" fillId="0" borderId="0"/>
    <xf numFmtId="166" fontId="3" fillId="0" borderId="0" applyFont="0" applyFill="0" applyBorder="0" applyAlignment="0" applyProtection="0"/>
    <xf numFmtId="0" fontId="24" fillId="0" borderId="0"/>
    <xf numFmtId="0" fontId="2" fillId="0" borderId="0"/>
    <xf numFmtId="0" fontId="1" fillId="0" borderId="0"/>
    <xf numFmtId="166" fontId="1" fillId="0" borderId="0" applyFont="0" applyFill="0" applyBorder="0" applyAlignment="0" applyProtection="0"/>
  </cellStyleXfs>
  <cellXfs count="340">
    <xf numFmtId="0" fontId="0" fillId="0" borderId="0" xfId="0"/>
    <xf numFmtId="0" fontId="31" fillId="0" borderId="0" xfId="0" applyFont="1" applyAlignment="1">
      <alignment vertical="center"/>
    </xf>
    <xf numFmtId="0" fontId="31" fillId="4" borderId="1"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49" fontId="31" fillId="0" borderId="1" xfId="0" applyNumberFormat="1" applyFont="1" applyFill="1" applyBorder="1" applyAlignment="1">
      <alignment horizontal="center" vertical="center" wrapText="1"/>
    </xf>
    <xf numFmtId="0" fontId="31" fillId="0" borderId="0" xfId="0" applyFont="1" applyAlignment="1">
      <alignment wrapText="1"/>
    </xf>
    <xf numFmtId="0" fontId="31" fillId="0" borderId="0" xfId="0" applyFont="1" applyAlignment="1">
      <alignment vertical="center" wrapText="1"/>
    </xf>
    <xf numFmtId="0" fontId="31" fillId="5" borderId="1" xfId="0" applyFont="1" applyFill="1" applyBorder="1" applyAlignment="1">
      <alignment horizontal="center" vertical="center" wrapText="1"/>
    </xf>
    <xf numFmtId="0" fontId="31" fillId="5" borderId="1" xfId="0" applyFont="1" applyFill="1" applyBorder="1" applyAlignment="1">
      <alignment vertical="center" wrapText="1"/>
    </xf>
    <xf numFmtId="0" fontId="31" fillId="0" borderId="1" xfId="0" applyNumberFormat="1" applyFont="1" applyFill="1" applyBorder="1" applyAlignment="1">
      <alignment horizontal="center" vertical="center" wrapText="1"/>
    </xf>
    <xf numFmtId="0" fontId="31" fillId="0" borderId="1" xfId="0" applyFont="1" applyBorder="1" applyAlignment="1">
      <alignment vertical="center" wrapText="1"/>
    </xf>
    <xf numFmtId="3" fontId="34" fillId="2" borderId="1" xfId="0" applyNumberFormat="1" applyFont="1" applyFill="1" applyBorder="1" applyAlignment="1" applyProtection="1">
      <alignment horizontal="center" vertical="center" wrapText="1"/>
      <protection locked="0"/>
    </xf>
    <xf numFmtId="1" fontId="34" fillId="2" borderId="1" xfId="0" applyNumberFormat="1" applyFont="1" applyFill="1" applyBorder="1" applyAlignment="1" applyProtection="1">
      <alignment horizontal="center" vertical="center" wrapText="1"/>
      <protection locked="0"/>
    </xf>
    <xf numFmtId="0" fontId="31" fillId="7" borderId="1" xfId="0" applyFont="1" applyFill="1" applyBorder="1" applyAlignment="1">
      <alignment horizontal="left" vertical="center" wrapText="1"/>
    </xf>
    <xf numFmtId="9" fontId="31" fillId="7" borderId="1" xfId="0" applyNumberFormat="1" applyFont="1" applyFill="1" applyBorder="1" applyAlignment="1">
      <alignment vertical="center" wrapText="1"/>
    </xf>
    <xf numFmtId="184" fontId="31" fillId="7" borderId="1" xfId="14" applyNumberFormat="1" applyFont="1" applyFill="1" applyBorder="1" applyAlignment="1">
      <alignment horizontal="left" vertical="center" wrapText="1"/>
    </xf>
    <xf numFmtId="0" fontId="31" fillId="8" borderId="1" xfId="0" applyFont="1" applyFill="1" applyBorder="1" applyAlignment="1">
      <alignment horizontal="left" vertical="center" wrapText="1"/>
    </xf>
    <xf numFmtId="9" fontId="31" fillId="8" borderId="1" xfId="0" applyNumberFormat="1" applyFont="1" applyFill="1" applyBorder="1" applyAlignment="1">
      <alignment vertical="center" wrapText="1"/>
    </xf>
    <xf numFmtId="3" fontId="31" fillId="8" borderId="1" xfId="0" applyNumberFormat="1" applyFont="1" applyFill="1" applyBorder="1" applyAlignment="1">
      <alignment horizontal="center" vertical="center" wrapText="1"/>
    </xf>
    <xf numFmtId="3" fontId="34" fillId="9" borderId="1" xfId="0" applyNumberFormat="1" applyFont="1" applyFill="1" applyBorder="1" applyAlignment="1" applyProtection="1">
      <alignment horizontal="center" vertical="center" wrapText="1"/>
      <protection locked="0"/>
    </xf>
    <xf numFmtId="9" fontId="31" fillId="9" borderId="1" xfId="0" applyNumberFormat="1" applyFont="1" applyFill="1" applyBorder="1" applyAlignment="1">
      <alignment horizontal="center" vertical="center" wrapText="1"/>
    </xf>
    <xf numFmtId="3" fontId="31" fillId="9" borderId="1" xfId="0" applyNumberFormat="1" applyFont="1" applyFill="1" applyBorder="1" applyAlignment="1">
      <alignment horizontal="center" vertical="center" wrapText="1"/>
    </xf>
    <xf numFmtId="0" fontId="31" fillId="7" borderId="1" xfId="0" applyFont="1" applyFill="1" applyBorder="1" applyAlignment="1">
      <alignment vertical="center" wrapText="1"/>
    </xf>
    <xf numFmtId="3" fontId="34" fillId="7" borderId="1" xfId="0" applyNumberFormat="1" applyFont="1" applyFill="1" applyBorder="1" applyAlignment="1" applyProtection="1">
      <alignment horizontal="center" vertical="center" wrapText="1"/>
      <protection locked="0"/>
    </xf>
    <xf numFmtId="0" fontId="31" fillId="7" borderId="1" xfId="0" applyFont="1" applyFill="1" applyBorder="1" applyAlignment="1">
      <alignment horizontal="center" vertical="center" wrapText="1"/>
    </xf>
    <xf numFmtId="3" fontId="31" fillId="7" borderId="1" xfId="0" applyNumberFormat="1" applyFont="1" applyFill="1" applyBorder="1" applyAlignment="1">
      <alignment horizontal="center" vertical="center" wrapText="1"/>
    </xf>
    <xf numFmtId="0" fontId="31" fillId="8" borderId="1"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31" fillId="0" borderId="0" xfId="0" applyFont="1" applyFill="1" applyBorder="1" applyAlignment="1">
      <alignment horizontal="center" vertical="center" wrapText="1"/>
    </xf>
    <xf numFmtId="3" fontId="31" fillId="0" borderId="1" xfId="0" applyNumberFormat="1" applyFont="1" applyFill="1" applyBorder="1" applyAlignment="1">
      <alignment horizontal="center" vertical="center" wrapText="1"/>
    </xf>
    <xf numFmtId="1" fontId="34" fillId="0" borderId="1" xfId="0" applyNumberFormat="1" applyFont="1" applyFill="1" applyBorder="1" applyAlignment="1" applyProtection="1">
      <alignment horizontal="center" vertical="center" wrapText="1"/>
      <protection locked="0"/>
    </xf>
    <xf numFmtId="3" fontId="34" fillId="0" borderId="1" xfId="0" applyNumberFormat="1" applyFont="1" applyFill="1" applyBorder="1" applyAlignment="1">
      <alignment horizontal="center" vertical="center" wrapText="1"/>
    </xf>
    <xf numFmtId="181" fontId="31" fillId="7" borderId="1" xfId="14" applyNumberFormat="1" applyFont="1" applyFill="1" applyBorder="1" applyAlignment="1">
      <alignment horizontal="center" vertical="center" wrapText="1"/>
    </xf>
    <xf numFmtId="3" fontId="35" fillId="0" borderId="1" xfId="13" applyNumberFormat="1" applyFont="1" applyFill="1" applyBorder="1" applyAlignment="1" applyProtection="1">
      <alignment horizontal="center" vertical="center" wrapText="1"/>
      <protection locked="0"/>
    </xf>
    <xf numFmtId="0" fontId="31" fillId="0" borderId="0" xfId="0" applyNumberFormat="1" applyFont="1" applyAlignment="1">
      <alignment wrapText="1"/>
    </xf>
    <xf numFmtId="0" fontId="31" fillId="0" borderId="0" xfId="0" applyFont="1" applyAlignment="1">
      <alignment horizontal="center" wrapText="1"/>
    </xf>
    <xf numFmtId="0" fontId="36" fillId="3" borderId="1" xfId="32" applyFont="1" applyFill="1" applyBorder="1" applyAlignment="1">
      <alignment horizontal="center" vertical="center" wrapText="1"/>
    </xf>
    <xf numFmtId="168" fontId="36" fillId="3" borderId="1" xfId="32" applyNumberFormat="1" applyFont="1" applyFill="1" applyBorder="1" applyAlignment="1">
      <alignment horizontal="center" vertical="center" wrapText="1"/>
    </xf>
    <xf numFmtId="3" fontId="36" fillId="3" borderId="1" xfId="32" applyNumberFormat="1" applyFont="1" applyFill="1" applyBorder="1" applyAlignment="1">
      <alignment horizontal="center" vertical="center" wrapText="1"/>
    </xf>
    <xf numFmtId="168" fontId="37" fillId="3" borderId="1" xfId="32" applyNumberFormat="1" applyFont="1" applyFill="1" applyBorder="1" applyAlignment="1">
      <alignment horizontal="center" vertical="center" wrapText="1"/>
    </xf>
    <xf numFmtId="0" fontId="30" fillId="4" borderId="8" xfId="0" applyFont="1" applyFill="1" applyBorder="1" applyAlignment="1">
      <alignment horizontal="center" vertical="center" wrapText="1"/>
    </xf>
    <xf numFmtId="49" fontId="30" fillId="4" borderId="1" xfId="0" applyNumberFormat="1" applyFont="1" applyFill="1" applyBorder="1" applyAlignment="1">
      <alignment horizontal="center" vertical="center" wrapText="1"/>
    </xf>
    <xf numFmtId="0" fontId="31" fillId="0" borderId="0" xfId="0" applyFont="1"/>
    <xf numFmtId="0" fontId="31" fillId="5" borderId="1" xfId="0" applyFont="1" applyFill="1" applyBorder="1" applyAlignment="1">
      <alignment horizontal="left" vertical="center" wrapText="1"/>
    </xf>
    <xf numFmtId="0" fontId="31" fillId="0" borderId="1" xfId="0" applyFont="1" applyBorder="1" applyAlignment="1">
      <alignment horizontal="left" vertical="center" wrapText="1"/>
    </xf>
    <xf numFmtId="3" fontId="32" fillId="8" borderId="1" xfId="0" applyNumberFormat="1" applyFont="1" applyFill="1" applyBorder="1" applyAlignment="1">
      <alignment horizontal="center" vertical="center" wrapText="1"/>
    </xf>
    <xf numFmtId="3" fontId="32" fillId="9" borderId="1" xfId="0" applyNumberFormat="1" applyFont="1" applyFill="1" applyBorder="1" applyAlignment="1">
      <alignment horizontal="center" vertical="center" wrapText="1"/>
    </xf>
    <xf numFmtId="0" fontId="30" fillId="4" borderId="1" xfId="0" applyFont="1" applyFill="1" applyBorder="1" applyAlignment="1">
      <alignment horizontal="center" vertical="center" wrapText="1"/>
    </xf>
    <xf numFmtId="3" fontId="32" fillId="7" borderId="1" xfId="0" applyNumberFormat="1" applyFont="1"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38" fillId="0" borderId="0" xfId="0" applyFont="1" applyAlignment="1">
      <alignment vertical="center"/>
    </xf>
    <xf numFmtId="0" fontId="38" fillId="0" borderId="0" xfId="0" applyFont="1" applyBorder="1" applyAlignment="1">
      <alignment vertical="center"/>
    </xf>
    <xf numFmtId="172" fontId="38" fillId="0" borderId="0" xfId="20" applyNumberFormat="1" applyFont="1" applyBorder="1" applyAlignment="1">
      <alignment vertical="center"/>
    </xf>
    <xf numFmtId="0" fontId="40" fillId="0" borderId="0" xfId="0" applyFont="1" applyAlignment="1">
      <alignment vertical="center"/>
    </xf>
    <xf numFmtId="169" fontId="39" fillId="9" borderId="0" xfId="0" applyNumberFormat="1" applyFont="1" applyFill="1" applyAlignment="1">
      <alignment vertical="center"/>
    </xf>
    <xf numFmtId="175" fontId="38" fillId="0" borderId="0" xfId="0" applyNumberFormat="1" applyFont="1" applyAlignment="1">
      <alignment vertical="center"/>
    </xf>
    <xf numFmtId="0" fontId="39" fillId="0" borderId="0" xfId="0" applyFont="1" applyAlignment="1">
      <alignment horizontal="left" vertical="center" wrapText="1"/>
    </xf>
    <xf numFmtId="0" fontId="40" fillId="0" borderId="0" xfId="0" applyFont="1" applyAlignment="1">
      <alignment horizontal="left" vertical="center"/>
    </xf>
    <xf numFmtId="0" fontId="39" fillId="0" borderId="0" xfId="0" applyFont="1" applyAlignment="1">
      <alignment vertical="center"/>
    </xf>
    <xf numFmtId="14" fontId="39" fillId="0" borderId="0" xfId="0" applyNumberFormat="1" applyFont="1" applyBorder="1" applyAlignment="1">
      <alignment vertical="center"/>
    </xf>
    <xf numFmtId="172" fontId="39" fillId="0" borderId="0" xfId="0" applyNumberFormat="1" applyFont="1" applyBorder="1" applyAlignment="1">
      <alignment vertical="center"/>
    </xf>
    <xf numFmtId="176" fontId="38" fillId="0" borderId="0" xfId="0" applyNumberFormat="1" applyFont="1" applyAlignment="1">
      <alignment vertical="center"/>
    </xf>
    <xf numFmtId="14" fontId="39" fillId="0" borderId="0" xfId="0" applyNumberFormat="1" applyFont="1" applyAlignment="1">
      <alignment vertical="center"/>
    </xf>
    <xf numFmtId="168" fontId="39" fillId="0" borderId="0" xfId="0" applyNumberFormat="1" applyFont="1" applyAlignment="1">
      <alignment vertical="center"/>
    </xf>
    <xf numFmtId="0" fontId="39" fillId="9" borderId="0" xfId="0" applyFont="1" applyFill="1" applyAlignment="1">
      <alignment vertical="center"/>
    </xf>
    <xf numFmtId="173" fontId="39" fillId="9" borderId="0" xfId="0" applyNumberFormat="1" applyFont="1" applyFill="1" applyAlignment="1">
      <alignment vertical="center"/>
    </xf>
    <xf numFmtId="14" fontId="41" fillId="0" borderId="0" xfId="0" applyNumberFormat="1" applyFont="1" applyAlignment="1">
      <alignment vertical="center"/>
    </xf>
    <xf numFmtId="168" fontId="41" fillId="0" borderId="0" xfId="0" applyNumberFormat="1" applyFont="1" applyAlignment="1">
      <alignment horizontal="center" vertical="center"/>
    </xf>
    <xf numFmtId="173" fontId="38" fillId="0" borderId="0" xfId="0" applyNumberFormat="1" applyFont="1" applyAlignment="1">
      <alignment vertical="center"/>
    </xf>
    <xf numFmtId="18" fontId="41" fillId="0" borderId="0" xfId="0" applyNumberFormat="1" applyFont="1" applyAlignment="1">
      <alignment vertical="center"/>
    </xf>
    <xf numFmtId="0" fontId="39" fillId="0" borderId="0" xfId="0" applyFont="1" applyFill="1" applyAlignment="1">
      <alignment vertical="center"/>
    </xf>
    <xf numFmtId="0" fontId="38" fillId="0" borderId="0" xfId="0" applyFont="1" applyFill="1" applyAlignment="1">
      <alignment horizontal="left" vertical="center" wrapText="1"/>
    </xf>
    <xf numFmtId="177" fontId="38" fillId="0" borderId="0" xfId="0" applyNumberFormat="1" applyFont="1" applyAlignment="1">
      <alignment vertical="center"/>
    </xf>
    <xf numFmtId="0" fontId="38" fillId="0" borderId="0" xfId="0" applyFont="1" applyAlignment="1">
      <alignment horizontal="left" vertical="center" wrapText="1"/>
    </xf>
    <xf numFmtId="0" fontId="39" fillId="0" borderId="0" xfId="0" applyFont="1" applyFill="1" applyAlignment="1">
      <alignment horizontal="left" vertical="center" wrapText="1"/>
    </xf>
    <xf numFmtId="169" fontId="39" fillId="0" borderId="0" xfId="0" applyNumberFormat="1" applyFont="1" applyFill="1" applyBorder="1" applyAlignment="1">
      <alignment vertical="center"/>
    </xf>
    <xf numFmtId="0" fontId="38" fillId="0" borderId="0" xfId="0" applyFont="1" applyAlignment="1">
      <alignment vertical="center" wrapText="1"/>
    </xf>
    <xf numFmtId="169" fontId="39" fillId="0" borderId="0" xfId="0" applyNumberFormat="1" applyFont="1" applyAlignment="1">
      <alignment vertical="center"/>
    </xf>
    <xf numFmtId="0" fontId="38" fillId="0" borderId="0" xfId="0" quotePrefix="1" applyFont="1" applyAlignment="1">
      <alignment horizontal="left" vertical="center" wrapText="1"/>
    </xf>
    <xf numFmtId="14" fontId="38" fillId="0" borderId="0" xfId="0" applyNumberFormat="1" applyFont="1" applyAlignment="1">
      <alignment vertical="center"/>
    </xf>
    <xf numFmtId="169" fontId="38" fillId="0" borderId="0" xfId="0" applyNumberFormat="1" applyFont="1" applyAlignment="1">
      <alignment vertical="center"/>
    </xf>
    <xf numFmtId="0" fontId="38" fillId="0" borderId="0" xfId="0" quotePrefix="1" applyFont="1" applyAlignment="1">
      <alignment vertical="center"/>
    </xf>
    <xf numFmtId="0" fontId="33" fillId="0" borderId="0" xfId="0" applyFont="1" applyAlignment="1">
      <alignment vertical="center"/>
    </xf>
    <xf numFmtId="0" fontId="31" fillId="0" borderId="0" xfId="30" applyFont="1" applyFill="1" applyAlignment="1">
      <alignment vertical="center" wrapText="1"/>
    </xf>
    <xf numFmtId="17" fontId="31" fillId="0" borderId="0" xfId="30" applyNumberFormat="1" applyFont="1" applyFill="1" applyAlignment="1">
      <alignment horizontal="center" vertical="center" wrapText="1"/>
    </xf>
    <xf numFmtId="0" fontId="31" fillId="0" borderId="0" xfId="30" applyFont="1" applyFill="1" applyAlignment="1">
      <alignment horizontal="center" vertical="center" wrapText="1"/>
    </xf>
    <xf numFmtId="169" fontId="31" fillId="0" borderId="0" xfId="30" applyNumberFormat="1" applyFont="1" applyFill="1" applyAlignment="1">
      <alignment horizontal="center" vertical="center" wrapText="1"/>
    </xf>
    <xf numFmtId="0" fontId="30" fillId="0" borderId="0" xfId="30" applyFont="1" applyFill="1" applyAlignment="1">
      <alignment horizontal="center" vertical="center" wrapText="1"/>
    </xf>
    <xf numFmtId="0" fontId="30" fillId="4" borderId="1" xfId="30" applyFont="1" applyFill="1" applyBorder="1" applyAlignment="1">
      <alignment horizontal="center" vertical="center" wrapText="1"/>
    </xf>
    <xf numFmtId="170" fontId="31" fillId="0" borderId="1" xfId="32" applyNumberFormat="1" applyFont="1" applyFill="1" applyBorder="1" applyAlignment="1">
      <alignment horizontal="center" vertical="center" wrapText="1"/>
    </xf>
    <xf numFmtId="0" fontId="31" fillId="0" borderId="0" xfId="0" applyFont="1" applyAlignment="1">
      <alignment horizontal="center" vertical="center"/>
    </xf>
    <xf numFmtId="0" fontId="31" fillId="0" borderId="0" xfId="30" applyFont="1" applyFill="1" applyAlignment="1">
      <alignment horizontal="left" vertical="center" wrapText="1"/>
    </xf>
    <xf numFmtId="0" fontId="31" fillId="0" borderId="0" xfId="30" applyFont="1" applyFill="1" applyBorder="1" applyAlignment="1">
      <alignment horizontal="center" vertical="center" wrapText="1"/>
    </xf>
    <xf numFmtId="17" fontId="30" fillId="4" borderId="1" xfId="30" applyNumberFormat="1" applyFont="1" applyFill="1" applyBorder="1" applyAlignment="1">
      <alignment horizontal="center" vertical="center" wrapText="1"/>
    </xf>
    <xf numFmtId="0" fontId="30" fillId="4" borderId="1" xfId="30" applyFont="1" applyFill="1" applyBorder="1" applyAlignment="1">
      <alignment horizontal="right" vertical="center" wrapText="1"/>
    </xf>
    <xf numFmtId="0" fontId="30" fillId="4" borderId="5" xfId="30" applyFont="1" applyFill="1" applyBorder="1" applyAlignment="1">
      <alignment horizontal="center" vertical="center" wrapText="1"/>
    </xf>
    <xf numFmtId="17" fontId="30" fillId="4" borderId="5" xfId="30" applyNumberFormat="1" applyFont="1" applyFill="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 xfId="32" applyFont="1" applyFill="1" applyBorder="1" applyAlignment="1">
      <alignment horizontal="left" vertical="center" wrapText="1"/>
    </xf>
    <xf numFmtId="17" fontId="31" fillId="5" borderId="1" xfId="32" applyNumberFormat="1" applyFont="1" applyFill="1" applyBorder="1" applyAlignment="1">
      <alignment horizontal="center" vertical="center" wrapText="1"/>
    </xf>
    <xf numFmtId="169" fontId="31" fillId="0" borderId="1" xfId="32" applyNumberFormat="1" applyFont="1" applyFill="1" applyBorder="1" applyAlignment="1">
      <alignment horizontal="center" vertical="center" wrapText="1"/>
    </xf>
    <xf numFmtId="169" fontId="31" fillId="0" borderId="1" xfId="32" applyNumberFormat="1" applyFont="1" applyFill="1" applyBorder="1" applyAlignment="1">
      <alignment vertical="center" wrapText="1"/>
    </xf>
    <xf numFmtId="180" fontId="31" fillId="0" borderId="1" xfId="32" applyNumberFormat="1" applyFont="1" applyFill="1" applyBorder="1" applyAlignment="1">
      <alignment vertical="center" wrapText="1"/>
    </xf>
    <xf numFmtId="9" fontId="31" fillId="0" borderId="1" xfId="49" applyFont="1" applyFill="1" applyBorder="1" applyAlignment="1">
      <alignment horizontal="center" vertical="center" wrapText="1"/>
    </xf>
    <xf numFmtId="165" fontId="31" fillId="0" borderId="0" xfId="14" applyFont="1" applyFill="1" applyBorder="1" applyAlignment="1">
      <alignment horizontal="center" vertical="center" wrapText="1"/>
    </xf>
    <xf numFmtId="0" fontId="31" fillId="0" borderId="5" xfId="0" applyNumberFormat="1" applyFont="1" applyBorder="1" applyAlignment="1">
      <alignment horizontal="center" vertical="center" wrapText="1"/>
    </xf>
    <xf numFmtId="180" fontId="30" fillId="4" borderId="1" xfId="30" applyNumberFormat="1" applyFont="1" applyFill="1" applyBorder="1" applyAlignment="1">
      <alignment vertical="center" wrapText="1"/>
    </xf>
    <xf numFmtId="165" fontId="31" fillId="0" borderId="0" xfId="30" applyNumberFormat="1" applyFont="1" applyFill="1" applyAlignment="1">
      <alignment vertical="center" wrapText="1"/>
    </xf>
    <xf numFmtId="180" fontId="30" fillId="4" borderId="1" xfId="30" applyNumberFormat="1" applyFont="1" applyFill="1" applyBorder="1" applyAlignment="1">
      <alignment horizontal="center" vertical="center" wrapText="1"/>
    </xf>
    <xf numFmtId="0" fontId="31" fillId="0" borderId="1" xfId="30" applyFont="1" applyFill="1" applyBorder="1" applyAlignment="1">
      <alignment horizontal="left" vertical="center" wrapText="1"/>
    </xf>
    <xf numFmtId="9" fontId="31" fillId="0" borderId="1" xfId="49" applyFont="1" applyFill="1" applyBorder="1" applyAlignment="1">
      <alignment horizontal="left" vertical="center" wrapText="1"/>
    </xf>
    <xf numFmtId="165" fontId="31" fillId="0" borderId="1" xfId="30" applyNumberFormat="1" applyFont="1" applyFill="1" applyBorder="1" applyAlignment="1">
      <alignment horizontal="left" vertical="center" wrapText="1"/>
    </xf>
    <xf numFmtId="0" fontId="31" fillId="0" borderId="0" xfId="30" applyFont="1" applyFill="1" applyBorder="1" applyAlignment="1">
      <alignment horizontal="left" vertical="center" wrapText="1"/>
    </xf>
    <xf numFmtId="181" fontId="43" fillId="0" borderId="0" xfId="14" applyNumberFormat="1" applyFont="1" applyFill="1" applyAlignment="1">
      <alignment horizontal="center" vertical="center" wrapText="1"/>
    </xf>
    <xf numFmtId="0" fontId="38" fillId="0" borderId="0" xfId="0" applyFont="1" applyFill="1" applyAlignment="1">
      <alignment vertical="center"/>
    </xf>
    <xf numFmtId="0" fontId="42" fillId="11" borderId="1" xfId="0" applyFont="1" applyFill="1" applyBorder="1" applyAlignment="1">
      <alignment vertical="center"/>
    </xf>
    <xf numFmtId="173" fontId="39" fillId="9" borderId="1" xfId="0" applyNumberFormat="1" applyFont="1" applyFill="1" applyBorder="1" applyAlignment="1">
      <alignment horizontal="center" vertical="center"/>
    </xf>
    <xf numFmtId="3" fontId="25" fillId="0" borderId="1" xfId="13" applyNumberFormat="1" applyFill="1" applyBorder="1" applyAlignment="1" applyProtection="1">
      <alignment horizontal="center" vertical="center" wrapText="1"/>
      <protection locked="0"/>
    </xf>
    <xf numFmtId="0" fontId="36" fillId="0" borderId="0" xfId="0" applyFont="1" applyAlignment="1">
      <alignment vertical="center"/>
    </xf>
    <xf numFmtId="0" fontId="36" fillId="0" borderId="0" xfId="0" applyFont="1" applyAlignment="1">
      <alignment horizontal="center" vertical="center"/>
    </xf>
    <xf numFmtId="0" fontId="47" fillId="0" borderId="0" xfId="0" applyFont="1" applyAlignment="1">
      <alignment vertical="center"/>
    </xf>
    <xf numFmtId="0" fontId="48" fillId="6" borderId="1" xfId="0" applyFont="1" applyFill="1" applyBorder="1" applyAlignment="1">
      <alignment horizontal="center" vertical="center"/>
    </xf>
    <xf numFmtId="0" fontId="48" fillId="6" borderId="1" xfId="0" applyFont="1" applyFill="1" applyBorder="1" applyAlignment="1">
      <alignment horizontal="center" vertical="center" wrapText="1"/>
    </xf>
    <xf numFmtId="0" fontId="47" fillId="6" borderId="1" xfId="0" applyFont="1" applyFill="1" applyBorder="1" applyAlignment="1">
      <alignment horizontal="center" vertical="center"/>
    </xf>
    <xf numFmtId="3" fontId="48" fillId="0" borderId="1" xfId="0" applyNumberFormat="1" applyFont="1" applyBorder="1" applyAlignment="1">
      <alignment horizontal="center" vertical="center"/>
    </xf>
    <xf numFmtId="0" fontId="48"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applyAlignment="1">
      <alignment horizontal="left" vertical="center" wrapText="1"/>
    </xf>
    <xf numFmtId="0" fontId="47" fillId="0" borderId="0" xfId="0" applyFont="1" applyAlignment="1">
      <alignment horizontal="left" vertical="center"/>
    </xf>
    <xf numFmtId="0" fontId="48" fillId="0" borderId="0" xfId="0" applyFont="1" applyAlignment="1">
      <alignment vertical="center"/>
    </xf>
    <xf numFmtId="0" fontId="49" fillId="0" borderId="0" xfId="0" applyFont="1" applyAlignment="1">
      <alignment vertical="center"/>
    </xf>
    <xf numFmtId="0" fontId="42" fillId="0" borderId="0" xfId="0" applyFont="1" applyBorder="1" applyAlignment="1">
      <alignment vertical="center"/>
    </xf>
    <xf numFmtId="0" fontId="33" fillId="0" borderId="0" xfId="0" applyFont="1" applyBorder="1" applyAlignment="1">
      <alignment vertical="center"/>
    </xf>
    <xf numFmtId="0" fontId="39" fillId="11" borderId="0" xfId="0" applyNumberFormat="1" applyFont="1" applyFill="1" applyAlignment="1">
      <alignment vertical="center" wrapText="1"/>
    </xf>
    <xf numFmtId="0" fontId="39" fillId="11" borderId="0" xfId="0" applyFont="1" applyFill="1" applyAlignment="1">
      <alignment horizontal="left" vertical="center" wrapText="1"/>
    </xf>
    <xf numFmtId="0" fontId="31" fillId="0" borderId="0" xfId="32" applyNumberFormat="1" applyFont="1" applyFill="1" applyAlignment="1">
      <alignment horizontal="center" vertical="center" wrapText="1"/>
    </xf>
    <xf numFmtId="165" fontId="31" fillId="0" borderId="0" xfId="30" applyNumberFormat="1" applyFont="1" applyFill="1" applyAlignment="1">
      <alignment horizontal="center" vertical="center" wrapText="1"/>
    </xf>
    <xf numFmtId="0" fontId="50" fillId="0" borderId="0" xfId="30" applyFont="1" applyFill="1" applyAlignment="1">
      <alignment horizontal="left" vertical="center" wrapText="1"/>
    </xf>
    <xf numFmtId="176" fontId="38" fillId="0" borderId="0" xfId="0" applyNumberFormat="1" applyFont="1" applyFill="1" applyAlignment="1">
      <alignment vertical="center"/>
    </xf>
    <xf numFmtId="0" fontId="49" fillId="0" borderId="0" xfId="0" applyFont="1" applyAlignment="1">
      <alignment horizontal="left" vertical="center"/>
    </xf>
    <xf numFmtId="0" fontId="49" fillId="0" borderId="0" xfId="0" applyFont="1" applyAlignment="1">
      <alignment horizontal="left" vertical="center" wrapText="1"/>
    </xf>
    <xf numFmtId="0" fontId="51" fillId="0" borderId="0" xfId="0" applyFont="1" applyAlignment="1">
      <alignment vertical="center"/>
    </xf>
    <xf numFmtId="0" fontId="30" fillId="13" borderId="1" xfId="30" applyFont="1" applyFill="1" applyBorder="1" applyAlignment="1">
      <alignment horizontal="right" vertical="center" wrapText="1"/>
    </xf>
    <xf numFmtId="0" fontId="30" fillId="13" borderId="1" xfId="30" applyFont="1" applyFill="1" applyBorder="1" applyAlignment="1">
      <alignment horizontal="center" vertical="center" wrapText="1"/>
    </xf>
    <xf numFmtId="0" fontId="30" fillId="13" borderId="1" xfId="30" applyFont="1" applyFill="1" applyBorder="1" applyAlignment="1">
      <alignment vertical="center" wrapText="1"/>
    </xf>
    <xf numFmtId="0" fontId="31" fillId="0" borderId="1" xfId="0" applyFont="1" applyBorder="1" applyAlignment="1">
      <alignment horizontal="justify" vertical="center" wrapText="1"/>
    </xf>
    <xf numFmtId="177" fontId="31" fillId="0" borderId="0" xfId="30" applyNumberFormat="1" applyFont="1" applyFill="1" applyAlignment="1">
      <alignment vertical="center" wrapText="1"/>
    </xf>
    <xf numFmtId="0" fontId="31" fillId="0" borderId="1" xfId="0" applyFont="1" applyFill="1" applyBorder="1" applyAlignment="1">
      <alignment horizontal="justify" vertical="center" wrapText="1"/>
    </xf>
    <xf numFmtId="0" fontId="30" fillId="4" borderId="1" xfId="30" applyFont="1" applyFill="1" applyBorder="1" applyAlignment="1">
      <alignment horizontal="right" vertical="center" wrapText="1"/>
    </xf>
    <xf numFmtId="3" fontId="31" fillId="8" borderId="1" xfId="0" applyNumberFormat="1" applyFont="1" applyFill="1" applyBorder="1" applyAlignment="1">
      <alignment horizontal="left" vertical="center" wrapText="1"/>
    </xf>
    <xf numFmtId="177" fontId="31" fillId="0" borderId="1" xfId="30" applyNumberFormat="1" applyFont="1" applyFill="1" applyBorder="1" applyAlignment="1">
      <alignment horizontal="center" vertical="center" wrapText="1"/>
    </xf>
    <xf numFmtId="0" fontId="31" fillId="0" borderId="3" xfId="0" applyFont="1" applyFill="1" applyBorder="1" applyAlignment="1">
      <alignment horizontal="center" vertical="center" wrapText="1"/>
    </xf>
    <xf numFmtId="167" fontId="31" fillId="0" borderId="0" xfId="30" applyNumberFormat="1" applyFont="1" applyFill="1" applyAlignment="1">
      <alignment vertical="center" wrapText="1"/>
    </xf>
    <xf numFmtId="180" fontId="30" fillId="15" borderId="1" xfId="30" applyNumberFormat="1" applyFont="1" applyFill="1" applyBorder="1" applyAlignment="1">
      <alignment horizontal="center" vertical="center" wrapText="1"/>
    </xf>
    <xf numFmtId="180" fontId="30" fillId="16" borderId="1" xfId="30" applyNumberFormat="1" applyFont="1" applyFill="1" applyBorder="1" applyAlignment="1">
      <alignment horizontal="center" vertical="center" wrapText="1"/>
    </xf>
    <xf numFmtId="0" fontId="30" fillId="16" borderId="1" xfId="30" applyFont="1" applyFill="1" applyBorder="1" applyAlignment="1">
      <alignment vertical="center" wrapText="1"/>
    </xf>
    <xf numFmtId="0" fontId="30" fillId="17" borderId="1" xfId="30" applyFont="1" applyFill="1" applyBorder="1" applyAlignment="1">
      <alignment vertical="center" wrapText="1"/>
    </xf>
    <xf numFmtId="0" fontId="30" fillId="15" borderId="1" xfId="30" applyFont="1" applyFill="1" applyBorder="1" applyAlignment="1">
      <alignment vertical="center" wrapText="1"/>
    </xf>
    <xf numFmtId="180" fontId="30" fillId="17" borderId="1" xfId="30" applyNumberFormat="1" applyFont="1" applyFill="1" applyBorder="1" applyAlignment="1">
      <alignment horizontal="center" vertical="center" wrapText="1"/>
    </xf>
    <xf numFmtId="0" fontId="31" fillId="5" borderId="1" xfId="0" applyFont="1" applyFill="1" applyBorder="1" applyAlignment="1">
      <alignment horizontal="justify" vertical="center" wrapText="1"/>
    </xf>
    <xf numFmtId="9" fontId="31" fillId="0" borderId="0" xfId="0" applyNumberFormat="1" applyFont="1" applyAlignment="1">
      <alignment wrapText="1"/>
    </xf>
    <xf numFmtId="0" fontId="30" fillId="4" borderId="1" xfId="30" applyFont="1" applyFill="1" applyBorder="1" applyAlignment="1">
      <alignment horizontal="right" vertical="center" wrapText="1"/>
    </xf>
    <xf numFmtId="0" fontId="57" fillId="0" borderId="1" xfId="0" applyFont="1" applyFill="1" applyBorder="1" applyAlignment="1">
      <alignment horizontal="left" vertical="center" wrapText="1"/>
    </xf>
    <xf numFmtId="170" fontId="31" fillId="0" borderId="5" xfId="32" applyNumberFormat="1" applyFont="1" applyFill="1" applyBorder="1" applyAlignment="1">
      <alignment horizontal="center" vertical="center" wrapText="1"/>
    </xf>
    <xf numFmtId="169" fontId="31" fillId="0" borderId="5" xfId="32" applyNumberFormat="1" applyFont="1" applyFill="1" applyBorder="1" applyAlignment="1">
      <alignment horizontal="center" vertical="center" wrapText="1"/>
    </xf>
    <xf numFmtId="180" fontId="31" fillId="0" borderId="5" xfId="32" applyNumberFormat="1" applyFont="1" applyFill="1" applyBorder="1" applyAlignment="1">
      <alignment vertical="center" wrapText="1"/>
    </xf>
    <xf numFmtId="9" fontId="31" fillId="0" borderId="5" xfId="49" applyFont="1" applyFill="1" applyBorder="1" applyAlignment="1">
      <alignment horizontal="center" vertical="center" wrapText="1"/>
    </xf>
    <xf numFmtId="0" fontId="52" fillId="4" borderId="12" xfId="0" applyFont="1" applyFill="1" applyBorder="1" applyAlignment="1">
      <alignment horizontal="center" vertical="center" wrapText="1"/>
    </xf>
    <xf numFmtId="0" fontId="61" fillId="0" borderId="0" xfId="0" applyFont="1"/>
    <xf numFmtId="0" fontId="31" fillId="0" borderId="5" xfId="0" applyFont="1" applyBorder="1" applyAlignment="1">
      <alignment horizontal="center" vertical="center" wrapText="1"/>
    </xf>
    <xf numFmtId="0" fontId="31" fillId="0" borderId="5" xfId="0" applyNumberFormat="1" applyFont="1" applyBorder="1" applyAlignment="1">
      <alignment horizontal="center" vertical="center" wrapText="1"/>
    </xf>
    <xf numFmtId="9" fontId="31" fillId="0" borderId="0" xfId="49" applyFont="1" applyFill="1" applyBorder="1" applyAlignment="1">
      <alignment horizontal="left" vertical="center" wrapText="1"/>
    </xf>
    <xf numFmtId="165" fontId="31" fillId="0" borderId="0" xfId="30" applyNumberFormat="1" applyFont="1" applyFill="1" applyBorder="1" applyAlignment="1">
      <alignment horizontal="left" vertical="center" wrapText="1"/>
    </xf>
    <xf numFmtId="0" fontId="31" fillId="0" borderId="1" xfId="0" applyFont="1" applyFill="1" applyBorder="1" applyAlignment="1">
      <alignment vertical="center" wrapText="1"/>
    </xf>
    <xf numFmtId="0" fontId="31" fillId="0" borderId="5" xfId="0" applyFont="1" applyBorder="1" applyAlignment="1">
      <alignment horizontal="center" vertical="center" wrapText="1"/>
    </xf>
    <xf numFmtId="0" fontId="31" fillId="0" borderId="5" xfId="0" applyNumberFormat="1" applyFont="1" applyBorder="1" applyAlignment="1">
      <alignment horizontal="center" vertical="center" wrapText="1"/>
    </xf>
    <xf numFmtId="0" fontId="30" fillId="4" borderId="1" xfId="30" applyFont="1" applyFill="1" applyBorder="1" applyAlignment="1">
      <alignment horizontal="right" vertical="center" wrapText="1"/>
    </xf>
    <xf numFmtId="166" fontId="31" fillId="0" borderId="0" xfId="30" applyNumberFormat="1" applyFont="1" applyFill="1" applyAlignment="1">
      <alignment horizontal="center" vertical="center" wrapText="1"/>
    </xf>
    <xf numFmtId="2" fontId="31" fillId="0" borderId="0" xfId="49" applyNumberFormat="1" applyFont="1" applyFill="1" applyAlignment="1">
      <alignment vertical="center" wrapText="1"/>
    </xf>
    <xf numFmtId="2" fontId="31" fillId="0" borderId="0" xfId="30" applyNumberFormat="1" applyFont="1" applyFill="1" applyAlignment="1">
      <alignment vertical="center" wrapText="1"/>
    </xf>
    <xf numFmtId="180" fontId="30" fillId="14" borderId="1" xfId="30" applyNumberFormat="1" applyFont="1" applyFill="1" applyBorder="1" applyAlignment="1">
      <alignment horizontal="center" vertical="center" wrapText="1"/>
    </xf>
    <xf numFmtId="0" fontId="30" fillId="14" borderId="1" xfId="30" applyFont="1" applyFill="1" applyBorder="1" applyAlignment="1">
      <alignment vertical="center" wrapText="1"/>
    </xf>
    <xf numFmtId="0" fontId="58" fillId="0" borderId="0" xfId="0" applyNumberFormat="1" applyFont="1" applyBorder="1" applyAlignment="1">
      <alignment horizontal="left" vertical="center" wrapText="1"/>
    </xf>
    <xf numFmtId="180" fontId="30" fillId="12" borderId="1" xfId="30" applyNumberFormat="1" applyFont="1" applyFill="1" applyBorder="1" applyAlignment="1">
      <alignment horizontal="center" vertical="center" wrapText="1"/>
    </xf>
    <xf numFmtId="0" fontId="31" fillId="0" borderId="5" xfId="0" applyFont="1" applyBorder="1" applyAlignment="1">
      <alignment horizontal="center" vertical="center" wrapText="1"/>
    </xf>
    <xf numFmtId="0" fontId="31" fillId="0" borderId="5" xfId="0" applyFont="1" applyFill="1" applyBorder="1" applyAlignment="1">
      <alignment horizontal="justify" vertical="center" wrapText="1"/>
    </xf>
    <xf numFmtId="0" fontId="30" fillId="22" borderId="1" xfId="0" applyFont="1" applyFill="1" applyBorder="1" applyAlignment="1">
      <alignment horizontal="center" vertical="center" wrapText="1"/>
    </xf>
    <xf numFmtId="0" fontId="31" fillId="23" borderId="5" xfId="0" applyFont="1" applyFill="1" applyBorder="1" applyAlignment="1">
      <alignment horizontal="justify" vertical="center" wrapText="1"/>
    </xf>
    <xf numFmtId="0" fontId="39" fillId="9" borderId="0" xfId="0" applyNumberFormat="1" applyFont="1" applyFill="1" applyAlignment="1">
      <alignment horizontal="right" vertical="center"/>
    </xf>
    <xf numFmtId="0" fontId="66" fillId="25" borderId="1" xfId="30" applyFont="1" applyFill="1" applyBorder="1" applyAlignment="1">
      <alignment horizontal="right" vertical="center" wrapText="1"/>
    </xf>
    <xf numFmtId="0" fontId="66" fillId="25" borderId="1" xfId="30" applyFont="1" applyFill="1" applyBorder="1" applyAlignment="1">
      <alignment horizontal="center" vertical="center" wrapText="1"/>
    </xf>
    <xf numFmtId="0" fontId="66" fillId="25" borderId="1" xfId="30" applyFont="1" applyFill="1" applyBorder="1" applyAlignment="1">
      <alignment vertical="center" wrapText="1"/>
    </xf>
    <xf numFmtId="0" fontId="31" fillId="26" borderId="1" xfId="30" applyFont="1" applyFill="1" applyBorder="1" applyAlignment="1">
      <alignment horizontal="center" vertical="center" wrapText="1"/>
    </xf>
    <xf numFmtId="165" fontId="31" fillId="26" borderId="1" xfId="14" applyFont="1" applyFill="1" applyBorder="1" applyAlignment="1">
      <alignment horizontal="center" vertical="center" wrapText="1"/>
    </xf>
    <xf numFmtId="15" fontId="67" fillId="26" borderId="1" xfId="30" applyNumberFormat="1" applyFont="1" applyFill="1" applyBorder="1" applyAlignment="1">
      <alignment horizontal="center" vertical="center" wrapText="1"/>
    </xf>
    <xf numFmtId="17" fontId="68" fillId="4" borderId="1" xfId="30" applyNumberFormat="1" applyFont="1" applyFill="1" applyBorder="1" applyAlignment="1">
      <alignment horizontal="center" vertical="center" wrapText="1"/>
    </xf>
    <xf numFmtId="175" fontId="52" fillId="0" borderId="1" xfId="7" applyNumberFormat="1" applyFont="1" applyFill="1" applyBorder="1" applyAlignment="1">
      <alignment horizontal="center" vertical="center" wrapText="1"/>
    </xf>
    <xf numFmtId="165" fontId="52" fillId="26" borderId="1" xfId="14" applyFont="1" applyFill="1" applyBorder="1" applyAlignment="1">
      <alignment horizontal="center" vertical="center" wrapText="1"/>
    </xf>
    <xf numFmtId="177" fontId="31" fillId="0" borderId="0" xfId="30" applyNumberFormat="1" applyFont="1" applyFill="1" applyBorder="1" applyAlignment="1">
      <alignment horizontal="center" vertical="center" wrapText="1"/>
    </xf>
    <xf numFmtId="180" fontId="30" fillId="4" borderId="0" xfId="30" applyNumberFormat="1" applyFont="1" applyFill="1" applyBorder="1" applyAlignment="1">
      <alignment horizontal="center" vertical="center" wrapText="1"/>
    </xf>
    <xf numFmtId="180" fontId="44" fillId="4" borderId="0" xfId="30" applyNumberFormat="1" applyFont="1" applyFill="1" applyBorder="1" applyAlignment="1">
      <alignment horizontal="center" vertical="center" wrapText="1"/>
    </xf>
    <xf numFmtId="0" fontId="66" fillId="25" borderId="0" xfId="0" applyFont="1" applyFill="1" applyAlignment="1">
      <alignment horizontal="center" vertical="center" wrapText="1"/>
    </xf>
    <xf numFmtId="0" fontId="66" fillId="25" borderId="8" xfId="0" applyFont="1" applyFill="1" applyBorder="1" applyAlignment="1">
      <alignment horizontal="left" vertical="center" wrapText="1"/>
    </xf>
    <xf numFmtId="0" fontId="31" fillId="0" borderId="5" xfId="32" applyFont="1" applyFill="1" applyBorder="1" applyAlignment="1">
      <alignment horizontal="center" vertical="center" wrapText="1"/>
    </xf>
    <xf numFmtId="0" fontId="31" fillId="0" borderId="1" xfId="32" applyFont="1" applyFill="1" applyBorder="1" applyAlignment="1">
      <alignment horizontal="center" vertical="center" wrapText="1"/>
    </xf>
    <xf numFmtId="14" fontId="31" fillId="5" borderId="5" xfId="32" applyNumberFormat="1" applyFont="1" applyFill="1" applyBorder="1" applyAlignment="1">
      <alignment horizontal="center" vertical="center" wrapText="1"/>
    </xf>
    <xf numFmtId="14" fontId="31" fillId="5" borderId="1" xfId="32" applyNumberFormat="1" applyFont="1" applyFill="1" applyBorder="1" applyAlignment="1">
      <alignment horizontal="center" vertical="center" wrapText="1"/>
    </xf>
    <xf numFmtId="191" fontId="31" fillId="0" borderId="5" xfId="32" applyNumberFormat="1" applyFont="1" applyFill="1" applyBorder="1" applyAlignment="1">
      <alignment horizontal="center" vertical="center" wrapText="1"/>
    </xf>
    <xf numFmtId="191" fontId="31" fillId="0" borderId="1" xfId="32" applyNumberFormat="1" applyFont="1" applyFill="1" applyBorder="1" applyAlignment="1">
      <alignment horizontal="center" vertical="center" wrapText="1"/>
    </xf>
    <xf numFmtId="0" fontId="31" fillId="0" borderId="1" xfId="0" applyFont="1" applyFill="1" applyBorder="1" applyAlignment="1">
      <alignment horizontal="left" vertical="top" wrapText="1"/>
    </xf>
    <xf numFmtId="0" fontId="30" fillId="4" borderId="1" xfId="30" applyFont="1" applyFill="1" applyBorder="1" applyAlignment="1">
      <alignment horizontal="left" vertical="top" wrapText="1"/>
    </xf>
    <xf numFmtId="43" fontId="31" fillId="0" borderId="0" xfId="30" applyNumberFormat="1" applyFont="1" applyFill="1" applyAlignment="1">
      <alignment vertical="center" wrapText="1"/>
    </xf>
    <xf numFmtId="0" fontId="31" fillId="0" borderId="0" xfId="0" applyFont="1" applyAlignment="1">
      <alignment horizontal="left" vertical="center"/>
    </xf>
    <xf numFmtId="0" fontId="31" fillId="0" borderId="0" xfId="0" applyFont="1" applyAlignment="1">
      <alignment vertical="center"/>
    </xf>
    <xf numFmtId="0" fontId="30" fillId="4" borderId="0" xfId="30" applyFont="1" applyFill="1" applyBorder="1" applyAlignment="1">
      <alignment horizontal="center" vertical="center" wrapText="1"/>
    </xf>
    <xf numFmtId="0" fontId="42" fillId="0" borderId="0" xfId="30" applyFont="1" applyFill="1" applyBorder="1" applyAlignment="1">
      <alignment horizontal="center" vertical="center" wrapText="1"/>
    </xf>
    <xf numFmtId="0" fontId="43" fillId="25" borderId="0" xfId="0" applyFont="1" applyFill="1" applyBorder="1" applyAlignment="1">
      <alignment horizontal="center" vertical="center" wrapText="1"/>
    </xf>
    <xf numFmtId="0" fontId="31" fillId="0" borderId="0" xfId="0" applyFont="1" applyFill="1" applyBorder="1" applyAlignment="1">
      <alignment horizontal="justify" vertical="center" wrapText="1"/>
    </xf>
    <xf numFmtId="0" fontId="31" fillId="0" borderId="0" xfId="0" applyFont="1" applyFill="1" applyBorder="1" applyAlignment="1">
      <alignment horizontal="left" vertical="top" wrapText="1"/>
    </xf>
    <xf numFmtId="0" fontId="30" fillId="4" borderId="0" xfId="30" applyFont="1" applyFill="1" applyBorder="1" applyAlignment="1">
      <alignment horizontal="left" vertical="top" wrapText="1"/>
    </xf>
    <xf numFmtId="0" fontId="31" fillId="0" borderId="0" xfId="0" applyFont="1" applyFill="1" applyBorder="1" applyAlignment="1">
      <alignment horizontal="left" vertical="center" wrapText="1"/>
    </xf>
    <xf numFmtId="0" fontId="31" fillId="23" borderId="0" xfId="0" applyFont="1" applyFill="1" applyBorder="1" applyAlignment="1">
      <alignment horizontal="justify" vertical="center" wrapText="1"/>
    </xf>
    <xf numFmtId="0" fontId="31" fillId="5" borderId="0" xfId="0" applyFont="1" applyFill="1" applyBorder="1" applyAlignment="1">
      <alignment horizontal="left" vertical="center" wrapText="1"/>
    </xf>
    <xf numFmtId="0" fontId="30" fillId="16" borderId="0" xfId="30" applyFont="1" applyFill="1" applyBorder="1" applyAlignment="1">
      <alignment vertical="center" wrapText="1"/>
    </xf>
    <xf numFmtId="0" fontId="30" fillId="17" borderId="0" xfId="30" applyFont="1" applyFill="1" applyBorder="1" applyAlignment="1">
      <alignment vertical="center" wrapText="1"/>
    </xf>
    <xf numFmtId="0" fontId="30" fillId="14" borderId="0" xfId="30" applyFont="1" applyFill="1" applyBorder="1" applyAlignment="1">
      <alignment vertical="center" wrapText="1"/>
    </xf>
    <xf numFmtId="0" fontId="30" fillId="15" borderId="0" xfId="30" applyFont="1" applyFill="1" applyBorder="1" applyAlignment="1">
      <alignment vertical="center" wrapText="1"/>
    </xf>
    <xf numFmtId="0" fontId="30" fillId="22" borderId="0" xfId="0" applyFont="1" applyFill="1" applyBorder="1" applyAlignment="1">
      <alignment horizontal="center" vertical="center" wrapText="1"/>
    </xf>
    <xf numFmtId="0" fontId="31" fillId="13" borderId="0" xfId="0" applyFont="1" applyFill="1" applyBorder="1" applyAlignment="1">
      <alignment horizontal="center" vertical="center" wrapText="1"/>
    </xf>
    <xf numFmtId="0" fontId="31" fillId="0" borderId="0" xfId="0" applyFont="1" applyFill="1" applyBorder="1" applyAlignment="1">
      <alignment vertical="center" wrapText="1"/>
    </xf>
    <xf numFmtId="0" fontId="30" fillId="4" borderId="1" xfId="0" applyFont="1" applyFill="1" applyBorder="1" applyAlignment="1">
      <alignment horizontal="center" vertical="center" wrapText="1"/>
    </xf>
    <xf numFmtId="0" fontId="66" fillId="25" borderId="0" xfId="0" applyFont="1" applyFill="1" applyAlignment="1">
      <alignment horizontal="center" vertical="center" wrapText="1"/>
    </xf>
    <xf numFmtId="0" fontId="30" fillId="4" borderId="1" xfId="0" applyFont="1" applyFill="1" applyBorder="1" applyAlignment="1">
      <alignment horizontal="center" vertical="center" wrapText="1"/>
    </xf>
    <xf numFmtId="0" fontId="66" fillId="25" borderId="0" xfId="0" applyFont="1" applyFill="1" applyAlignment="1">
      <alignment horizontal="center" vertical="center" wrapText="1"/>
    </xf>
    <xf numFmtId="0" fontId="43" fillId="0" borderId="0" xfId="32" applyNumberFormat="1" applyFont="1" applyFill="1" applyAlignment="1">
      <alignment horizontal="center" vertical="center" wrapText="1"/>
    </xf>
    <xf numFmtId="0" fontId="43" fillId="5" borderId="0" xfId="32" applyNumberFormat="1" applyFont="1" applyFill="1" applyAlignment="1">
      <alignment horizontal="center" vertical="center" wrapText="1"/>
    </xf>
    <xf numFmtId="0" fontId="31" fillId="0" borderId="5" xfId="32" applyNumberFormat="1" applyFont="1" applyFill="1" applyBorder="1" applyAlignment="1">
      <alignment vertical="center" wrapText="1"/>
    </xf>
    <xf numFmtId="0" fontId="48" fillId="0" borderId="8" xfId="0" applyFont="1" applyBorder="1" applyAlignment="1">
      <alignment horizontal="center" vertical="center"/>
    </xf>
    <xf numFmtId="0" fontId="48" fillId="0" borderId="3" xfId="0" applyFont="1" applyBorder="1" applyAlignment="1">
      <alignment horizontal="center" vertical="center"/>
    </xf>
    <xf numFmtId="0" fontId="31" fillId="0" borderId="5" xfId="0" applyFont="1" applyFill="1" applyBorder="1" applyAlignment="1">
      <alignment horizontal="left" vertical="center" wrapText="1"/>
    </xf>
    <xf numFmtId="49" fontId="31" fillId="0" borderId="0" xfId="0" applyNumberFormat="1" applyFont="1" applyFill="1" applyBorder="1" applyAlignment="1">
      <alignment horizontal="center" vertical="center" wrapText="1"/>
    </xf>
    <xf numFmtId="0" fontId="57" fillId="0" borderId="0" xfId="0" applyFont="1" applyFill="1" applyBorder="1" applyAlignment="1">
      <alignment horizontal="left" vertical="center" wrapText="1"/>
    </xf>
    <xf numFmtId="180" fontId="69" fillId="0" borderId="17" xfId="32" applyNumberFormat="1" applyFont="1" applyFill="1" applyBorder="1" applyAlignment="1">
      <alignment vertical="center" wrapText="1"/>
    </xf>
    <xf numFmtId="0" fontId="38" fillId="0" borderId="0" xfId="0" applyFont="1" applyAlignment="1">
      <alignment vertical="center" wrapText="1"/>
    </xf>
    <xf numFmtId="0" fontId="39" fillId="12" borderId="0" xfId="0" applyFont="1" applyFill="1" applyAlignment="1">
      <alignment horizontal="center" vertical="center" wrapText="1"/>
    </xf>
    <xf numFmtId="0" fontId="39" fillId="12" borderId="0" xfId="0" applyFont="1" applyFill="1" applyAlignment="1">
      <alignment horizontal="center" vertical="center"/>
    </xf>
    <xf numFmtId="0" fontId="39" fillId="12" borderId="0" xfId="0" applyFont="1" applyFill="1" applyAlignment="1">
      <alignment horizontal="left" vertical="center" wrapText="1"/>
    </xf>
    <xf numFmtId="0" fontId="39" fillId="12" borderId="0" xfId="0" applyFont="1" applyFill="1" applyAlignment="1">
      <alignment horizontal="left" vertical="center"/>
    </xf>
    <xf numFmtId="0" fontId="38" fillId="24" borderId="0" xfId="0" applyFont="1" applyFill="1" applyAlignment="1">
      <alignment horizontal="left" vertical="center" wrapText="1"/>
    </xf>
    <xf numFmtId="0" fontId="38" fillId="0" borderId="0" xfId="0" applyFont="1" applyAlignment="1">
      <alignment horizontal="left" vertical="center" wrapText="1"/>
    </xf>
    <xf numFmtId="0" fontId="39" fillId="10" borderId="9" xfId="0" applyFont="1" applyFill="1" applyBorder="1" applyAlignment="1">
      <alignment horizontal="center" vertical="center"/>
    </xf>
    <xf numFmtId="0" fontId="39" fillId="10" borderId="2" xfId="0" applyFont="1" applyFill="1" applyBorder="1" applyAlignment="1">
      <alignment horizontal="center" vertical="center"/>
    </xf>
    <xf numFmtId="0" fontId="45" fillId="0" borderId="14" xfId="0" applyFont="1" applyFill="1" applyBorder="1" applyAlignment="1">
      <alignment horizontal="left" vertical="center" wrapText="1"/>
    </xf>
    <xf numFmtId="0" fontId="45" fillId="0" borderId="15" xfId="0" applyFont="1" applyFill="1" applyBorder="1" applyAlignment="1">
      <alignment horizontal="left" vertical="center" wrapText="1"/>
    </xf>
    <xf numFmtId="0" fontId="45" fillId="0" borderId="16" xfId="0" applyFont="1" applyFill="1" applyBorder="1" applyAlignment="1">
      <alignment horizontal="left" vertical="center" wrapText="1"/>
    </xf>
    <xf numFmtId="0" fontId="45" fillId="0" borderId="13" xfId="0" applyFont="1" applyFill="1" applyBorder="1" applyAlignment="1">
      <alignment horizontal="left" vertical="center" wrapText="1"/>
    </xf>
    <xf numFmtId="0" fontId="45" fillId="0" borderId="16" xfId="0" applyFont="1" applyBorder="1" applyAlignment="1">
      <alignment horizontal="left" vertical="center" wrapText="1"/>
    </xf>
    <xf numFmtId="0" fontId="45" fillId="0" borderId="13" xfId="0" applyFont="1" applyBorder="1" applyAlignment="1">
      <alignment horizontal="left" vertical="center" wrapText="1"/>
    </xf>
    <xf numFmtId="0" fontId="46" fillId="0" borderId="16" xfId="0" applyFont="1" applyBorder="1" applyAlignment="1">
      <alignment horizontal="left" vertical="center"/>
    </xf>
    <xf numFmtId="0" fontId="46" fillId="0" borderId="13" xfId="0" applyFont="1" applyBorder="1" applyAlignment="1">
      <alignment horizontal="left" vertical="center"/>
    </xf>
    <xf numFmtId="0" fontId="46" fillId="0" borderId="16" xfId="0" applyFont="1" applyBorder="1" applyAlignment="1">
      <alignment horizontal="left"/>
    </xf>
    <xf numFmtId="0" fontId="46" fillId="0" borderId="13" xfId="0" applyFont="1" applyBorder="1" applyAlignment="1">
      <alignment horizontal="left"/>
    </xf>
    <xf numFmtId="0" fontId="29" fillId="0" borderId="16" xfId="0" applyFont="1" applyBorder="1" applyAlignment="1">
      <alignment horizontal="left"/>
    </xf>
    <xf numFmtId="0" fontId="29" fillId="0" borderId="13" xfId="0" applyFont="1" applyBorder="1" applyAlignment="1">
      <alignment horizontal="left"/>
    </xf>
    <xf numFmtId="0" fontId="30" fillId="4" borderId="1"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30" fillId="8" borderId="1" xfId="0" applyFont="1" applyFill="1" applyBorder="1" applyAlignment="1">
      <alignment horizontal="center" vertical="center" wrapText="1"/>
    </xf>
    <xf numFmtId="0" fontId="30" fillId="9" borderId="1" xfId="0" applyFont="1" applyFill="1" applyBorder="1" applyAlignment="1">
      <alignment horizontal="center" vertical="center" wrapText="1"/>
    </xf>
    <xf numFmtId="3" fontId="32" fillId="8" borderId="1" xfId="0" applyNumberFormat="1" applyFont="1" applyFill="1" applyBorder="1" applyAlignment="1">
      <alignment horizontal="center" vertical="center" wrapText="1"/>
    </xf>
    <xf numFmtId="3" fontId="32" fillId="9" borderId="1" xfId="0" applyNumberFormat="1" applyFont="1" applyFill="1" applyBorder="1" applyAlignment="1">
      <alignment horizontal="center" vertical="center" wrapText="1"/>
    </xf>
    <xf numFmtId="0" fontId="30" fillId="4" borderId="1" xfId="0" applyNumberFormat="1" applyFont="1" applyFill="1" applyBorder="1" applyAlignment="1">
      <alignment horizontal="center" vertical="center" wrapText="1"/>
    </xf>
    <xf numFmtId="3" fontId="32" fillId="7" borderId="1" xfId="0" applyNumberFormat="1" applyFont="1" applyFill="1" applyBorder="1" applyAlignment="1">
      <alignment horizontal="center" vertical="center" wrapText="1"/>
    </xf>
    <xf numFmtId="0" fontId="36" fillId="0" borderId="0" xfId="0" applyFont="1" applyAlignment="1">
      <alignment horizontal="center" vertical="center" wrapText="1"/>
    </xf>
    <xf numFmtId="0" fontId="47" fillId="0" borderId="0" xfId="0" applyFont="1" applyAlignment="1">
      <alignment horizontal="justify" vertical="center" wrapText="1"/>
    </xf>
    <xf numFmtId="0" fontId="48" fillId="0" borderId="0" xfId="0" applyFont="1" applyAlignment="1">
      <alignment horizontal="justify" vertical="center" wrapText="1"/>
    </xf>
    <xf numFmtId="0" fontId="48" fillId="6" borderId="8" xfId="0" applyFont="1" applyFill="1" applyBorder="1" applyAlignment="1">
      <alignment horizontal="center" vertical="center"/>
    </xf>
    <xf numFmtId="0" fontId="48" fillId="6" borderId="3" xfId="0" applyFont="1" applyFill="1" applyBorder="1" applyAlignment="1">
      <alignment horizontal="center" vertical="center"/>
    </xf>
    <xf numFmtId="0" fontId="48" fillId="0" borderId="8" xfId="0" applyFont="1" applyBorder="1" applyAlignment="1">
      <alignment horizontal="center" vertical="center"/>
    </xf>
    <xf numFmtId="0" fontId="48" fillId="0" borderId="3" xfId="0" applyFont="1" applyBorder="1" applyAlignment="1">
      <alignment horizontal="center" vertical="center"/>
    </xf>
    <xf numFmtId="0" fontId="71" fillId="0" borderId="0" xfId="0" applyFont="1" applyAlignment="1">
      <alignment horizontal="center" vertical="center"/>
    </xf>
    <xf numFmtId="0" fontId="31" fillId="0" borderId="18" xfId="0" applyFont="1" applyFill="1" applyBorder="1" applyAlignment="1">
      <alignment horizontal="center" vertical="center" wrapText="1"/>
    </xf>
    <xf numFmtId="0" fontId="31" fillId="0" borderId="17" xfId="0" applyFont="1" applyFill="1" applyBorder="1" applyAlignment="1">
      <alignment horizontal="center" vertical="center" wrapText="1"/>
    </xf>
    <xf numFmtId="0" fontId="31" fillId="0" borderId="5" xfId="0" applyFont="1" applyFill="1" applyBorder="1" applyAlignment="1">
      <alignment horizontal="center" vertical="center" wrapText="1"/>
    </xf>
    <xf numFmtId="180" fontId="69" fillId="0" borderId="18" xfId="32" applyNumberFormat="1" applyFont="1" applyFill="1" applyBorder="1" applyAlignment="1">
      <alignment horizontal="center" vertical="center" wrapText="1"/>
    </xf>
    <xf numFmtId="180" fontId="69" fillId="0" borderId="17" xfId="32" applyNumberFormat="1" applyFont="1" applyFill="1" applyBorder="1" applyAlignment="1">
      <alignment horizontal="center" vertical="center" wrapText="1"/>
    </xf>
    <xf numFmtId="180" fontId="69" fillId="0" borderId="5" xfId="32" applyNumberFormat="1" applyFont="1" applyFill="1" applyBorder="1" applyAlignment="1">
      <alignment horizontal="center" vertical="center" wrapText="1"/>
    </xf>
    <xf numFmtId="0" fontId="30" fillId="4" borderId="1" xfId="30" applyFont="1" applyFill="1" applyBorder="1" applyAlignment="1">
      <alignment horizontal="right" vertical="center" wrapText="1"/>
    </xf>
    <xf numFmtId="0" fontId="58" fillId="0" borderId="8" xfId="0" applyNumberFormat="1" applyFont="1" applyBorder="1" applyAlignment="1">
      <alignment horizontal="left" vertical="center" wrapText="1"/>
    </xf>
    <xf numFmtId="0" fontId="58" fillId="0" borderId="11" xfId="0" applyNumberFormat="1" applyFont="1" applyBorder="1" applyAlignment="1">
      <alignment horizontal="left" vertical="center" wrapText="1"/>
    </xf>
    <xf numFmtId="0" fontId="58" fillId="0" borderId="3" xfId="0" applyNumberFormat="1" applyFont="1" applyBorder="1" applyAlignment="1">
      <alignment horizontal="left" vertical="center" wrapText="1"/>
    </xf>
    <xf numFmtId="170" fontId="66" fillId="25" borderId="1" xfId="30" applyNumberFormat="1" applyFont="1" applyFill="1" applyBorder="1" applyAlignment="1">
      <alignment horizontal="center" vertical="center" wrapText="1"/>
    </xf>
    <xf numFmtId="0" fontId="43" fillId="25" borderId="1" xfId="0" applyFont="1" applyFill="1" applyBorder="1" applyAlignment="1">
      <alignment horizontal="center" vertical="center" wrapText="1"/>
    </xf>
    <xf numFmtId="0" fontId="66" fillId="25" borderId="8" xfId="30" applyFont="1" applyFill="1" applyBorder="1" applyAlignment="1">
      <alignment horizontal="center" vertical="center" wrapText="1"/>
    </xf>
    <xf numFmtId="0" fontId="66" fillId="25" borderId="11" xfId="30" applyFont="1" applyFill="1" applyBorder="1" applyAlignment="1">
      <alignment horizontal="center" vertical="center" wrapText="1"/>
    </xf>
    <xf numFmtId="0" fontId="66" fillId="25" borderId="7" xfId="30" applyFont="1" applyFill="1" applyBorder="1" applyAlignment="1">
      <alignment horizontal="center" vertical="center" wrapText="1"/>
    </xf>
    <xf numFmtId="0" fontId="66" fillId="25" borderId="4" xfId="30" applyFont="1" applyFill="1" applyBorder="1" applyAlignment="1">
      <alignment horizontal="center" vertical="center" wrapText="1"/>
    </xf>
    <xf numFmtId="0" fontId="31" fillId="0" borderId="18" xfId="0" applyNumberFormat="1" applyFont="1" applyBorder="1" applyAlignment="1">
      <alignment horizontal="center" vertical="center" wrapText="1"/>
    </xf>
    <xf numFmtId="0" fontId="31" fillId="0" borderId="17" xfId="0" applyNumberFormat="1" applyFont="1" applyBorder="1" applyAlignment="1">
      <alignment horizontal="center" vertical="center" wrapText="1"/>
    </xf>
    <xf numFmtId="0" fontId="31" fillId="0" borderId="5" xfId="0" applyNumberFormat="1" applyFont="1" applyBorder="1" applyAlignment="1">
      <alignment horizontal="center" vertical="center" wrapText="1"/>
    </xf>
    <xf numFmtId="170" fontId="30" fillId="13" borderId="1" xfId="30" applyNumberFormat="1" applyFont="1" applyFill="1" applyBorder="1" applyAlignment="1">
      <alignment horizontal="center" vertical="center" wrapText="1"/>
    </xf>
    <xf numFmtId="0" fontId="31" fillId="13" borderId="1" xfId="0" applyFont="1" applyFill="1" applyBorder="1" applyAlignment="1">
      <alignment horizontal="center" vertical="center" wrapText="1"/>
    </xf>
    <xf numFmtId="0" fontId="30" fillId="13" borderId="8" xfId="30" applyFont="1" applyFill="1" applyBorder="1" applyAlignment="1">
      <alignment horizontal="center" vertical="center" wrapText="1"/>
    </xf>
    <xf numFmtId="0" fontId="30" fillId="13" borderId="11" xfId="30" applyFont="1" applyFill="1" applyBorder="1" applyAlignment="1">
      <alignment horizontal="center" vertical="center" wrapText="1"/>
    </xf>
    <xf numFmtId="0" fontId="30" fillId="13" borderId="3" xfId="30" applyFont="1" applyFill="1" applyBorder="1" applyAlignment="1">
      <alignment horizontal="center" vertical="center" wrapText="1"/>
    </xf>
    <xf numFmtId="0" fontId="30" fillId="4" borderId="8" xfId="30" applyFont="1" applyFill="1" applyBorder="1" applyAlignment="1">
      <alignment horizontal="right" vertical="center" wrapText="1"/>
    </xf>
    <xf numFmtId="0" fontId="30" fillId="4" borderId="11" xfId="30" applyFont="1" applyFill="1" applyBorder="1" applyAlignment="1">
      <alignment horizontal="right" vertical="center" wrapText="1"/>
    </xf>
    <xf numFmtId="0" fontId="30" fillId="4" borderId="3" xfId="30" applyFont="1" applyFill="1" applyBorder="1" applyAlignment="1">
      <alignment horizontal="right" vertical="center" wrapText="1"/>
    </xf>
    <xf numFmtId="2" fontId="30" fillId="0" borderId="0" xfId="0" applyNumberFormat="1" applyFont="1" applyFill="1" applyAlignment="1">
      <alignment horizontal="left" vertical="center" wrapText="1"/>
    </xf>
    <xf numFmtId="0" fontId="31" fillId="0" borderId="0" xfId="0" applyFont="1" applyAlignment="1">
      <alignment horizontal="left" vertical="center"/>
    </xf>
    <xf numFmtId="49" fontId="30" fillId="0" borderId="0" xfId="0" applyNumberFormat="1" applyFont="1" applyFill="1" applyAlignment="1">
      <alignment horizontal="center" vertical="center" wrapText="1"/>
    </xf>
    <xf numFmtId="0" fontId="31" fillId="0" borderId="0" xfId="0" applyFont="1" applyAlignment="1">
      <alignment vertical="center"/>
    </xf>
    <xf numFmtId="2" fontId="30" fillId="0" borderId="0" xfId="0" applyNumberFormat="1" applyFont="1" applyFill="1" applyAlignment="1">
      <alignment horizontal="center" vertical="center" wrapText="1"/>
    </xf>
    <xf numFmtId="0" fontId="54" fillId="4" borderId="8" xfId="30" applyFont="1" applyFill="1" applyBorder="1" applyAlignment="1">
      <alignment horizontal="center" vertical="center" wrapText="1"/>
    </xf>
    <xf numFmtId="0" fontId="54" fillId="4" borderId="11" xfId="30" applyFont="1" applyFill="1" applyBorder="1" applyAlignment="1">
      <alignment horizontal="center" vertical="center" wrapText="1"/>
    </xf>
    <xf numFmtId="0" fontId="54" fillId="4" borderId="3" xfId="30" applyFont="1" applyFill="1" applyBorder="1" applyAlignment="1">
      <alignment horizontal="center" vertical="center" wrapText="1"/>
    </xf>
    <xf numFmtId="2" fontId="48" fillId="26" borderId="8" xfId="30" applyNumberFormat="1" applyFont="1" applyFill="1" applyBorder="1" applyAlignment="1">
      <alignment horizontal="left" vertical="top" wrapText="1"/>
    </xf>
    <xf numFmtId="2" fontId="48" fillId="26" borderId="11" xfId="30" applyNumberFormat="1" applyFont="1" applyFill="1" applyBorder="1" applyAlignment="1">
      <alignment horizontal="left" vertical="top" wrapText="1"/>
    </xf>
    <xf numFmtId="2" fontId="48" fillId="26" borderId="3" xfId="30" applyNumberFormat="1" applyFont="1" applyFill="1" applyBorder="1" applyAlignment="1">
      <alignment horizontal="left" vertical="top" wrapText="1"/>
    </xf>
    <xf numFmtId="0" fontId="30" fillId="4" borderId="8" xfId="30" applyFont="1" applyFill="1" applyBorder="1" applyAlignment="1">
      <alignment horizontal="center" vertical="center" wrapText="1"/>
    </xf>
    <xf numFmtId="0" fontId="30" fillId="4" borderId="11" xfId="30" applyFont="1" applyFill="1" applyBorder="1" applyAlignment="1">
      <alignment horizontal="center" vertical="center" wrapText="1"/>
    </xf>
    <xf numFmtId="0" fontId="30" fillId="4" borderId="3" xfId="30" applyFont="1" applyFill="1" applyBorder="1" applyAlignment="1">
      <alignment horizontal="center" vertical="center" wrapText="1"/>
    </xf>
    <xf numFmtId="0" fontId="42" fillId="0" borderId="1" xfId="30" applyFont="1" applyFill="1" applyBorder="1" applyAlignment="1">
      <alignment horizontal="center" vertical="center" wrapText="1"/>
    </xf>
    <xf numFmtId="0" fontId="66" fillId="25" borderId="0" xfId="0" applyFont="1" applyFill="1" applyAlignment="1">
      <alignment horizontal="center" vertical="center" wrapText="1"/>
    </xf>
    <xf numFmtId="0" fontId="57" fillId="0" borderId="0" xfId="0" applyFont="1" applyAlignment="1">
      <alignment horizontal="center" vertical="center" wrapText="1"/>
    </xf>
    <xf numFmtId="3" fontId="70" fillId="4" borderId="9" xfId="0" applyNumberFormat="1" applyFont="1" applyFill="1" applyBorder="1" applyAlignment="1">
      <alignment horizontal="center" vertical="center" wrapText="1"/>
    </xf>
    <xf numFmtId="0" fontId="70" fillId="4" borderId="10" xfId="0" applyFont="1" applyFill="1" applyBorder="1" applyAlignment="1">
      <alignment horizontal="center" vertical="center" wrapText="1"/>
    </xf>
    <xf numFmtId="0" fontId="70" fillId="4" borderId="2" xfId="0" applyFont="1" applyFill="1" applyBorder="1" applyAlignment="1">
      <alignment horizontal="center" vertical="center" wrapText="1"/>
    </xf>
    <xf numFmtId="0" fontId="65" fillId="0" borderId="0" xfId="0" applyFont="1" applyAlignment="1">
      <alignment horizontal="center" vertical="center" wrapText="1"/>
    </xf>
    <xf numFmtId="0" fontId="65" fillId="0" borderId="7" xfId="0" applyFont="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3" fontId="52" fillId="4" borderId="9" xfId="0" applyNumberFormat="1" applyFont="1" applyFill="1" applyBorder="1" applyAlignment="1">
      <alignment horizontal="center" vertical="center" wrapText="1"/>
    </xf>
    <xf numFmtId="0" fontId="52" fillId="4" borderId="10" xfId="0" applyFont="1" applyFill="1" applyBorder="1" applyAlignment="1">
      <alignment horizontal="center" vertical="center" wrapText="1"/>
    </xf>
    <xf numFmtId="0" fontId="52" fillId="4" borderId="2" xfId="0" applyFont="1" applyFill="1" applyBorder="1" applyAlignment="1">
      <alignment horizontal="center" vertical="center" wrapText="1"/>
    </xf>
    <xf numFmtId="3" fontId="62" fillId="4" borderId="9" xfId="0" applyNumberFormat="1" applyFont="1" applyFill="1" applyBorder="1" applyAlignment="1">
      <alignment horizontal="center" vertical="center" wrapText="1"/>
    </xf>
    <xf numFmtId="0" fontId="62" fillId="4" borderId="10" xfId="0" applyFont="1" applyFill="1" applyBorder="1" applyAlignment="1">
      <alignment horizontal="center" vertical="center" wrapText="1"/>
    </xf>
    <xf numFmtId="0" fontId="62" fillId="4" borderId="2" xfId="0" applyFont="1" applyFill="1" applyBorder="1" applyAlignment="1">
      <alignment horizontal="center" vertical="center" wrapText="1"/>
    </xf>
  </cellXfs>
  <cellStyles count="219">
    <cellStyle name="BodyStyle" xfId="172" xr:uid="{00000000-0005-0000-0000-000000000000}"/>
    <cellStyle name="BodyStyleBold" xfId="191" xr:uid="{00000000-0005-0000-0000-000001000000}"/>
    <cellStyle name="BodyStyleBoldRight" xfId="192" xr:uid="{00000000-0005-0000-0000-000002000000}"/>
    <cellStyle name="BodyStyleWithBorder" xfId="197" xr:uid="{00000000-0005-0000-0000-000003000000}"/>
    <cellStyle name="BorderThinBlack" xfId="201" xr:uid="{00000000-0005-0000-0000-000004000000}"/>
    <cellStyle name="Comma" xfId="184" xr:uid="{00000000-0005-0000-0000-000005000000}"/>
    <cellStyle name="Comma [0]" xfId="185" xr:uid="{00000000-0005-0000-0000-000006000000}"/>
    <cellStyle name="Currency" xfId="173" xr:uid="{00000000-0005-0000-0000-000007000000}"/>
    <cellStyle name="Currency [0]" xfId="183" xr:uid="{00000000-0005-0000-0000-000008000000}"/>
    <cellStyle name="Currency 2" xfId="182" xr:uid="{00000000-0005-0000-0000-000009000000}"/>
    <cellStyle name="Currency 3" xfId="205" xr:uid="{00000000-0005-0000-0000-00000A000000}"/>
    <cellStyle name="DateStyle" xfId="194" xr:uid="{00000000-0005-0000-0000-00000B000000}"/>
    <cellStyle name="DateTimeStyle" xfId="195" xr:uid="{00000000-0005-0000-0000-00000C000000}"/>
    <cellStyle name="Decimal" xfId="196" xr:uid="{00000000-0005-0000-0000-00000D000000}"/>
    <cellStyle name="DecimalWithBorder" xfId="200" xr:uid="{00000000-0005-0000-0000-00000E000000}"/>
    <cellStyle name="Euro" xfId="1" xr:uid="{00000000-0005-0000-0000-00000F000000}"/>
    <cellStyle name="Euro 2" xfId="2" xr:uid="{00000000-0005-0000-0000-000010000000}"/>
    <cellStyle name="Euro 2 2" xfId="3" xr:uid="{00000000-0005-0000-0000-000011000000}"/>
    <cellStyle name="Euro 2 3" xfId="4" xr:uid="{00000000-0005-0000-0000-000012000000}"/>
    <cellStyle name="Euro 2 4" xfId="5" xr:uid="{00000000-0005-0000-0000-000013000000}"/>
    <cellStyle name="Euro 2 5" xfId="6" xr:uid="{00000000-0005-0000-0000-000014000000}"/>
    <cellStyle name="Euro 2 6" xfId="90" xr:uid="{00000000-0005-0000-0000-000015000000}"/>
    <cellStyle name="Euro 3" xfId="7" xr:uid="{00000000-0005-0000-0000-000016000000}"/>
    <cellStyle name="Euro 3 2" xfId="8" xr:uid="{00000000-0005-0000-0000-000017000000}"/>
    <cellStyle name="Euro 3 3" xfId="91" xr:uid="{00000000-0005-0000-0000-000018000000}"/>
    <cellStyle name="Euro 4" xfId="9" xr:uid="{00000000-0005-0000-0000-000019000000}"/>
    <cellStyle name="Euro 5" xfId="10" xr:uid="{00000000-0005-0000-0000-00001A000000}"/>
    <cellStyle name="Euro 6" xfId="11" xr:uid="{00000000-0005-0000-0000-00001B000000}"/>
    <cellStyle name="Euro 7" xfId="12" xr:uid="{00000000-0005-0000-0000-00001C000000}"/>
    <cellStyle name="Euro 8" xfId="89" xr:uid="{00000000-0005-0000-0000-00001D000000}"/>
    <cellStyle name="EuroCurrency" xfId="193" xr:uid="{00000000-0005-0000-0000-00001E000000}"/>
    <cellStyle name="EuroCurrencyWithBorder" xfId="198" xr:uid="{00000000-0005-0000-0000-00001F000000}"/>
    <cellStyle name="HeaderStyle" xfId="175" xr:uid="{00000000-0005-0000-0000-000020000000}"/>
    <cellStyle name="HeaderSubTop" xfId="189" xr:uid="{00000000-0005-0000-0000-000021000000}"/>
    <cellStyle name="HeaderSubTopNoBold" xfId="190" xr:uid="{00000000-0005-0000-0000-000022000000}"/>
    <cellStyle name="HeaderTopBuyer" xfId="186" xr:uid="{00000000-0005-0000-0000-000023000000}"/>
    <cellStyle name="HeaderTopStyle" xfId="187" xr:uid="{00000000-0005-0000-0000-000024000000}"/>
    <cellStyle name="HeaderTopStyleAlignRight" xfId="188" xr:uid="{00000000-0005-0000-0000-000025000000}"/>
    <cellStyle name="Hipervínculo" xfId="13" builtinId="8"/>
    <cellStyle name="MainTitle" xfId="178" xr:uid="{00000000-0005-0000-0000-000027000000}"/>
    <cellStyle name="Millares" xfId="14" builtinId="3"/>
    <cellStyle name="Millares [0] 2" xfId="53" xr:uid="{00000000-0005-0000-0000-000029000000}"/>
    <cellStyle name="Millares [0] 3" xfId="54" xr:uid="{00000000-0005-0000-0000-00002A000000}"/>
    <cellStyle name="Millares 10" xfId="150" xr:uid="{00000000-0005-0000-0000-00002B000000}"/>
    <cellStyle name="Millares 11" xfId="134" xr:uid="{00000000-0005-0000-0000-00002C000000}"/>
    <cellStyle name="Millares 12" xfId="154" xr:uid="{00000000-0005-0000-0000-00002D000000}"/>
    <cellStyle name="Millares 13" xfId="157" xr:uid="{00000000-0005-0000-0000-00002E000000}"/>
    <cellStyle name="Millares 14" xfId="170" xr:uid="{00000000-0005-0000-0000-00002F000000}"/>
    <cellStyle name="Millares 14 2" xfId="177" xr:uid="{00000000-0005-0000-0000-000030000000}"/>
    <cellStyle name="Millares 15" xfId="180" xr:uid="{00000000-0005-0000-0000-000031000000}"/>
    <cellStyle name="Millares 16" xfId="207" xr:uid="{00000000-0005-0000-0000-000032000000}"/>
    <cellStyle name="Millares 17" xfId="211" xr:uid="{00000000-0005-0000-0000-000033000000}"/>
    <cellStyle name="Millares 2" xfId="15" xr:uid="{00000000-0005-0000-0000-000034000000}"/>
    <cellStyle name="Millares 2 2" xfId="16" xr:uid="{00000000-0005-0000-0000-000035000000}"/>
    <cellStyle name="Millares 2 3" xfId="55" xr:uid="{00000000-0005-0000-0000-000036000000}"/>
    <cellStyle name="Millares 2 4" xfId="56" xr:uid="{00000000-0005-0000-0000-000037000000}"/>
    <cellStyle name="Millares 2 5" xfId="92" xr:uid="{00000000-0005-0000-0000-000038000000}"/>
    <cellStyle name="Millares 2 6" xfId="162" xr:uid="{00000000-0005-0000-0000-000039000000}"/>
    <cellStyle name="Millares 3" xfId="17" xr:uid="{00000000-0005-0000-0000-00003A000000}"/>
    <cellStyle name="Millares 3 2" xfId="18" xr:uid="{00000000-0005-0000-0000-00003B000000}"/>
    <cellStyle name="Millares 3 3" xfId="93" xr:uid="{00000000-0005-0000-0000-00003C000000}"/>
    <cellStyle name="Millares 3 48" xfId="132" xr:uid="{00000000-0005-0000-0000-00003D000000}"/>
    <cellStyle name="Millares 4" xfId="57" xr:uid="{00000000-0005-0000-0000-00003E000000}"/>
    <cellStyle name="Millares 5" xfId="123" xr:uid="{00000000-0005-0000-0000-00003F000000}"/>
    <cellStyle name="Millares 6" xfId="128" xr:uid="{00000000-0005-0000-0000-000040000000}"/>
    <cellStyle name="Millares 7" xfId="137" xr:uid="{00000000-0005-0000-0000-000041000000}"/>
    <cellStyle name="Millares 8" xfId="141" xr:uid="{00000000-0005-0000-0000-000042000000}"/>
    <cellStyle name="Millares 9" xfId="145" xr:uid="{00000000-0005-0000-0000-000043000000}"/>
    <cellStyle name="Moneda 10" xfId="140" xr:uid="{00000000-0005-0000-0000-000044000000}"/>
    <cellStyle name="Moneda 11" xfId="144" xr:uid="{00000000-0005-0000-0000-000045000000}"/>
    <cellStyle name="Moneda 12" xfId="149" xr:uid="{00000000-0005-0000-0000-000046000000}"/>
    <cellStyle name="Moneda 13" xfId="153" xr:uid="{00000000-0005-0000-0000-000047000000}"/>
    <cellStyle name="Moneda 14" xfId="156" xr:uid="{00000000-0005-0000-0000-000048000000}"/>
    <cellStyle name="Moneda 15" xfId="165" xr:uid="{00000000-0005-0000-0000-000049000000}"/>
    <cellStyle name="Moneda 16" xfId="169" xr:uid="{00000000-0005-0000-0000-00004A000000}"/>
    <cellStyle name="Moneda 17" xfId="206" xr:uid="{00000000-0005-0000-0000-00004B000000}"/>
    <cellStyle name="Moneda 18" xfId="210" xr:uid="{00000000-0005-0000-0000-00004C000000}"/>
    <cellStyle name="Moneda 19" xfId="214" xr:uid="{00000000-0005-0000-0000-00004D000000}"/>
    <cellStyle name="Moneda 2" xfId="19" xr:uid="{00000000-0005-0000-0000-00004E000000}"/>
    <cellStyle name="Moneda 2 2" xfId="20" xr:uid="{00000000-0005-0000-0000-00004F000000}"/>
    <cellStyle name="Moneda 2 3" xfId="21" xr:uid="{00000000-0005-0000-0000-000050000000}"/>
    <cellStyle name="Moneda 2 4" xfId="22" xr:uid="{00000000-0005-0000-0000-000051000000}"/>
    <cellStyle name="Moneda 2 5" xfId="23" xr:uid="{00000000-0005-0000-0000-000052000000}"/>
    <cellStyle name="Moneda 2 6" xfId="94" xr:uid="{00000000-0005-0000-0000-000053000000}"/>
    <cellStyle name="Moneda 2 7" xfId="161" xr:uid="{00000000-0005-0000-0000-000054000000}"/>
    <cellStyle name="Moneda 20" xfId="218" xr:uid="{00000000-0005-0000-0000-000055000000}"/>
    <cellStyle name="Moneda 3" xfId="24" xr:uid="{00000000-0005-0000-0000-000056000000}"/>
    <cellStyle name="Moneda 3 2" xfId="25" xr:uid="{00000000-0005-0000-0000-000057000000}"/>
    <cellStyle name="Moneda 3 2 2" xfId="26" xr:uid="{00000000-0005-0000-0000-000058000000}"/>
    <cellStyle name="Moneda 3 2 3" xfId="96" xr:uid="{00000000-0005-0000-0000-000059000000}"/>
    <cellStyle name="Moneda 3 3" xfId="27" xr:uid="{00000000-0005-0000-0000-00005A000000}"/>
    <cellStyle name="Moneda 3 4" xfId="95" xr:uid="{00000000-0005-0000-0000-00005B000000}"/>
    <cellStyle name="Moneda 4" xfId="28" xr:uid="{00000000-0005-0000-0000-00005C000000}"/>
    <cellStyle name="Moneda 4 2" xfId="29" xr:uid="{00000000-0005-0000-0000-00005D000000}"/>
    <cellStyle name="Moneda 4 3" xfId="97" xr:uid="{00000000-0005-0000-0000-00005E000000}"/>
    <cellStyle name="Moneda 4 4" xfId="163" xr:uid="{00000000-0005-0000-0000-00005F000000}"/>
    <cellStyle name="Moneda 5" xfId="58" xr:uid="{00000000-0005-0000-0000-000060000000}"/>
    <cellStyle name="Moneda 6" xfId="122" xr:uid="{00000000-0005-0000-0000-000061000000}"/>
    <cellStyle name="Moneda 7" xfId="125" xr:uid="{00000000-0005-0000-0000-000062000000}"/>
    <cellStyle name="Moneda 8" xfId="129" xr:uid="{00000000-0005-0000-0000-000063000000}"/>
    <cellStyle name="Moneda 9" xfId="136" xr:uid="{00000000-0005-0000-0000-000064000000}"/>
    <cellStyle name="Normal" xfId="0" builtinId="0"/>
    <cellStyle name="Normal 10" xfId="98" xr:uid="{00000000-0005-0000-0000-000066000000}"/>
    <cellStyle name="Normal 10 2" xfId="215" xr:uid="{00000000-0005-0000-0000-000067000000}"/>
    <cellStyle name="Normal 11" xfId="120" xr:uid="{00000000-0005-0000-0000-000068000000}"/>
    <cellStyle name="Normal 12" xfId="121" xr:uid="{00000000-0005-0000-0000-000069000000}"/>
    <cellStyle name="Normal 13" xfId="126" xr:uid="{00000000-0005-0000-0000-00006A000000}"/>
    <cellStyle name="Normal 14" xfId="127" xr:uid="{00000000-0005-0000-0000-00006B000000}"/>
    <cellStyle name="Normal 14 2" xfId="159" xr:uid="{00000000-0005-0000-0000-00006C000000}"/>
    <cellStyle name="Normal 14 3" xfId="167" xr:uid="{00000000-0005-0000-0000-00006D000000}"/>
    <cellStyle name="Normal 14 4" xfId="176" xr:uid="{00000000-0005-0000-0000-00006E000000}"/>
    <cellStyle name="Normal 14 5" xfId="202" xr:uid="{00000000-0005-0000-0000-00006F000000}"/>
    <cellStyle name="Normal 14 6" xfId="204" xr:uid="{00000000-0005-0000-0000-000070000000}"/>
    <cellStyle name="Normal 14 7" xfId="216" xr:uid="{00000000-0005-0000-0000-000071000000}"/>
    <cellStyle name="Normal 15" xfId="135" xr:uid="{00000000-0005-0000-0000-000072000000}"/>
    <cellStyle name="Normal 15 2" xfId="174" xr:uid="{00000000-0005-0000-0000-000073000000}"/>
    <cellStyle name="Normal 16" xfId="139" xr:uid="{00000000-0005-0000-0000-000074000000}"/>
    <cellStyle name="Normal 17" xfId="143" xr:uid="{00000000-0005-0000-0000-000075000000}"/>
    <cellStyle name="Normal 18" xfId="147" xr:uid="{00000000-0005-0000-0000-000076000000}"/>
    <cellStyle name="Normal 19" xfId="148" xr:uid="{00000000-0005-0000-0000-000077000000}"/>
    <cellStyle name="Normal 2" xfId="30" xr:uid="{00000000-0005-0000-0000-000078000000}"/>
    <cellStyle name="Normal 2 10" xfId="130" xr:uid="{00000000-0005-0000-0000-000079000000}"/>
    <cellStyle name="Normal 2 2" xfId="31" xr:uid="{00000000-0005-0000-0000-00007A000000}"/>
    <cellStyle name="Normal 2 2 10" xfId="131" xr:uid="{00000000-0005-0000-0000-00007B000000}"/>
    <cellStyle name="Normal 2 2 2" xfId="32" xr:uid="{00000000-0005-0000-0000-00007C000000}"/>
    <cellStyle name="Normal 2 2 3" xfId="100" xr:uid="{00000000-0005-0000-0000-00007D000000}"/>
    <cellStyle name="Normal 2 3" xfId="59" xr:uid="{00000000-0005-0000-0000-00007E000000}"/>
    <cellStyle name="Normal 2 4" xfId="60" xr:uid="{00000000-0005-0000-0000-00007F000000}"/>
    <cellStyle name="Normal 2 5" xfId="99" xr:uid="{00000000-0005-0000-0000-000080000000}"/>
    <cellStyle name="Normal 2 6" xfId="158" xr:uid="{00000000-0005-0000-0000-000081000000}"/>
    <cellStyle name="Normal 2 7" xfId="166" xr:uid="{00000000-0005-0000-0000-000082000000}"/>
    <cellStyle name="Normal 20" xfId="152" xr:uid="{00000000-0005-0000-0000-000083000000}"/>
    <cellStyle name="Normal 21" xfId="164" xr:uid="{00000000-0005-0000-0000-000084000000}"/>
    <cellStyle name="Normal 22" xfId="168" xr:uid="{00000000-0005-0000-0000-000085000000}"/>
    <cellStyle name="Normal 23" xfId="209" xr:uid="{00000000-0005-0000-0000-000086000000}"/>
    <cellStyle name="Normal 24" xfId="213" xr:uid="{00000000-0005-0000-0000-000087000000}"/>
    <cellStyle name="Normal 25" xfId="217" xr:uid="{00000000-0005-0000-0000-000088000000}"/>
    <cellStyle name="Normal 3" xfId="33" xr:uid="{00000000-0005-0000-0000-000089000000}"/>
    <cellStyle name="Normal 3 2" xfId="34" xr:uid="{00000000-0005-0000-0000-00008A000000}"/>
    <cellStyle name="Normal 3 2 2" xfId="35" xr:uid="{00000000-0005-0000-0000-00008B000000}"/>
    <cellStyle name="Normal 3 2 2 2" xfId="103" xr:uid="{00000000-0005-0000-0000-00008C000000}"/>
    <cellStyle name="Normal 3 2 3" xfId="102" xr:uid="{00000000-0005-0000-0000-00008D000000}"/>
    <cellStyle name="Normal 3 3" xfId="36" xr:uid="{00000000-0005-0000-0000-00008E000000}"/>
    <cellStyle name="Normal 3 3 2" xfId="37" xr:uid="{00000000-0005-0000-0000-00008F000000}"/>
    <cellStyle name="Normal 3 3 2 2" xfId="105" xr:uid="{00000000-0005-0000-0000-000090000000}"/>
    <cellStyle name="Normal 3 3 3" xfId="104" xr:uid="{00000000-0005-0000-0000-000091000000}"/>
    <cellStyle name="Normal 3 4" xfId="38" xr:uid="{00000000-0005-0000-0000-000092000000}"/>
    <cellStyle name="Normal 3 4 2" xfId="39" xr:uid="{00000000-0005-0000-0000-000093000000}"/>
    <cellStyle name="Normal 3 4 2 2" xfId="107" xr:uid="{00000000-0005-0000-0000-000094000000}"/>
    <cellStyle name="Normal 3 4 3" xfId="106" xr:uid="{00000000-0005-0000-0000-000095000000}"/>
    <cellStyle name="Normal 3 5" xfId="40" xr:uid="{00000000-0005-0000-0000-000096000000}"/>
    <cellStyle name="Normal 3 5 2" xfId="108" xr:uid="{00000000-0005-0000-0000-000097000000}"/>
    <cellStyle name="Normal 3 6" xfId="101" xr:uid="{00000000-0005-0000-0000-000098000000}"/>
    <cellStyle name="Normal 4" xfId="41" xr:uid="{00000000-0005-0000-0000-000099000000}"/>
    <cellStyle name="Normal 4 2" xfId="42" xr:uid="{00000000-0005-0000-0000-00009A000000}"/>
    <cellStyle name="Normal 4 2 2" xfId="43" xr:uid="{00000000-0005-0000-0000-00009B000000}"/>
    <cellStyle name="Normal 4 2 2 2" xfId="111" xr:uid="{00000000-0005-0000-0000-00009C000000}"/>
    <cellStyle name="Normal 4 2 3" xfId="110" xr:uid="{00000000-0005-0000-0000-00009D000000}"/>
    <cellStyle name="Normal 4 3" xfId="44" xr:uid="{00000000-0005-0000-0000-00009E000000}"/>
    <cellStyle name="Normal 4 3 2" xfId="45" xr:uid="{00000000-0005-0000-0000-00009F000000}"/>
    <cellStyle name="Normal 4 3 2 2" xfId="113" xr:uid="{00000000-0005-0000-0000-0000A0000000}"/>
    <cellStyle name="Normal 4 3 3" xfId="112" xr:uid="{00000000-0005-0000-0000-0000A1000000}"/>
    <cellStyle name="Normal 4 4" xfId="46" xr:uid="{00000000-0005-0000-0000-0000A2000000}"/>
    <cellStyle name="Normal 4 4 2" xfId="47" xr:uid="{00000000-0005-0000-0000-0000A3000000}"/>
    <cellStyle name="Normal 4 4 2 2" xfId="115" xr:uid="{00000000-0005-0000-0000-0000A4000000}"/>
    <cellStyle name="Normal 4 4 3" xfId="114" xr:uid="{00000000-0005-0000-0000-0000A5000000}"/>
    <cellStyle name="Normal 4 5" xfId="48" xr:uid="{00000000-0005-0000-0000-0000A6000000}"/>
    <cellStyle name="Normal 4 5 2" xfId="116" xr:uid="{00000000-0005-0000-0000-0000A7000000}"/>
    <cellStyle name="Normal 4 6" xfId="109" xr:uid="{00000000-0005-0000-0000-0000A8000000}"/>
    <cellStyle name="Normal 4 7" xfId="160" xr:uid="{00000000-0005-0000-0000-0000A9000000}"/>
    <cellStyle name="Normal 5" xfId="52" xr:uid="{00000000-0005-0000-0000-0000AA000000}"/>
    <cellStyle name="Normal 5 2" xfId="117" xr:uid="{00000000-0005-0000-0000-0000AB000000}"/>
    <cellStyle name="Normal 6" xfId="61" xr:uid="{00000000-0005-0000-0000-0000AC000000}"/>
    <cellStyle name="Normal 7" xfId="62" xr:uid="{00000000-0005-0000-0000-0000AD000000}"/>
    <cellStyle name="Normal 7 10" xfId="63" xr:uid="{00000000-0005-0000-0000-0000AE000000}"/>
    <cellStyle name="Normal 7 11" xfId="64" xr:uid="{00000000-0005-0000-0000-0000AF000000}"/>
    <cellStyle name="Normal 7 12" xfId="65" xr:uid="{00000000-0005-0000-0000-0000B0000000}"/>
    <cellStyle name="Normal 7 13" xfId="66" xr:uid="{00000000-0005-0000-0000-0000B1000000}"/>
    <cellStyle name="Normal 7 14" xfId="67" xr:uid="{00000000-0005-0000-0000-0000B2000000}"/>
    <cellStyle name="Normal 7 15" xfId="68" xr:uid="{00000000-0005-0000-0000-0000B3000000}"/>
    <cellStyle name="Normal 7 16" xfId="69" xr:uid="{00000000-0005-0000-0000-0000B4000000}"/>
    <cellStyle name="Normal 7 17" xfId="70" xr:uid="{00000000-0005-0000-0000-0000B5000000}"/>
    <cellStyle name="Normal 7 18" xfId="71" xr:uid="{00000000-0005-0000-0000-0000B6000000}"/>
    <cellStyle name="Normal 7 19" xfId="72" xr:uid="{00000000-0005-0000-0000-0000B7000000}"/>
    <cellStyle name="Normal 7 2" xfId="73" xr:uid="{00000000-0005-0000-0000-0000B8000000}"/>
    <cellStyle name="Normal 7 20" xfId="74" xr:uid="{00000000-0005-0000-0000-0000B9000000}"/>
    <cellStyle name="Normal 7 21" xfId="75" xr:uid="{00000000-0005-0000-0000-0000BA000000}"/>
    <cellStyle name="Normal 7 22" xfId="76" xr:uid="{00000000-0005-0000-0000-0000BB000000}"/>
    <cellStyle name="Normal 7 3" xfId="77" xr:uid="{00000000-0005-0000-0000-0000BC000000}"/>
    <cellStyle name="Normal 7 4" xfId="78" xr:uid="{00000000-0005-0000-0000-0000BD000000}"/>
    <cellStyle name="Normal 7 5" xfId="79" xr:uid="{00000000-0005-0000-0000-0000BE000000}"/>
    <cellStyle name="Normal 7 6" xfId="80" xr:uid="{00000000-0005-0000-0000-0000BF000000}"/>
    <cellStyle name="Normal 7 7" xfId="81" xr:uid="{00000000-0005-0000-0000-0000C0000000}"/>
    <cellStyle name="Normal 7 8" xfId="82" xr:uid="{00000000-0005-0000-0000-0000C1000000}"/>
    <cellStyle name="Normal 7 9" xfId="83" xr:uid="{00000000-0005-0000-0000-0000C2000000}"/>
    <cellStyle name="Normal 8" xfId="84" xr:uid="{00000000-0005-0000-0000-0000C3000000}"/>
    <cellStyle name="Normal 9" xfId="88" xr:uid="{00000000-0005-0000-0000-0000C4000000}"/>
    <cellStyle name="Normal 9 2" xfId="118" xr:uid="{00000000-0005-0000-0000-0000C5000000}"/>
    <cellStyle name="Numeric" xfId="179" xr:uid="{00000000-0005-0000-0000-0000C6000000}"/>
    <cellStyle name="Numeric 2" xfId="203" xr:uid="{00000000-0005-0000-0000-0000C7000000}"/>
    <cellStyle name="NumericWithBorder" xfId="199" xr:uid="{00000000-0005-0000-0000-0000C8000000}"/>
    <cellStyle name="Percent" xfId="181" xr:uid="{00000000-0005-0000-0000-0000C9000000}"/>
    <cellStyle name="Porcentaje" xfId="49" builtinId="5"/>
    <cellStyle name="Porcentaje 10" xfId="212" xr:uid="{00000000-0005-0000-0000-0000CB000000}"/>
    <cellStyle name="Porcentaje 2" xfId="124" xr:uid="{00000000-0005-0000-0000-0000CC000000}"/>
    <cellStyle name="Porcentaje 3" xfId="138" xr:uid="{00000000-0005-0000-0000-0000CD000000}"/>
    <cellStyle name="Porcentaje 4" xfId="142" xr:uid="{00000000-0005-0000-0000-0000CE000000}"/>
    <cellStyle name="Porcentaje 5" xfId="146" xr:uid="{00000000-0005-0000-0000-0000CF000000}"/>
    <cellStyle name="Porcentaje 6" xfId="151" xr:uid="{00000000-0005-0000-0000-0000D0000000}"/>
    <cellStyle name="Porcentaje 7" xfId="155" xr:uid="{00000000-0005-0000-0000-0000D1000000}"/>
    <cellStyle name="Porcentaje 8" xfId="171" xr:uid="{00000000-0005-0000-0000-0000D2000000}"/>
    <cellStyle name="Porcentaje 9" xfId="208" xr:uid="{00000000-0005-0000-0000-0000D3000000}"/>
    <cellStyle name="Porcentual 2" xfId="50" xr:uid="{00000000-0005-0000-0000-0000D4000000}"/>
    <cellStyle name="Porcentual 2 10" xfId="133" xr:uid="{00000000-0005-0000-0000-0000D5000000}"/>
    <cellStyle name="Porcentual 2 2" xfId="51" xr:uid="{00000000-0005-0000-0000-0000D6000000}"/>
    <cellStyle name="Porcentual 2 3" xfId="85" xr:uid="{00000000-0005-0000-0000-0000D7000000}"/>
    <cellStyle name="Porcentual 2 4" xfId="86" xr:uid="{00000000-0005-0000-0000-0000D8000000}"/>
    <cellStyle name="Porcentual 2 5" xfId="119" xr:uid="{00000000-0005-0000-0000-0000D9000000}"/>
    <cellStyle name="Porcentual 3" xfId="87" xr:uid="{00000000-0005-0000-0000-0000DA000000}"/>
  </cellStyles>
  <dxfs count="277">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ill>
        <patternFill>
          <bgColor rgb="FFFFC7CE"/>
        </patternFill>
      </fill>
    </dxf>
    <dxf>
      <font>
        <color auto="1"/>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C7CE"/>
        </patternFill>
      </fill>
    </dxf>
    <dxf>
      <font>
        <color auto="1"/>
      </font>
      <fill>
        <patternFill>
          <bgColor rgb="FFFFEB9C"/>
        </patternFill>
      </fill>
    </dxf>
    <dxf>
      <fill>
        <patternFill>
          <bgColor indexed="11"/>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colors>
    <mruColors>
      <color rgb="FF0000FF"/>
      <color rgb="FF66FF66"/>
      <color rgb="FFFF7C80"/>
      <color rgb="FFCCFFFF"/>
      <color rgb="FFFFFFCC"/>
      <color rgb="FFFF9966"/>
      <color rgb="FFFFCCFF"/>
      <color rgb="FFF3BDE1"/>
      <color rgb="FFEAEAEA"/>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customXml" Target="../customXml/item3.xml"/><Relationship Id="rId10" Type="http://schemas.openxmlformats.org/officeDocument/2006/relationships/externalLink" Target="externalLinks/externalLink4.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273326</xdr:colOff>
      <xdr:row>49</xdr:row>
      <xdr:rowOff>298173</xdr:rowOff>
    </xdr:from>
    <xdr:to>
      <xdr:col>1</xdr:col>
      <xdr:colOff>430741</xdr:colOff>
      <xdr:row>52</xdr:row>
      <xdr:rowOff>34675</xdr:rowOff>
    </xdr:to>
    <xdr:pic>
      <xdr:nvPicPr>
        <xdr:cNvPr id="2" name="Imagen 1">
          <a:extLst>
            <a:ext uri="{FF2B5EF4-FFF2-40B4-BE49-F238E27FC236}">
              <a16:creationId xmlns:a16="http://schemas.microsoft.com/office/drawing/2014/main" id="{A2501CC4-7EB6-45F0-A338-577E3258BF96}"/>
            </a:ext>
          </a:extLst>
        </xdr:cNvPr>
        <xdr:cNvPicPr>
          <a:picLocks noChangeAspect="1"/>
        </xdr:cNvPicPr>
      </xdr:nvPicPr>
      <xdr:blipFill>
        <a:blip xmlns:r="http://schemas.openxmlformats.org/officeDocument/2006/relationships" r:embed="rId1"/>
        <a:stretch>
          <a:fillRect/>
        </a:stretch>
      </xdr:blipFill>
      <xdr:spPr>
        <a:xfrm>
          <a:off x="273326" y="4944716"/>
          <a:ext cx="604676" cy="6475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66675</xdr:colOff>
      <xdr:row>5</xdr:row>
      <xdr:rowOff>57150</xdr:rowOff>
    </xdr:from>
    <xdr:to>
      <xdr:col>14</xdr:col>
      <xdr:colOff>991533</xdr:colOff>
      <xdr:row>5</xdr:row>
      <xdr:rowOff>981204</xdr:rowOff>
    </xdr:to>
    <xdr:pic>
      <xdr:nvPicPr>
        <xdr:cNvPr id="4" name="Imagen 3">
          <a:extLst>
            <a:ext uri="{FF2B5EF4-FFF2-40B4-BE49-F238E27FC236}">
              <a16:creationId xmlns:a16="http://schemas.microsoft.com/office/drawing/2014/main" id="{8F675D97-E3CC-4361-9DC9-25F0AB6F95C4}"/>
            </a:ext>
          </a:extLst>
        </xdr:cNvPr>
        <xdr:cNvPicPr>
          <a:picLocks noChangeAspect="1"/>
        </xdr:cNvPicPr>
      </xdr:nvPicPr>
      <xdr:blipFill>
        <a:blip xmlns:r="http://schemas.openxmlformats.org/officeDocument/2006/relationships" r:embed="rId1"/>
        <a:stretch>
          <a:fillRect/>
        </a:stretch>
      </xdr:blipFill>
      <xdr:spPr>
        <a:xfrm>
          <a:off x="11906250" y="695325"/>
          <a:ext cx="6687483" cy="92405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UNA (1) REGLETA TELEFÓNICA DOBLE FICHO PARA RECIBIR LAS LINEAS TRONCALES PROVENIENTES DEL PROVEEDOR DE RED.»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v>0</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5"/>
  <sheetViews>
    <sheetView workbookViewId="0">
      <selection activeCell="B7" sqref="B7"/>
    </sheetView>
  </sheetViews>
  <sheetFormatPr baseColWidth="10" defaultRowHeight="12.75"/>
  <cols>
    <col min="2" max="2" width="11.85546875" bestFit="1" customWidth="1"/>
  </cols>
  <sheetData>
    <row r="1" spans="1:2" ht="15.75">
      <c r="A1" s="37" t="s">
        <v>13</v>
      </c>
      <c r="B1" s="38" t="s">
        <v>8</v>
      </c>
    </row>
    <row r="2" spans="1:2" ht="15.75">
      <c r="A2" s="39">
        <v>2022</v>
      </c>
      <c r="B2" s="38">
        <v>1000000</v>
      </c>
    </row>
    <row r="3" spans="1:2" ht="15.75">
      <c r="A3" s="39">
        <v>2021</v>
      </c>
      <c r="B3" s="40">
        <v>908526</v>
      </c>
    </row>
    <row r="4" spans="1:2" ht="15.75">
      <c r="A4" s="39">
        <v>2020</v>
      </c>
      <c r="B4" s="40">
        <v>877802</v>
      </c>
    </row>
    <row r="5" spans="1:2" ht="15.75">
      <c r="A5" s="39">
        <v>2019</v>
      </c>
      <c r="B5" s="40">
        <v>828116</v>
      </c>
    </row>
    <row r="6" spans="1:2" ht="15.75">
      <c r="A6" s="39">
        <v>2018</v>
      </c>
      <c r="B6" s="40">
        <v>781242</v>
      </c>
    </row>
    <row r="7" spans="1:2" ht="15.75">
      <c r="A7" s="39">
        <v>2017</v>
      </c>
      <c r="B7" s="40">
        <v>737717</v>
      </c>
    </row>
    <row r="8" spans="1:2" ht="15.75">
      <c r="A8" s="39">
        <v>2016</v>
      </c>
      <c r="B8" s="40">
        <v>689454</v>
      </c>
    </row>
    <row r="9" spans="1:2" ht="15.75">
      <c r="A9" s="39">
        <v>2015</v>
      </c>
      <c r="B9" s="40">
        <v>644350</v>
      </c>
    </row>
    <row r="10" spans="1:2" ht="15.75">
      <c r="A10" s="39">
        <v>2014</v>
      </c>
      <c r="B10" s="40">
        <v>616000</v>
      </c>
    </row>
    <row r="11" spans="1:2" ht="15.75">
      <c r="A11" s="39">
        <v>2013</v>
      </c>
      <c r="B11" s="40">
        <v>589500</v>
      </c>
    </row>
    <row r="12" spans="1:2" ht="15.75">
      <c r="A12" s="39">
        <v>2012</v>
      </c>
      <c r="B12" s="40">
        <v>566700</v>
      </c>
    </row>
    <row r="13" spans="1:2" ht="15.75">
      <c r="A13" s="39">
        <v>2011</v>
      </c>
      <c r="B13" s="40">
        <v>535600</v>
      </c>
    </row>
    <row r="14" spans="1:2" ht="15.75">
      <c r="A14" s="39">
        <v>2010</v>
      </c>
      <c r="B14" s="40">
        <v>515000</v>
      </c>
    </row>
    <row r="15" spans="1:2" ht="15.75">
      <c r="A15" s="39">
        <v>2009</v>
      </c>
      <c r="B15" s="40">
        <v>496900</v>
      </c>
    </row>
    <row r="16" spans="1:2" ht="15.75">
      <c r="A16" s="39">
        <v>2008</v>
      </c>
      <c r="B16" s="40">
        <v>461500</v>
      </c>
    </row>
    <row r="17" spans="1:2" ht="15.75">
      <c r="A17" s="39">
        <v>2007</v>
      </c>
      <c r="B17" s="40">
        <v>433700</v>
      </c>
    </row>
    <row r="18" spans="1:2" ht="15.75">
      <c r="A18" s="39">
        <v>2006</v>
      </c>
      <c r="B18" s="40">
        <v>408000</v>
      </c>
    </row>
    <row r="19" spans="1:2" ht="15.75">
      <c r="A19" s="39">
        <v>2005</v>
      </c>
      <c r="B19" s="40">
        <v>381500</v>
      </c>
    </row>
    <row r="20" spans="1:2" ht="15.75">
      <c r="A20" s="39">
        <v>2004</v>
      </c>
      <c r="B20" s="40">
        <v>358000</v>
      </c>
    </row>
    <row r="21" spans="1:2" ht="15.75">
      <c r="A21" s="39">
        <v>2003</v>
      </c>
      <c r="B21" s="40">
        <v>332000</v>
      </c>
    </row>
    <row r="22" spans="1:2" ht="15.75">
      <c r="A22" s="39">
        <v>2002</v>
      </c>
      <c r="B22" s="40">
        <v>309000</v>
      </c>
    </row>
    <row r="23" spans="1:2" ht="15.75">
      <c r="A23" s="39">
        <v>2001</v>
      </c>
      <c r="B23" s="40">
        <v>286000</v>
      </c>
    </row>
    <row r="24" spans="1:2" ht="15.75">
      <c r="A24" s="39">
        <v>2000</v>
      </c>
      <c r="B24" s="40">
        <v>260100</v>
      </c>
    </row>
    <row r="25" spans="1:2" ht="15.75">
      <c r="A25" s="39">
        <v>1999</v>
      </c>
      <c r="B25" s="40">
        <v>236460</v>
      </c>
    </row>
    <row r="26" spans="1:2" ht="15.75">
      <c r="A26" s="39">
        <v>1998</v>
      </c>
      <c r="B26" s="40">
        <v>203825.93</v>
      </c>
    </row>
    <row r="27" spans="1:2" ht="15.75">
      <c r="A27" s="39">
        <v>1997</v>
      </c>
      <c r="B27" s="40">
        <v>172005</v>
      </c>
    </row>
    <row r="28" spans="1:2" ht="15.75">
      <c r="A28" s="39">
        <v>1996</v>
      </c>
      <c r="B28" s="40">
        <v>142125</v>
      </c>
    </row>
    <row r="29" spans="1:2" ht="15.75">
      <c r="A29" s="39">
        <v>1995</v>
      </c>
      <c r="B29" s="40">
        <v>118933.5</v>
      </c>
    </row>
    <row r="30" spans="1:2" ht="15.75">
      <c r="A30" s="39">
        <v>1994</v>
      </c>
      <c r="B30" s="40">
        <v>98700</v>
      </c>
    </row>
    <row r="31" spans="1:2" ht="15.75">
      <c r="A31" s="39">
        <v>1993</v>
      </c>
      <c r="B31" s="40">
        <v>81510</v>
      </c>
    </row>
    <row r="32" spans="1:2" ht="15.75">
      <c r="A32" s="39">
        <v>1992</v>
      </c>
      <c r="B32" s="40">
        <v>65190</v>
      </c>
    </row>
    <row r="33" spans="1:2" ht="15.75">
      <c r="A33" s="39">
        <v>1991</v>
      </c>
      <c r="B33" s="40">
        <v>51720</v>
      </c>
    </row>
    <row r="34" spans="1:2" ht="15.75">
      <c r="A34" s="39">
        <v>1990</v>
      </c>
      <c r="B34" s="40">
        <v>41025</v>
      </c>
    </row>
    <row r="35" spans="1:2" ht="15.75">
      <c r="A35" s="39">
        <v>1989</v>
      </c>
      <c r="B35" s="40">
        <v>32559</v>
      </c>
    </row>
    <row r="36" spans="1:2" ht="15.75">
      <c r="A36" s="39">
        <v>1988</v>
      </c>
      <c r="B36" s="40">
        <v>25637.4</v>
      </c>
    </row>
    <row r="37" spans="1:2" ht="15.75">
      <c r="A37" s="39">
        <v>1987</v>
      </c>
      <c r="B37" s="40">
        <v>20509.8</v>
      </c>
    </row>
    <row r="38" spans="1:2" ht="15.75">
      <c r="A38" s="39">
        <v>1986</v>
      </c>
      <c r="B38" s="40">
        <v>16811.400000000001</v>
      </c>
    </row>
    <row r="39" spans="1:2" ht="15.75">
      <c r="A39" s="39">
        <v>1985</v>
      </c>
      <c r="B39" s="40">
        <v>13557.6</v>
      </c>
    </row>
    <row r="40" spans="1:2" ht="15.75">
      <c r="A40" s="39">
        <v>1984</v>
      </c>
      <c r="B40" s="40">
        <v>11298</v>
      </c>
    </row>
    <row r="41" spans="1:2" ht="15.75">
      <c r="A41" s="39">
        <v>1983</v>
      </c>
      <c r="B41" s="40">
        <v>9261</v>
      </c>
    </row>
    <row r="42" spans="1:2" ht="15.75">
      <c r="A42" s="39">
        <v>1982</v>
      </c>
      <c r="B42" s="40">
        <v>7410</v>
      </c>
    </row>
    <row r="43" spans="1:2" ht="15.75">
      <c r="A43" s="39">
        <v>1981</v>
      </c>
      <c r="B43" s="40">
        <v>5700</v>
      </c>
    </row>
    <row r="44" spans="1:2" ht="15.75">
      <c r="A44" s="39">
        <v>1980</v>
      </c>
      <c r="B44" s="40">
        <v>4500</v>
      </c>
    </row>
    <row r="45" spans="1:2" ht="15.75">
      <c r="A45" s="39">
        <v>1979</v>
      </c>
      <c r="B45" s="40">
        <v>3450</v>
      </c>
    </row>
    <row r="46" spans="1:2" ht="15.75">
      <c r="A46" s="39">
        <v>1978</v>
      </c>
      <c r="B46" s="40">
        <v>2550</v>
      </c>
    </row>
    <row r="47" spans="1:2" ht="15.75">
      <c r="A47" s="39">
        <v>1977</v>
      </c>
      <c r="B47" s="40">
        <v>1770</v>
      </c>
    </row>
    <row r="48" spans="1:2" ht="15.75">
      <c r="A48" s="39">
        <v>1976</v>
      </c>
      <c r="B48" s="40">
        <v>1560</v>
      </c>
    </row>
    <row r="49" spans="1:2" ht="15.75">
      <c r="A49" s="39">
        <v>1975</v>
      </c>
      <c r="B49" s="40">
        <v>1200</v>
      </c>
    </row>
    <row r="50" spans="1:2" ht="15.75">
      <c r="A50" s="39">
        <v>1974</v>
      </c>
      <c r="B50" s="40">
        <v>900</v>
      </c>
    </row>
    <row r="51" spans="1:2" ht="15.75">
      <c r="A51" s="39">
        <v>1972</v>
      </c>
      <c r="B51" s="40">
        <v>660</v>
      </c>
    </row>
    <row r="52" spans="1:2" ht="15.75">
      <c r="A52" s="39">
        <v>1969</v>
      </c>
      <c r="B52" s="40">
        <v>519</v>
      </c>
    </row>
    <row r="53" spans="1:2" ht="15.75">
      <c r="A53" s="39">
        <v>1963</v>
      </c>
      <c r="B53" s="40">
        <v>420</v>
      </c>
    </row>
    <row r="54" spans="1:2" ht="15.75">
      <c r="A54" s="39">
        <v>1962</v>
      </c>
      <c r="B54" s="40">
        <v>219</v>
      </c>
    </row>
    <row r="55" spans="1:2" ht="15.75">
      <c r="A55" s="39">
        <v>1960</v>
      </c>
      <c r="B55" s="40">
        <v>198</v>
      </c>
    </row>
  </sheetData>
  <sheetProtection algorithmName="SHA-512" hashValue="7thHNd+lCSwN7ty7EzMwd3LB0ER5q8X45iQrd88Mb21pQ3bCyIqEyS8yq49v3SBwI/edpggAKQL90A+8TTF8xg==" saltValue="FWnZi8cAGGllBHq86SD3XQ=="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26"/>
  <sheetViews>
    <sheetView zoomScale="120" zoomScaleNormal="120" workbookViewId="0">
      <selection activeCell="B1" sqref="B1:C1"/>
    </sheetView>
  </sheetViews>
  <sheetFormatPr baseColWidth="10" defaultRowHeight="13.5"/>
  <cols>
    <col min="1" max="1" width="10" style="52" customWidth="1"/>
    <col min="2" max="2" width="16.28515625" style="52" customWidth="1"/>
    <col min="3" max="3" width="14.85546875" style="52" customWidth="1"/>
    <col min="4" max="4" width="15.85546875" style="52" customWidth="1"/>
    <col min="5" max="5" width="26.28515625" style="52" customWidth="1"/>
    <col min="6" max="6" width="23" style="52" customWidth="1"/>
    <col min="7" max="7" width="4.5703125" style="52" customWidth="1"/>
    <col min="8" max="8" width="35.7109375" style="52" customWidth="1"/>
    <col min="9" max="9" width="30.5703125" style="52" customWidth="1"/>
    <col min="10" max="10" width="6" style="52" customWidth="1"/>
    <col min="11" max="16384" width="11.42578125" style="52"/>
  </cols>
  <sheetData>
    <row r="1" spans="1:10" ht="36.75" customHeight="1">
      <c r="A1" s="52" t="s">
        <v>151</v>
      </c>
      <c r="B1" s="247" t="s">
        <v>166</v>
      </c>
      <c r="C1" s="248"/>
      <c r="D1" s="52" t="s">
        <v>149</v>
      </c>
      <c r="E1" s="249" t="s">
        <v>150</v>
      </c>
      <c r="F1" s="250"/>
      <c r="G1" s="250"/>
      <c r="H1" s="250"/>
      <c r="I1" s="250"/>
      <c r="J1" s="250"/>
    </row>
    <row r="2" spans="1:10" ht="36" customHeight="1">
      <c r="A2" s="52" t="s">
        <v>17</v>
      </c>
      <c r="B2" s="251" t="s">
        <v>167</v>
      </c>
      <c r="C2" s="251"/>
      <c r="D2" s="251"/>
      <c r="E2" s="251"/>
      <c r="F2" s="251"/>
      <c r="G2" s="251"/>
      <c r="H2" s="251"/>
      <c r="I2" s="251"/>
      <c r="J2" s="251"/>
    </row>
    <row r="3" spans="1:10">
      <c r="E3" s="53"/>
      <c r="F3" s="54"/>
      <c r="H3" s="55" t="s">
        <v>18</v>
      </c>
      <c r="I3" s="56">
        <v>800000000</v>
      </c>
    </row>
    <row r="4" spans="1:10">
      <c r="E4" s="53"/>
      <c r="F4" s="54"/>
      <c r="H4" s="55" t="s">
        <v>20</v>
      </c>
      <c r="I4" s="57"/>
    </row>
    <row r="5" spans="1:10">
      <c r="E5" s="53"/>
      <c r="F5" s="54"/>
      <c r="H5" s="58" t="s">
        <v>38</v>
      </c>
      <c r="I5" s="57"/>
    </row>
    <row r="6" spans="1:10">
      <c r="A6" s="59"/>
      <c r="B6" s="59"/>
      <c r="C6" s="59"/>
      <c r="D6" s="60"/>
      <c r="E6" s="61"/>
      <c r="F6" s="62"/>
      <c r="H6" s="52" t="s">
        <v>82</v>
      </c>
      <c r="I6" s="63">
        <f>I3/I15</f>
        <v>800</v>
      </c>
    </row>
    <row r="7" spans="1:10">
      <c r="A7" s="59"/>
      <c r="B7" s="59"/>
      <c r="C7" s="59"/>
      <c r="D7" s="60"/>
      <c r="E7" s="61"/>
      <c r="F7" s="62"/>
      <c r="H7" s="55" t="s">
        <v>118</v>
      </c>
      <c r="I7" s="141"/>
    </row>
    <row r="8" spans="1:10">
      <c r="A8" s="59"/>
      <c r="B8" s="59"/>
      <c r="C8" s="59"/>
      <c r="D8" s="60"/>
      <c r="E8" s="61"/>
      <c r="F8" s="62"/>
      <c r="I8" s="136"/>
    </row>
    <row r="9" spans="1:10">
      <c r="A9" s="59"/>
      <c r="B9" s="59"/>
      <c r="C9" s="59"/>
      <c r="D9" s="60"/>
      <c r="E9" s="64"/>
      <c r="H9" s="52" t="s">
        <v>21</v>
      </c>
      <c r="I9" s="65"/>
    </row>
    <row r="10" spans="1:10">
      <c r="D10" s="60"/>
      <c r="E10" s="64"/>
      <c r="H10" s="60" t="s">
        <v>76</v>
      </c>
      <c r="I10" s="66"/>
    </row>
    <row r="11" spans="1:10">
      <c r="A11" s="55" t="s">
        <v>22</v>
      </c>
      <c r="H11" s="60" t="s">
        <v>77</v>
      </c>
      <c r="I11" s="66"/>
    </row>
    <row r="12" spans="1:10">
      <c r="B12" s="52" t="s">
        <v>23</v>
      </c>
      <c r="F12" s="191"/>
      <c r="H12" s="60" t="s">
        <v>78</v>
      </c>
      <c r="I12" s="66"/>
    </row>
    <row r="13" spans="1:10">
      <c r="B13" s="52" t="s">
        <v>58</v>
      </c>
      <c r="F13" s="67"/>
    </row>
    <row r="14" spans="1:10">
      <c r="B14" s="252" t="s">
        <v>59</v>
      </c>
      <c r="C14" s="252"/>
      <c r="D14" s="252"/>
      <c r="E14" s="252"/>
      <c r="F14" s="67"/>
      <c r="H14" s="52" t="s">
        <v>80</v>
      </c>
      <c r="I14" s="66">
        <v>2022</v>
      </c>
    </row>
    <row r="15" spans="1:10">
      <c r="B15" s="246" t="s">
        <v>60</v>
      </c>
      <c r="C15" s="246"/>
      <c r="D15" s="246"/>
      <c r="E15" s="246"/>
      <c r="F15" s="67"/>
      <c r="H15" s="52" t="s">
        <v>81</v>
      </c>
      <c r="I15" s="65">
        <f>VLOOKUP(I14, SMMLV!$A$2:$B$55,2,FALSE)</f>
        <v>1000000</v>
      </c>
    </row>
    <row r="16" spans="1:10" ht="13.5" customHeight="1">
      <c r="B16" s="246" t="s">
        <v>61</v>
      </c>
      <c r="C16" s="246"/>
      <c r="D16" s="246"/>
      <c r="E16" s="246"/>
      <c r="F16" s="67"/>
      <c r="H16" s="68"/>
      <c r="I16" s="65"/>
    </row>
    <row r="17" spans="1:10">
      <c r="B17" s="246" t="s">
        <v>64</v>
      </c>
      <c r="C17" s="246"/>
      <c r="D17" s="246"/>
      <c r="E17" s="246"/>
      <c r="F17" s="67"/>
      <c r="H17" s="68"/>
      <c r="I17" s="69"/>
    </row>
    <row r="18" spans="1:10">
      <c r="B18" s="52" t="s">
        <v>62</v>
      </c>
      <c r="F18" s="67"/>
      <c r="H18" s="68"/>
      <c r="I18" s="63"/>
    </row>
    <row r="19" spans="1:10">
      <c r="B19" s="52" t="s">
        <v>63</v>
      </c>
      <c r="F19" s="67"/>
      <c r="H19" s="68"/>
      <c r="I19" s="69"/>
    </row>
    <row r="20" spans="1:10">
      <c r="F20" s="70"/>
      <c r="H20" s="68"/>
      <c r="I20" s="71"/>
    </row>
    <row r="21" spans="1:10">
      <c r="A21" s="59"/>
      <c r="F21" s="70"/>
    </row>
    <row r="22" spans="1:10">
      <c r="A22" s="59"/>
      <c r="B22" s="52" t="s">
        <v>68</v>
      </c>
      <c r="C22" s="59"/>
      <c r="D22" s="72"/>
      <c r="E22" s="73"/>
      <c r="F22" s="67"/>
      <c r="G22" s="117"/>
      <c r="H22" s="117"/>
      <c r="I22" s="74" t="s">
        <v>19</v>
      </c>
    </row>
    <row r="23" spans="1:10">
      <c r="B23" s="59"/>
      <c r="C23" s="59"/>
      <c r="D23" s="72"/>
      <c r="E23" s="73"/>
      <c r="F23" s="58"/>
      <c r="G23" s="75"/>
      <c r="H23" s="76"/>
      <c r="I23" s="77"/>
    </row>
    <row r="24" spans="1:10">
      <c r="A24" s="60"/>
      <c r="F24" s="60"/>
      <c r="G24" s="75"/>
      <c r="H24" s="76"/>
      <c r="I24" s="77"/>
    </row>
    <row r="25" spans="1:10">
      <c r="A25" s="78"/>
      <c r="B25" s="75"/>
      <c r="C25" s="75"/>
      <c r="D25" s="75"/>
      <c r="E25" s="75"/>
      <c r="F25" s="75"/>
      <c r="I25" s="79"/>
    </row>
    <row r="26" spans="1:10">
      <c r="B26" s="75"/>
      <c r="C26" s="80"/>
      <c r="D26" s="80"/>
      <c r="E26" s="80"/>
      <c r="F26" s="80"/>
      <c r="H26" s="81"/>
      <c r="I26" s="82"/>
    </row>
    <row r="27" spans="1:10" ht="29.25" customHeight="1">
      <c r="B27" s="83"/>
      <c r="F27" s="118" t="s">
        <v>117</v>
      </c>
      <c r="G27" s="75"/>
      <c r="H27" s="75"/>
      <c r="I27" s="75"/>
    </row>
    <row r="28" spans="1:10" ht="22.5" customHeight="1">
      <c r="F28" s="119"/>
      <c r="G28" s="80"/>
      <c r="H28" s="137" t="s">
        <v>124</v>
      </c>
      <c r="I28" s="80"/>
      <c r="J28" s="80"/>
    </row>
    <row r="29" spans="1:10">
      <c r="B29" s="83"/>
      <c r="H29" s="81"/>
      <c r="I29" s="82"/>
    </row>
    <row r="30" spans="1:10">
      <c r="I30" s="82"/>
    </row>
    <row r="31" spans="1:10">
      <c r="H31" s="81"/>
      <c r="I31" s="82"/>
    </row>
    <row r="32" spans="1:10">
      <c r="H32" s="81"/>
      <c r="I32" s="82"/>
    </row>
    <row r="33" spans="9:9">
      <c r="I33" s="82"/>
    </row>
    <row r="104" spans="2:6" ht="14.25" thickBot="1"/>
    <row r="105" spans="2:6" ht="14.25" thickBot="1">
      <c r="B105" s="253" t="s">
        <v>89</v>
      </c>
      <c r="C105" s="254"/>
      <c r="E105" s="253" t="s">
        <v>92</v>
      </c>
      <c r="F105" s="254"/>
    </row>
    <row r="106" spans="2:6" ht="14.25" thickBot="1">
      <c r="B106" s="255" t="s">
        <v>83</v>
      </c>
      <c r="C106" s="256"/>
      <c r="E106" s="255" t="s">
        <v>105</v>
      </c>
      <c r="F106" s="256"/>
    </row>
    <row r="107" spans="2:6" ht="14.25" thickBot="1">
      <c r="B107" s="257" t="s">
        <v>93</v>
      </c>
      <c r="C107" s="258"/>
      <c r="E107" s="257" t="s">
        <v>106</v>
      </c>
      <c r="F107" s="258"/>
    </row>
    <row r="108" spans="2:6" ht="14.25" thickBot="1">
      <c r="B108" s="259" t="s">
        <v>94</v>
      </c>
      <c r="C108" s="260"/>
      <c r="E108" s="259" t="s">
        <v>90</v>
      </c>
      <c r="F108" s="260"/>
    </row>
    <row r="109" spans="2:6" ht="14.25" thickBot="1">
      <c r="B109" s="257" t="s">
        <v>95</v>
      </c>
      <c r="C109" s="258"/>
      <c r="E109" s="257" t="s">
        <v>91</v>
      </c>
      <c r="F109" s="258"/>
    </row>
    <row r="110" spans="2:6" ht="14.25" thickBot="1">
      <c r="B110" s="261" t="s">
        <v>96</v>
      </c>
      <c r="C110" s="262"/>
      <c r="E110" s="261" t="s">
        <v>107</v>
      </c>
      <c r="F110" s="262"/>
    </row>
    <row r="111" spans="2:6" ht="14.25" thickBot="1">
      <c r="B111" s="257" t="s">
        <v>97</v>
      </c>
      <c r="C111" s="258"/>
      <c r="E111" s="257" t="s">
        <v>108</v>
      </c>
      <c r="F111" s="258"/>
    </row>
    <row r="112" spans="2:6" ht="14.25" thickBot="1">
      <c r="B112" s="263" t="s">
        <v>98</v>
      </c>
      <c r="C112" s="264"/>
      <c r="E112" s="263" t="s">
        <v>109</v>
      </c>
      <c r="F112" s="264"/>
    </row>
    <row r="113" spans="2:6" ht="14.25" thickBot="1">
      <c r="B113" s="259" t="s">
        <v>99</v>
      </c>
      <c r="C113" s="260"/>
      <c r="E113" s="257" t="s">
        <v>110</v>
      </c>
      <c r="F113" s="258"/>
    </row>
    <row r="114" spans="2:6" ht="14.25" thickBot="1">
      <c r="B114" s="263" t="s">
        <v>84</v>
      </c>
      <c r="C114" s="264"/>
      <c r="E114" s="257" t="s">
        <v>111</v>
      </c>
      <c r="F114" s="258"/>
    </row>
    <row r="115" spans="2:6" ht="14.25" thickBot="1">
      <c r="B115" s="257" t="s">
        <v>85</v>
      </c>
      <c r="C115" s="258"/>
      <c r="E115" s="265" t="s">
        <v>112</v>
      </c>
      <c r="F115" s="266"/>
    </row>
    <row r="116" spans="2:6" ht="14.25" thickBot="1">
      <c r="B116" s="257" t="s">
        <v>100</v>
      </c>
      <c r="C116" s="258"/>
      <c r="E116" s="257" t="s">
        <v>113</v>
      </c>
      <c r="F116" s="258"/>
    </row>
    <row r="117" spans="2:6" ht="14.25" thickBot="1">
      <c r="B117" s="257" t="s">
        <v>101</v>
      </c>
      <c r="C117" s="258"/>
      <c r="E117" s="257" t="s">
        <v>114</v>
      </c>
      <c r="F117" s="258"/>
    </row>
    <row r="118" spans="2:6" ht="14.25" customHeight="1" thickBot="1">
      <c r="B118" s="265" t="s">
        <v>86</v>
      </c>
      <c r="C118" s="266"/>
      <c r="E118" s="257" t="s">
        <v>115</v>
      </c>
      <c r="F118" s="258"/>
    </row>
    <row r="119" spans="2:6" ht="14.25" thickBot="1">
      <c r="B119" s="257" t="s">
        <v>102</v>
      </c>
      <c r="C119" s="258"/>
      <c r="E119" s="257" t="s">
        <v>116</v>
      </c>
      <c r="F119" s="258"/>
    </row>
    <row r="120" spans="2:6" ht="14.25" thickBot="1">
      <c r="B120" s="265" t="s">
        <v>87</v>
      </c>
      <c r="C120" s="266"/>
    </row>
    <row r="121" spans="2:6" ht="14.25" thickBot="1">
      <c r="B121" s="259" t="s">
        <v>103</v>
      </c>
      <c r="C121" s="260"/>
    </row>
    <row r="122" spans="2:6" ht="14.25" customHeight="1" thickBot="1">
      <c r="B122" s="257" t="s">
        <v>88</v>
      </c>
      <c r="C122" s="258"/>
    </row>
    <row r="123" spans="2:6" ht="14.25" thickBot="1">
      <c r="B123" s="257" t="s">
        <v>104</v>
      </c>
      <c r="C123" s="258"/>
    </row>
    <row r="126" spans="2:6" ht="21.75" customHeight="1"/>
  </sheetData>
  <sheetProtection selectLockedCells="1" selectUnlockedCells="1"/>
  <mergeCells count="41">
    <mergeCell ref="B123:C123"/>
    <mergeCell ref="E109:F109"/>
    <mergeCell ref="E116:F116"/>
    <mergeCell ref="E117:F117"/>
    <mergeCell ref="E118:F118"/>
    <mergeCell ref="E119:F119"/>
    <mergeCell ref="E110:F110"/>
    <mergeCell ref="E111:F111"/>
    <mergeCell ref="E112:F112"/>
    <mergeCell ref="E113:F113"/>
    <mergeCell ref="E114:F114"/>
    <mergeCell ref="E115:F115"/>
    <mergeCell ref="B122:C122"/>
    <mergeCell ref="B118:C118"/>
    <mergeCell ref="B119:C119"/>
    <mergeCell ref="B120:C120"/>
    <mergeCell ref="B121:C121"/>
    <mergeCell ref="B114:C114"/>
    <mergeCell ref="B115:C115"/>
    <mergeCell ref="B116:C116"/>
    <mergeCell ref="B117:C117"/>
    <mergeCell ref="B109:C109"/>
    <mergeCell ref="B110:C110"/>
    <mergeCell ref="B111:C111"/>
    <mergeCell ref="B112:C112"/>
    <mergeCell ref="B113:C113"/>
    <mergeCell ref="B105:C105"/>
    <mergeCell ref="B106:C106"/>
    <mergeCell ref="B107:C107"/>
    <mergeCell ref="B108:C108"/>
    <mergeCell ref="B17:E17"/>
    <mergeCell ref="E105:F105"/>
    <mergeCell ref="E106:F106"/>
    <mergeCell ref="E107:F107"/>
    <mergeCell ref="E108:F108"/>
    <mergeCell ref="B15:E15"/>
    <mergeCell ref="B16:E16"/>
    <mergeCell ref="B1:C1"/>
    <mergeCell ref="E1:J1"/>
    <mergeCell ref="B2:J2"/>
    <mergeCell ref="B14:E14"/>
  </mergeCells>
  <phoneticPr fontId="0" type="noConversion"/>
  <dataValidations count="2">
    <dataValidation type="list" allowBlank="1" showInputMessage="1" showErrorMessage="1" sqref="I10" xr:uid="{00000000-0002-0000-0100-000000000000}">
      <formula1>$B$106:$B$123</formula1>
    </dataValidation>
    <dataValidation type="list" allowBlank="1" showInputMessage="1" showErrorMessage="1" sqref="I12" xr:uid="{00000000-0002-0000-0100-000001000000}">
      <formula1>$E$106:$E$119</formula1>
    </dataValidation>
  </dataValidations>
  <pageMargins left="0.75" right="0.75" top="1" bottom="1" header="0" footer="0"/>
  <pageSetup paperSize="14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D28"/>
  <sheetViews>
    <sheetView view="pageBreakPreview" zoomScale="120" zoomScaleNormal="55" zoomScaleSheetLayoutView="120" workbookViewId="0">
      <pane xSplit="2" ySplit="3" topLeftCell="F4" activePane="bottomRight" state="frozen"/>
      <selection activeCell="B7" sqref="B7"/>
      <selection pane="topRight" activeCell="B7" sqref="B7"/>
      <selection pane="bottomLeft" activeCell="B7" sqref="B7"/>
      <selection pane="bottomRight" activeCell="P11" sqref="P11"/>
    </sheetView>
  </sheetViews>
  <sheetFormatPr baseColWidth="10" defaultRowHeight="40.5" customHeight="1"/>
  <cols>
    <col min="1" max="1" width="4" style="6" customWidth="1"/>
    <col min="2" max="2" width="15.85546875" style="6" customWidth="1"/>
    <col min="3" max="3" width="30.5703125" style="6" customWidth="1"/>
    <col min="4" max="4" width="13" style="35" customWidth="1"/>
    <col min="5" max="5" width="19.28515625" style="6" bestFit="1" customWidth="1"/>
    <col min="6" max="6" width="13.5703125" style="6" customWidth="1"/>
    <col min="7" max="7" width="11.85546875" style="6" hidden="1" customWidth="1"/>
    <col min="8" max="9" width="10.42578125" style="6" hidden="1" customWidth="1"/>
    <col min="10" max="10" width="7.28515625" style="6" hidden="1" customWidth="1"/>
    <col min="11" max="11" width="4.7109375" style="36" hidden="1" customWidth="1"/>
    <col min="12" max="12" width="11" style="6" customWidth="1"/>
    <col min="13" max="13" width="43.28515625" style="6" customWidth="1"/>
    <col min="14" max="14" width="21.85546875" style="6" customWidth="1"/>
    <col min="15" max="15" width="7.42578125" style="6" customWidth="1"/>
    <col min="16" max="16" width="22.5703125" style="6" customWidth="1"/>
    <col min="17" max="17" width="17.5703125" style="6" customWidth="1"/>
    <col min="18" max="18" width="7.28515625" style="6" customWidth="1"/>
    <col min="19" max="19" width="16.7109375" style="6" customWidth="1"/>
    <col min="20" max="20" width="15.28515625" style="6" customWidth="1"/>
    <col min="21" max="21" width="7.42578125" style="6" customWidth="1"/>
    <col min="22" max="22" width="14.28515625" style="6" customWidth="1"/>
    <col min="23" max="23" width="21.85546875" style="6" customWidth="1"/>
    <col min="24" max="24" width="7.42578125" style="6" customWidth="1"/>
    <col min="25" max="25" width="22.5703125" style="6" customWidth="1"/>
    <col min="26" max="26" width="17.5703125" style="6" customWidth="1"/>
    <col min="27" max="27" width="7.28515625" style="6" customWidth="1"/>
    <col min="28" max="28" width="16.7109375" style="6" customWidth="1"/>
    <col min="29" max="29" width="15.28515625" style="6" customWidth="1"/>
    <col min="30" max="30" width="7.42578125" style="6" customWidth="1"/>
    <col min="31" max="31" width="14.28515625" style="6" customWidth="1"/>
    <col min="32" max="32" width="21.85546875" style="6" customWidth="1"/>
    <col min="33" max="33" width="7.42578125" style="6" customWidth="1"/>
    <col min="34" max="34" width="22.5703125" style="6" customWidth="1"/>
    <col min="35" max="35" width="17.5703125" style="6" customWidth="1"/>
    <col min="36" max="36" width="7.28515625" style="6" customWidth="1"/>
    <col min="37" max="37" width="16.7109375" style="6" customWidth="1"/>
    <col min="38" max="38" width="15.28515625" style="6" customWidth="1"/>
    <col min="39" max="39" width="7.42578125" style="6" customWidth="1"/>
    <col min="40" max="40" width="14.28515625" style="6" customWidth="1"/>
    <col min="41" max="41" width="15.42578125" style="6" customWidth="1"/>
    <col min="42" max="42" width="11" style="6" customWidth="1"/>
    <col min="43" max="43" width="12.42578125" style="6" customWidth="1"/>
    <col min="44" max="76" width="11" style="6" customWidth="1"/>
    <col min="77" max="82" width="11.42578125" style="43"/>
    <col min="83" max="210" width="11" style="6" customWidth="1"/>
    <col min="211" max="16384" width="11.42578125" style="6"/>
  </cols>
  <sheetData>
    <row r="1" spans="1:76" ht="12.75" customHeight="1">
      <c r="A1" s="267" t="s">
        <v>6</v>
      </c>
      <c r="B1" s="267" t="s">
        <v>159</v>
      </c>
      <c r="C1" s="267" t="s">
        <v>123</v>
      </c>
      <c r="D1" s="273" t="s">
        <v>40</v>
      </c>
      <c r="E1" s="267" t="s">
        <v>7</v>
      </c>
      <c r="F1" s="267" t="s">
        <v>41</v>
      </c>
      <c r="G1" s="267" t="s">
        <v>75</v>
      </c>
      <c r="H1" s="267" t="s">
        <v>73</v>
      </c>
      <c r="I1" s="267" t="s">
        <v>74</v>
      </c>
      <c r="J1" s="267" t="s">
        <v>14</v>
      </c>
      <c r="K1" s="267" t="s">
        <v>15</v>
      </c>
      <c r="L1" s="267" t="s">
        <v>16</v>
      </c>
      <c r="M1" s="267" t="s">
        <v>55</v>
      </c>
      <c r="N1" s="267" t="s">
        <v>43</v>
      </c>
      <c r="O1" s="267"/>
      <c r="P1" s="267"/>
      <c r="Q1" s="267"/>
      <c r="R1" s="267"/>
      <c r="S1" s="267"/>
      <c r="T1" s="267"/>
      <c r="U1" s="267"/>
      <c r="V1" s="267"/>
      <c r="W1" s="267" t="s">
        <v>43</v>
      </c>
      <c r="X1" s="267"/>
      <c r="Y1" s="267"/>
      <c r="Z1" s="267"/>
      <c r="AA1" s="267"/>
      <c r="AB1" s="267"/>
      <c r="AC1" s="267"/>
      <c r="AD1" s="267"/>
      <c r="AE1" s="267"/>
      <c r="AF1" s="267" t="s">
        <v>43</v>
      </c>
      <c r="AG1" s="267"/>
      <c r="AH1" s="267"/>
      <c r="AI1" s="267"/>
      <c r="AJ1" s="267"/>
      <c r="AK1" s="267"/>
      <c r="AL1" s="267"/>
      <c r="AM1" s="267"/>
      <c r="AN1" s="267"/>
      <c r="AO1" s="274" t="s">
        <v>44</v>
      </c>
      <c r="AP1" s="274"/>
      <c r="AQ1" s="274"/>
      <c r="AR1" s="274"/>
      <c r="AS1" s="274"/>
      <c r="AT1" s="274"/>
      <c r="AU1" s="274"/>
      <c r="AV1" s="274"/>
      <c r="AW1" s="274"/>
      <c r="AX1" s="274"/>
      <c r="AY1" s="274"/>
      <c r="AZ1" s="274"/>
      <c r="BA1" s="271" t="s">
        <v>45</v>
      </c>
      <c r="BB1" s="271"/>
      <c r="BC1" s="271"/>
      <c r="BD1" s="271"/>
      <c r="BE1" s="271"/>
      <c r="BF1" s="271"/>
      <c r="BG1" s="271"/>
      <c r="BH1" s="271"/>
      <c r="BI1" s="271"/>
      <c r="BJ1" s="271"/>
      <c r="BK1" s="271"/>
      <c r="BL1" s="271"/>
      <c r="BM1" s="272" t="s">
        <v>46</v>
      </c>
      <c r="BN1" s="272"/>
      <c r="BO1" s="272"/>
      <c r="BP1" s="272"/>
      <c r="BQ1" s="272"/>
      <c r="BR1" s="272"/>
      <c r="BS1" s="272"/>
      <c r="BT1" s="272"/>
      <c r="BU1" s="272"/>
      <c r="BV1" s="272"/>
      <c r="BW1" s="272"/>
      <c r="BX1" s="272"/>
    </row>
    <row r="2" spans="1:76" ht="12.75" customHeight="1">
      <c r="A2" s="267"/>
      <c r="B2" s="267"/>
      <c r="C2" s="267"/>
      <c r="D2" s="273"/>
      <c r="E2" s="267"/>
      <c r="F2" s="267"/>
      <c r="G2" s="267"/>
      <c r="H2" s="267"/>
      <c r="I2" s="267"/>
      <c r="J2" s="267"/>
      <c r="K2" s="267"/>
      <c r="L2" s="267"/>
      <c r="M2" s="267" t="str">
        <f>"("&amp;E2&amp;": "&amp;N2&amp;" "&amp;TEXT(O2,"##0,00%")&amp;" - "&amp;P2&amp;" "&amp;TEXT(Q2,"##0,00%")&amp;" - "&amp;R2&amp;" "&amp;TEXT(S2,"##0,00%")&amp;")"</f>
        <v>(: Integrante 1 % Int. 1 - NIT O CEDULA DE CIUDADANIA Integrante 2 - % Int. 2 NIT O CEDULA DE CIUDADANIA)</v>
      </c>
      <c r="N2" s="268" t="s">
        <v>0</v>
      </c>
      <c r="O2" s="268" t="s">
        <v>10</v>
      </c>
      <c r="P2" s="268" t="s">
        <v>42</v>
      </c>
      <c r="Q2" s="269" t="s">
        <v>1</v>
      </c>
      <c r="R2" s="269" t="s">
        <v>11</v>
      </c>
      <c r="S2" s="269" t="s">
        <v>42</v>
      </c>
      <c r="T2" s="270" t="s">
        <v>9</v>
      </c>
      <c r="U2" s="270" t="s">
        <v>12</v>
      </c>
      <c r="V2" s="270" t="s">
        <v>42</v>
      </c>
      <c r="W2" s="268" t="s">
        <v>129</v>
      </c>
      <c r="X2" s="268" t="s">
        <v>130</v>
      </c>
      <c r="Y2" s="268" t="s">
        <v>42</v>
      </c>
      <c r="Z2" s="269" t="s">
        <v>131</v>
      </c>
      <c r="AA2" s="269" t="s">
        <v>132</v>
      </c>
      <c r="AB2" s="269" t="s">
        <v>42</v>
      </c>
      <c r="AC2" s="270" t="s">
        <v>133</v>
      </c>
      <c r="AD2" s="270" t="s">
        <v>134</v>
      </c>
      <c r="AE2" s="270" t="s">
        <v>42</v>
      </c>
      <c r="AF2" s="268" t="s">
        <v>135</v>
      </c>
      <c r="AG2" s="268" t="s">
        <v>136</v>
      </c>
      <c r="AH2" s="268" t="s">
        <v>42</v>
      </c>
      <c r="AI2" s="269" t="s">
        <v>137</v>
      </c>
      <c r="AJ2" s="269" t="s">
        <v>138</v>
      </c>
      <c r="AK2" s="269" t="s">
        <v>42</v>
      </c>
      <c r="AL2" s="270" t="s">
        <v>139</v>
      </c>
      <c r="AM2" s="270" t="s">
        <v>140</v>
      </c>
      <c r="AN2" s="270" t="s">
        <v>42</v>
      </c>
      <c r="AO2" s="274" t="s">
        <v>47</v>
      </c>
      <c r="AP2" s="274"/>
      <c r="AQ2" s="274" t="s">
        <v>48</v>
      </c>
      <c r="AR2" s="274"/>
      <c r="AS2" s="274" t="s">
        <v>49</v>
      </c>
      <c r="AT2" s="274"/>
      <c r="AU2" s="274" t="s">
        <v>50</v>
      </c>
      <c r="AV2" s="274"/>
      <c r="AW2" s="274" t="s">
        <v>51</v>
      </c>
      <c r="AX2" s="274"/>
      <c r="AY2" s="274" t="s">
        <v>52</v>
      </c>
      <c r="AZ2" s="274"/>
      <c r="BA2" s="271" t="s">
        <v>47</v>
      </c>
      <c r="BB2" s="271"/>
      <c r="BC2" s="271" t="s">
        <v>48</v>
      </c>
      <c r="BD2" s="271"/>
      <c r="BE2" s="271" t="s">
        <v>49</v>
      </c>
      <c r="BF2" s="271"/>
      <c r="BG2" s="271" t="s">
        <v>50</v>
      </c>
      <c r="BH2" s="271"/>
      <c r="BI2" s="271" t="s">
        <v>51</v>
      </c>
      <c r="BJ2" s="271"/>
      <c r="BK2" s="271" t="s">
        <v>52</v>
      </c>
      <c r="BL2" s="271"/>
      <c r="BM2" s="272" t="s">
        <v>47</v>
      </c>
      <c r="BN2" s="272"/>
      <c r="BO2" s="272" t="s">
        <v>48</v>
      </c>
      <c r="BP2" s="272"/>
      <c r="BQ2" s="272" t="s">
        <v>49</v>
      </c>
      <c r="BR2" s="272"/>
      <c r="BS2" s="272" t="s">
        <v>50</v>
      </c>
      <c r="BT2" s="272"/>
      <c r="BU2" s="272" t="s">
        <v>51</v>
      </c>
      <c r="BV2" s="272"/>
      <c r="BW2" s="272" t="s">
        <v>52</v>
      </c>
      <c r="BX2" s="272"/>
    </row>
    <row r="3" spans="1:76" s="7" customFormat="1" ht="13.5" customHeight="1">
      <c r="A3" s="267"/>
      <c r="B3" s="267"/>
      <c r="C3" s="267"/>
      <c r="D3" s="273"/>
      <c r="E3" s="267"/>
      <c r="F3" s="267"/>
      <c r="G3" s="267"/>
      <c r="H3" s="267"/>
      <c r="I3" s="267"/>
      <c r="J3" s="267"/>
      <c r="K3" s="267"/>
      <c r="L3" s="267"/>
      <c r="M3" s="267" t="str">
        <f>"("&amp;N3&amp;" "&amp;TEXT(O3,"##0,00%")&amp;" - "&amp;P3&amp;" "&amp;TEXT(Q3,"##0,00%")&amp;" - "&amp;R3&amp;" "&amp;TEXT(S3,"##0,00%")&amp;")"</f>
        <v>( 000% -  000% -  000%)</v>
      </c>
      <c r="N3" s="268"/>
      <c r="O3" s="268"/>
      <c r="P3" s="268"/>
      <c r="Q3" s="269"/>
      <c r="R3" s="269"/>
      <c r="S3" s="269"/>
      <c r="T3" s="270"/>
      <c r="U3" s="270"/>
      <c r="V3" s="270"/>
      <c r="W3" s="268"/>
      <c r="X3" s="268"/>
      <c r="Y3" s="268"/>
      <c r="Z3" s="269"/>
      <c r="AA3" s="269"/>
      <c r="AB3" s="269"/>
      <c r="AC3" s="270"/>
      <c r="AD3" s="270"/>
      <c r="AE3" s="270"/>
      <c r="AF3" s="268"/>
      <c r="AG3" s="268"/>
      <c r="AH3" s="268"/>
      <c r="AI3" s="269"/>
      <c r="AJ3" s="269"/>
      <c r="AK3" s="269"/>
      <c r="AL3" s="270"/>
      <c r="AM3" s="270"/>
      <c r="AN3" s="270"/>
      <c r="AO3" s="49" t="s">
        <v>53</v>
      </c>
      <c r="AP3" s="49" t="s">
        <v>54</v>
      </c>
      <c r="AQ3" s="49" t="s">
        <v>53</v>
      </c>
      <c r="AR3" s="49" t="s">
        <v>54</v>
      </c>
      <c r="AS3" s="49" t="s">
        <v>53</v>
      </c>
      <c r="AT3" s="49" t="s">
        <v>54</v>
      </c>
      <c r="AU3" s="49" t="s">
        <v>53</v>
      </c>
      <c r="AV3" s="49" t="s">
        <v>54</v>
      </c>
      <c r="AW3" s="49" t="s">
        <v>53</v>
      </c>
      <c r="AX3" s="49" t="s">
        <v>54</v>
      </c>
      <c r="AY3" s="49" t="s">
        <v>53</v>
      </c>
      <c r="AZ3" s="49" t="s">
        <v>54</v>
      </c>
      <c r="BA3" s="46" t="s">
        <v>53</v>
      </c>
      <c r="BB3" s="46" t="s">
        <v>54</v>
      </c>
      <c r="BC3" s="46" t="s">
        <v>53</v>
      </c>
      <c r="BD3" s="46" t="s">
        <v>54</v>
      </c>
      <c r="BE3" s="46" t="s">
        <v>53</v>
      </c>
      <c r="BF3" s="46" t="s">
        <v>54</v>
      </c>
      <c r="BG3" s="46" t="s">
        <v>53</v>
      </c>
      <c r="BH3" s="46" t="s">
        <v>54</v>
      </c>
      <c r="BI3" s="46" t="s">
        <v>53</v>
      </c>
      <c r="BJ3" s="46" t="s">
        <v>54</v>
      </c>
      <c r="BK3" s="46" t="s">
        <v>53</v>
      </c>
      <c r="BL3" s="46" t="s">
        <v>54</v>
      </c>
      <c r="BM3" s="47" t="s">
        <v>53</v>
      </c>
      <c r="BN3" s="47" t="s">
        <v>54</v>
      </c>
      <c r="BO3" s="47" t="s">
        <v>53</v>
      </c>
      <c r="BP3" s="47" t="s">
        <v>54</v>
      </c>
      <c r="BQ3" s="47" t="s">
        <v>53</v>
      </c>
      <c r="BR3" s="47" t="s">
        <v>54</v>
      </c>
      <c r="BS3" s="47" t="s">
        <v>53</v>
      </c>
      <c r="BT3" s="47" t="s">
        <v>54</v>
      </c>
      <c r="BU3" s="47" t="s">
        <v>53</v>
      </c>
      <c r="BV3" s="47" t="s">
        <v>54</v>
      </c>
      <c r="BW3" s="47" t="s">
        <v>53</v>
      </c>
      <c r="BX3" s="47" t="s">
        <v>54</v>
      </c>
    </row>
    <row r="4" spans="1:76" s="29" customFormat="1" ht="25.5">
      <c r="A4" s="2">
        <v>1</v>
      </c>
      <c r="B4" s="8" t="s">
        <v>166</v>
      </c>
      <c r="C4" s="11" t="s">
        <v>168</v>
      </c>
      <c r="D4" s="10"/>
      <c r="E4" s="11" t="s">
        <v>169</v>
      </c>
      <c r="F4" s="12" t="s">
        <v>170</v>
      </c>
      <c r="G4" s="13"/>
      <c r="H4" s="13"/>
      <c r="I4" s="13"/>
      <c r="J4" s="12"/>
      <c r="K4" s="120"/>
      <c r="L4" s="12" t="s">
        <v>161</v>
      </c>
      <c r="M4" s="3" t="str">
        <f t="shared" ref="M4:M10" si="0">"("&amp;C4&amp;": "&amp;N4&amp;" "&amp;TEXT(O4,"##0,00%")&amp;" - "&amp;Q4&amp;" "&amp;TEXT(R4,"##0,00%")&amp;" - "&amp;T4&amp;" "&amp;TEXT(U4,"##0,00%")&amp;")"</f>
        <v>(CONSORCIO LM &amp; CB: LITTLE MONKEY BTL SAS 048% - COMERCIALIZADORA CAFÉ BOTERO SAS 052% -  000%)</v>
      </c>
      <c r="N4" s="14" t="s">
        <v>171</v>
      </c>
      <c r="O4" s="15">
        <v>0.48</v>
      </c>
      <c r="P4" s="16"/>
      <c r="Q4" s="17" t="s">
        <v>172</v>
      </c>
      <c r="R4" s="18">
        <v>0.52</v>
      </c>
      <c r="S4" s="19"/>
      <c r="T4" s="20"/>
      <c r="U4" s="21"/>
      <c r="V4" s="22"/>
      <c r="W4" s="14"/>
      <c r="X4" s="15"/>
      <c r="Y4" s="16"/>
      <c r="Z4" s="17"/>
      <c r="AA4" s="18"/>
      <c r="AB4" s="19"/>
      <c r="AC4" s="20"/>
      <c r="AD4" s="21"/>
      <c r="AE4" s="22"/>
      <c r="AF4" s="14"/>
      <c r="AG4" s="15"/>
      <c r="AH4" s="16"/>
      <c r="AI4" s="17"/>
      <c r="AJ4" s="18"/>
      <c r="AK4" s="19"/>
      <c r="AL4" s="20"/>
      <c r="AM4" s="21"/>
      <c r="AN4" s="22"/>
      <c r="AO4" s="23"/>
      <c r="AP4" s="24"/>
      <c r="AQ4" s="25"/>
      <c r="AR4" s="26"/>
      <c r="AS4" s="25"/>
      <c r="AT4" s="26"/>
      <c r="AU4" s="25"/>
      <c r="AV4" s="26"/>
      <c r="AW4" s="25"/>
      <c r="AX4" s="26"/>
      <c r="AY4" s="25"/>
      <c r="AZ4" s="26"/>
      <c r="BA4" s="27"/>
      <c r="BB4" s="19"/>
      <c r="BC4" s="27"/>
      <c r="BD4" s="19"/>
      <c r="BE4" s="27"/>
      <c r="BF4" s="19"/>
      <c r="BG4" s="27"/>
      <c r="BH4" s="19"/>
      <c r="BI4" s="27"/>
      <c r="BJ4" s="19"/>
      <c r="BK4" s="27"/>
      <c r="BL4" s="19"/>
      <c r="BM4" s="28"/>
      <c r="BN4" s="22"/>
      <c r="BO4" s="28"/>
      <c r="BP4" s="22"/>
      <c r="BQ4" s="28"/>
      <c r="BR4" s="22"/>
      <c r="BS4" s="28"/>
      <c r="BT4" s="22"/>
      <c r="BU4" s="22"/>
      <c r="BV4" s="22"/>
      <c r="BW4" s="28"/>
      <c r="BX4" s="22"/>
    </row>
    <row r="5" spans="1:76" s="29" customFormat="1" ht="25.5">
      <c r="A5" s="2">
        <v>2</v>
      </c>
      <c r="B5" s="8" t="s">
        <v>166</v>
      </c>
      <c r="C5" s="11" t="s">
        <v>185</v>
      </c>
      <c r="D5" s="10" t="s">
        <v>186</v>
      </c>
      <c r="E5" s="11" t="s">
        <v>187</v>
      </c>
      <c r="F5" s="30" t="s">
        <v>188</v>
      </c>
      <c r="G5" s="31"/>
      <c r="H5" s="31"/>
      <c r="I5" s="31"/>
      <c r="J5" s="32"/>
      <c r="K5" s="120"/>
      <c r="L5" s="12" t="s">
        <v>161</v>
      </c>
      <c r="M5" s="3" t="str">
        <f t="shared" si="0"/>
        <v>(COMERCIALIZADORA COMSILA SAS: COMERCIALIZADORA COMSILA SAS 100% -  000% -  000%)</v>
      </c>
      <c r="N5" s="14" t="s">
        <v>185</v>
      </c>
      <c r="O5" s="15">
        <v>1</v>
      </c>
      <c r="P5" s="16" t="s">
        <v>186</v>
      </c>
      <c r="Q5" s="17"/>
      <c r="R5" s="18"/>
      <c r="S5" s="19"/>
      <c r="T5" s="20"/>
      <c r="U5" s="21"/>
      <c r="V5" s="22"/>
      <c r="W5" s="14"/>
      <c r="X5" s="15"/>
      <c r="Y5" s="16"/>
      <c r="Z5" s="17"/>
      <c r="AA5" s="18"/>
      <c r="AB5" s="19"/>
      <c r="AC5" s="20"/>
      <c r="AD5" s="21"/>
      <c r="AE5" s="22"/>
      <c r="AF5" s="14"/>
      <c r="AG5" s="15"/>
      <c r="AH5" s="16"/>
      <c r="AI5" s="17"/>
      <c r="AJ5" s="18"/>
      <c r="AK5" s="19"/>
      <c r="AL5" s="20"/>
      <c r="AM5" s="21"/>
      <c r="AN5" s="22"/>
      <c r="AO5" s="23"/>
      <c r="AP5" s="26"/>
      <c r="AQ5" s="25"/>
      <c r="AR5" s="26"/>
      <c r="AS5" s="25"/>
      <c r="AT5" s="26"/>
      <c r="AU5" s="25"/>
      <c r="AV5" s="26"/>
      <c r="AW5" s="25"/>
      <c r="AX5" s="26"/>
      <c r="AY5" s="25"/>
      <c r="AZ5" s="26"/>
      <c r="BA5" s="27"/>
      <c r="BB5" s="19"/>
      <c r="BC5" s="27"/>
      <c r="BD5" s="19"/>
      <c r="BE5" s="27"/>
      <c r="BF5" s="19"/>
      <c r="BG5" s="27"/>
      <c r="BH5" s="19"/>
      <c r="BI5" s="27"/>
      <c r="BJ5" s="19"/>
      <c r="BK5" s="27"/>
      <c r="BL5" s="19"/>
      <c r="BM5" s="28"/>
      <c r="BN5" s="22"/>
      <c r="BO5" s="28"/>
      <c r="BP5" s="22"/>
      <c r="BQ5" s="28"/>
      <c r="BR5" s="22"/>
      <c r="BS5" s="28"/>
      <c r="BT5" s="22"/>
      <c r="BU5" s="22"/>
      <c r="BV5" s="22"/>
      <c r="BW5" s="28"/>
      <c r="BX5" s="22"/>
    </row>
    <row r="6" spans="1:76" s="29" customFormat="1" ht="12.75">
      <c r="A6" s="2">
        <v>3</v>
      </c>
      <c r="B6" s="8" t="s">
        <v>166</v>
      </c>
      <c r="C6" s="11" t="s">
        <v>192</v>
      </c>
      <c r="D6" s="30" t="s">
        <v>195</v>
      </c>
      <c r="E6" s="11" t="s">
        <v>193</v>
      </c>
      <c r="F6" s="30" t="s">
        <v>194</v>
      </c>
      <c r="G6" s="13"/>
      <c r="H6" s="31"/>
      <c r="I6" s="31"/>
      <c r="J6" s="12"/>
      <c r="K6" s="120"/>
      <c r="L6" s="12" t="s">
        <v>161</v>
      </c>
      <c r="M6" s="3" t="str">
        <f t="shared" si="0"/>
        <v>(4P PUBLICIDAD SAS: 4P PUBLICIDAD SAS 100% -  000% -  000%)</v>
      </c>
      <c r="N6" s="14" t="s">
        <v>192</v>
      </c>
      <c r="O6" s="15">
        <v>1</v>
      </c>
      <c r="P6" s="16" t="s">
        <v>195</v>
      </c>
      <c r="Q6" s="17"/>
      <c r="R6" s="18"/>
      <c r="S6" s="152"/>
      <c r="T6" s="20"/>
      <c r="U6" s="21"/>
      <c r="V6" s="22"/>
      <c r="W6" s="14"/>
      <c r="X6" s="15"/>
      <c r="Y6" s="16"/>
      <c r="Z6" s="17"/>
      <c r="AA6" s="18"/>
      <c r="AB6" s="152"/>
      <c r="AC6" s="20"/>
      <c r="AD6" s="21"/>
      <c r="AE6" s="22"/>
      <c r="AF6" s="14"/>
      <c r="AG6" s="15"/>
      <c r="AH6" s="16"/>
      <c r="AI6" s="17"/>
      <c r="AJ6" s="18"/>
      <c r="AK6" s="152"/>
      <c r="AL6" s="20"/>
      <c r="AM6" s="21"/>
      <c r="AN6" s="22"/>
      <c r="AO6" s="25"/>
      <c r="AP6" s="33"/>
      <c r="AQ6" s="25"/>
      <c r="AR6" s="26"/>
      <c r="AS6" s="25"/>
      <c r="AT6" s="26"/>
      <c r="AU6" s="25"/>
      <c r="AV6" s="26"/>
      <c r="AW6" s="25"/>
      <c r="AX6" s="26"/>
      <c r="AY6" s="25"/>
      <c r="AZ6" s="26"/>
      <c r="BA6" s="27"/>
      <c r="BB6" s="19"/>
      <c r="BC6" s="27"/>
      <c r="BD6" s="19"/>
      <c r="BE6" s="27"/>
      <c r="BF6" s="19"/>
      <c r="BG6" s="27"/>
      <c r="BH6" s="19"/>
      <c r="BI6" s="27"/>
      <c r="BJ6" s="19"/>
      <c r="BK6" s="27"/>
      <c r="BL6" s="19"/>
      <c r="BM6" s="28"/>
      <c r="BN6" s="22"/>
      <c r="BO6" s="28"/>
      <c r="BP6" s="22"/>
      <c r="BQ6" s="28"/>
      <c r="BR6" s="22"/>
      <c r="BS6" s="28"/>
      <c r="BT6" s="22"/>
      <c r="BU6" s="22"/>
      <c r="BV6" s="22"/>
      <c r="BW6" s="28"/>
      <c r="BX6" s="22"/>
    </row>
    <row r="7" spans="1:76" s="29" customFormat="1" ht="25.5">
      <c r="A7" s="2">
        <v>4</v>
      </c>
      <c r="B7" s="8" t="s">
        <v>166</v>
      </c>
      <c r="C7" s="11" t="s">
        <v>201</v>
      </c>
      <c r="D7" s="10" t="s">
        <v>202</v>
      </c>
      <c r="E7" s="11" t="s">
        <v>203</v>
      </c>
      <c r="F7" s="30" t="s">
        <v>204</v>
      </c>
      <c r="G7" s="31"/>
      <c r="H7" s="31"/>
      <c r="I7" s="31"/>
      <c r="J7" s="32"/>
      <c r="K7" s="34"/>
      <c r="L7" s="12" t="s">
        <v>161</v>
      </c>
      <c r="M7" s="3" t="str">
        <f t="shared" si="0"/>
        <v>(GN GENERACION DE NEGOCIOS SAS: GN GENERACION DE NEGOCIOS SAS 100% -  000% -  000%)</v>
      </c>
      <c r="N7" s="14" t="s">
        <v>201</v>
      </c>
      <c r="O7" s="15">
        <v>1</v>
      </c>
      <c r="P7" s="16" t="s">
        <v>202</v>
      </c>
      <c r="Q7" s="17"/>
      <c r="R7" s="18"/>
      <c r="S7" s="19"/>
      <c r="T7" s="20"/>
      <c r="U7" s="21"/>
      <c r="V7" s="22"/>
      <c r="W7" s="14"/>
      <c r="X7" s="15"/>
      <c r="Y7" s="16"/>
      <c r="Z7" s="17"/>
      <c r="AA7" s="18"/>
      <c r="AB7" s="19"/>
      <c r="AC7" s="20"/>
      <c r="AD7" s="21"/>
      <c r="AE7" s="22"/>
      <c r="AF7" s="14"/>
      <c r="AG7" s="15"/>
      <c r="AH7" s="16"/>
      <c r="AI7" s="17"/>
      <c r="AJ7" s="18"/>
      <c r="AK7" s="19"/>
      <c r="AL7" s="20"/>
      <c r="AM7" s="21"/>
      <c r="AN7" s="22"/>
      <c r="AO7" s="25"/>
      <c r="AP7" s="26"/>
      <c r="AQ7" s="25"/>
      <c r="AR7" s="26"/>
      <c r="AS7" s="25"/>
      <c r="AT7" s="26"/>
      <c r="AU7" s="25"/>
      <c r="AV7" s="26"/>
      <c r="AW7" s="25"/>
      <c r="AX7" s="26"/>
      <c r="AY7" s="25"/>
      <c r="AZ7" s="26"/>
      <c r="BA7" s="27"/>
      <c r="BB7" s="19"/>
      <c r="BC7" s="27"/>
      <c r="BD7" s="19"/>
      <c r="BE7" s="27"/>
      <c r="BF7" s="19"/>
      <c r="BG7" s="27"/>
      <c r="BH7" s="19"/>
      <c r="BI7" s="27"/>
      <c r="BJ7" s="19"/>
      <c r="BK7" s="27"/>
      <c r="BL7" s="19"/>
      <c r="BM7" s="28"/>
      <c r="BN7" s="22"/>
      <c r="BO7" s="28"/>
      <c r="BP7" s="22"/>
      <c r="BQ7" s="28"/>
      <c r="BR7" s="22"/>
      <c r="BS7" s="28"/>
      <c r="BT7" s="22"/>
      <c r="BU7" s="22"/>
      <c r="BV7" s="22"/>
      <c r="BW7" s="28"/>
      <c r="BX7" s="22"/>
    </row>
    <row r="8" spans="1:76" ht="25.5">
      <c r="A8" s="2">
        <v>5</v>
      </c>
      <c r="B8" s="8" t="s">
        <v>166</v>
      </c>
      <c r="C8" s="11" t="s">
        <v>215</v>
      </c>
      <c r="D8" s="10" t="s">
        <v>217</v>
      </c>
      <c r="E8" s="11" t="s">
        <v>216</v>
      </c>
      <c r="F8" s="12">
        <v>79141115</v>
      </c>
      <c r="G8" s="13"/>
      <c r="H8" s="13"/>
      <c r="I8" s="13"/>
      <c r="J8" s="12"/>
      <c r="K8" s="120"/>
      <c r="L8" s="12" t="s">
        <v>161</v>
      </c>
      <c r="M8" s="3" t="str">
        <f t="shared" si="0"/>
        <v>(PROMOS LTDA.: PROMOS LTDA. 100% -  000% -  000%)</v>
      </c>
      <c r="N8" s="14" t="s">
        <v>215</v>
      </c>
      <c r="O8" s="15">
        <v>1</v>
      </c>
      <c r="P8" s="16" t="s">
        <v>217</v>
      </c>
      <c r="Q8" s="17"/>
      <c r="R8" s="18"/>
      <c r="S8" s="19"/>
      <c r="T8" s="20"/>
      <c r="U8" s="21"/>
      <c r="V8" s="22"/>
      <c r="W8" s="14"/>
      <c r="X8" s="15"/>
      <c r="Y8" s="16"/>
      <c r="Z8" s="17"/>
      <c r="AA8" s="18"/>
      <c r="AB8" s="19"/>
      <c r="AC8" s="20"/>
      <c r="AD8" s="21"/>
      <c r="AE8" s="22"/>
      <c r="AF8" s="14"/>
      <c r="AG8" s="15"/>
      <c r="AH8" s="16"/>
      <c r="AI8" s="17"/>
      <c r="AJ8" s="18"/>
      <c r="AK8" s="19"/>
      <c r="AL8" s="20"/>
      <c r="AM8" s="21"/>
      <c r="AN8" s="22"/>
      <c r="AO8" s="23"/>
      <c r="AP8" s="24"/>
      <c r="AQ8" s="25"/>
      <c r="AR8" s="26"/>
      <c r="AS8" s="25"/>
      <c r="AT8" s="26"/>
      <c r="AU8" s="25"/>
      <c r="AV8" s="26"/>
      <c r="AW8" s="25"/>
      <c r="AX8" s="26"/>
      <c r="AY8" s="25"/>
      <c r="AZ8" s="26"/>
      <c r="BA8" s="27"/>
      <c r="BB8" s="19"/>
      <c r="BC8" s="27"/>
      <c r="BD8" s="19"/>
      <c r="BE8" s="27"/>
      <c r="BF8" s="19"/>
      <c r="BG8" s="27"/>
      <c r="BH8" s="19"/>
      <c r="BI8" s="27"/>
      <c r="BJ8" s="19"/>
      <c r="BK8" s="27"/>
      <c r="BL8" s="19"/>
      <c r="BM8" s="28"/>
      <c r="BN8" s="22"/>
      <c r="BO8" s="28"/>
      <c r="BP8" s="22"/>
      <c r="BQ8" s="28"/>
      <c r="BR8" s="22"/>
      <c r="BS8" s="28"/>
      <c r="BT8" s="22"/>
      <c r="BU8" s="22"/>
      <c r="BV8" s="22"/>
      <c r="BW8" s="28"/>
      <c r="BX8" s="22"/>
    </row>
    <row r="9" spans="1:76" ht="12.75">
      <c r="A9" s="2">
        <v>6</v>
      </c>
      <c r="B9" s="8" t="s">
        <v>166</v>
      </c>
      <c r="C9" s="11" t="s">
        <v>228</v>
      </c>
      <c r="D9" s="10" t="s">
        <v>229</v>
      </c>
      <c r="E9" s="11" t="s">
        <v>230</v>
      </c>
      <c r="F9" s="30" t="s">
        <v>231</v>
      </c>
      <c r="G9" s="31"/>
      <c r="H9" s="31"/>
      <c r="I9" s="31"/>
      <c r="J9" s="32"/>
      <c r="K9" s="34"/>
      <c r="L9" s="12" t="s">
        <v>232</v>
      </c>
      <c r="M9" s="3" t="str">
        <f t="shared" si="0"/>
        <v>(Signal Marketing SAS: Signal Marketing SAS 100% -  000% -  000%)</v>
      </c>
      <c r="N9" s="14" t="s">
        <v>228</v>
      </c>
      <c r="O9" s="15">
        <v>1</v>
      </c>
      <c r="P9" s="16" t="s">
        <v>229</v>
      </c>
      <c r="Q9" s="17"/>
      <c r="R9" s="18"/>
      <c r="S9" s="19"/>
      <c r="T9" s="20"/>
      <c r="U9" s="21"/>
      <c r="V9" s="22"/>
      <c r="W9" s="14"/>
      <c r="X9" s="15"/>
      <c r="Y9" s="16"/>
      <c r="Z9" s="17"/>
      <c r="AA9" s="18"/>
      <c r="AB9" s="19"/>
      <c r="AC9" s="20"/>
      <c r="AD9" s="21"/>
      <c r="AE9" s="22"/>
      <c r="AF9" s="14"/>
      <c r="AG9" s="15"/>
      <c r="AH9" s="16"/>
      <c r="AI9" s="17"/>
      <c r="AJ9" s="18"/>
      <c r="AK9" s="19"/>
      <c r="AL9" s="20"/>
      <c r="AM9" s="21"/>
      <c r="AN9" s="22"/>
      <c r="AO9" s="25"/>
      <c r="AP9" s="26"/>
      <c r="AQ9" s="25"/>
      <c r="AR9" s="26"/>
      <c r="AS9" s="25"/>
      <c r="AT9" s="26"/>
      <c r="AU9" s="25"/>
      <c r="AV9" s="26"/>
      <c r="AW9" s="25"/>
      <c r="AX9" s="26"/>
      <c r="AY9" s="25"/>
      <c r="AZ9" s="26"/>
      <c r="BA9" s="27"/>
      <c r="BB9" s="19"/>
      <c r="BC9" s="27"/>
      <c r="BD9" s="19"/>
      <c r="BE9" s="27"/>
      <c r="BF9" s="19"/>
      <c r="BG9" s="27"/>
      <c r="BH9" s="19"/>
      <c r="BI9" s="27"/>
      <c r="BJ9" s="19"/>
      <c r="BK9" s="27"/>
      <c r="BL9" s="19"/>
      <c r="BM9" s="28"/>
      <c r="BN9" s="22"/>
      <c r="BO9" s="28"/>
      <c r="BP9" s="22"/>
      <c r="BQ9" s="28"/>
      <c r="BR9" s="22"/>
      <c r="BS9" s="28"/>
      <c r="BT9" s="22"/>
      <c r="BU9" s="22"/>
      <c r="BV9" s="22"/>
      <c r="BW9" s="28"/>
      <c r="BX9" s="22"/>
    </row>
    <row r="10" spans="1:76" ht="25.5">
      <c r="A10" s="2">
        <v>7</v>
      </c>
      <c r="B10" s="8" t="s">
        <v>166</v>
      </c>
      <c r="C10" s="9" t="s">
        <v>241</v>
      </c>
      <c r="D10" s="10" t="s">
        <v>242</v>
      </c>
      <c r="E10" s="11" t="s">
        <v>243</v>
      </c>
      <c r="F10" s="30">
        <v>98558678</v>
      </c>
      <c r="G10" s="13"/>
      <c r="H10" s="31"/>
      <c r="I10" s="31"/>
      <c r="J10" s="12"/>
      <c r="K10" s="34"/>
      <c r="L10" s="12" t="s">
        <v>244</v>
      </c>
      <c r="M10" s="3" t="str">
        <f t="shared" si="0"/>
        <v>(IMPRIDEAS S.A.S.: IMPRIDEAS S.A.S. 100% -  000% -  000%)</v>
      </c>
      <c r="N10" s="14" t="s">
        <v>241</v>
      </c>
      <c r="O10" s="15">
        <v>1</v>
      </c>
      <c r="P10" s="16" t="s">
        <v>242</v>
      </c>
      <c r="Q10" s="17"/>
      <c r="R10" s="18"/>
      <c r="S10" s="19"/>
      <c r="T10" s="20"/>
      <c r="U10" s="21"/>
      <c r="V10" s="22"/>
      <c r="W10" s="14"/>
      <c r="X10" s="15"/>
      <c r="Y10" s="16"/>
      <c r="Z10" s="17"/>
      <c r="AA10" s="18"/>
      <c r="AB10" s="19"/>
      <c r="AC10" s="20"/>
      <c r="AD10" s="21"/>
      <c r="AE10" s="22"/>
      <c r="AF10" s="14"/>
      <c r="AG10" s="15"/>
      <c r="AH10" s="16"/>
      <c r="AI10" s="17"/>
      <c r="AJ10" s="18"/>
      <c r="AK10" s="19"/>
      <c r="AL10" s="20"/>
      <c r="AM10" s="21"/>
      <c r="AN10" s="22"/>
      <c r="AO10" s="25"/>
      <c r="AP10" s="33"/>
      <c r="AQ10" s="25"/>
      <c r="AR10" s="26"/>
      <c r="AS10" s="25"/>
      <c r="AT10" s="26"/>
      <c r="AU10" s="25"/>
      <c r="AV10" s="26"/>
      <c r="AW10" s="25"/>
      <c r="AX10" s="26"/>
      <c r="AY10" s="25"/>
      <c r="AZ10" s="26"/>
      <c r="BA10" s="27"/>
      <c r="BB10" s="19"/>
      <c r="BC10" s="27"/>
      <c r="BD10" s="19"/>
      <c r="BE10" s="27"/>
      <c r="BF10" s="19"/>
      <c r="BG10" s="27"/>
      <c r="BH10" s="19"/>
      <c r="BI10" s="27"/>
      <c r="BJ10" s="19"/>
      <c r="BK10" s="27"/>
      <c r="BL10" s="19"/>
      <c r="BM10" s="28"/>
      <c r="BN10" s="22"/>
      <c r="BO10" s="28"/>
      <c r="BP10" s="22"/>
      <c r="BQ10" s="28"/>
      <c r="BR10" s="22"/>
      <c r="BS10" s="28"/>
      <c r="BT10" s="22"/>
      <c r="BU10" s="22"/>
      <c r="BV10" s="22"/>
      <c r="BW10" s="28"/>
      <c r="BX10" s="22"/>
    </row>
    <row r="11" spans="1:76" ht="40.5" customHeight="1">
      <c r="A11" s="2"/>
      <c r="B11" s="8"/>
      <c r="C11" s="9"/>
      <c r="D11" s="10"/>
      <c r="E11" s="11"/>
      <c r="F11" s="30"/>
      <c r="G11" s="31"/>
      <c r="H11" s="31"/>
      <c r="I11" s="31"/>
      <c r="J11" s="32"/>
      <c r="K11" s="34"/>
      <c r="L11" s="12"/>
      <c r="M11" s="3"/>
      <c r="N11" s="14"/>
      <c r="O11" s="15"/>
      <c r="P11" s="16"/>
      <c r="Q11" s="17"/>
      <c r="R11" s="18"/>
      <c r="S11" s="19"/>
      <c r="T11" s="20"/>
      <c r="U11" s="21"/>
      <c r="V11" s="22"/>
      <c r="W11" s="14"/>
      <c r="X11" s="15"/>
      <c r="Y11" s="16"/>
      <c r="Z11" s="17"/>
      <c r="AA11" s="18"/>
      <c r="AB11" s="19"/>
      <c r="AC11" s="20"/>
      <c r="AD11" s="21"/>
      <c r="AE11" s="22"/>
      <c r="AF11" s="14"/>
      <c r="AG11" s="15"/>
      <c r="AH11" s="16"/>
      <c r="AI11" s="17"/>
      <c r="AJ11" s="18"/>
      <c r="AK11" s="19"/>
      <c r="AL11" s="20"/>
      <c r="AM11" s="21"/>
      <c r="AN11" s="22"/>
      <c r="AO11" s="25"/>
      <c r="AP11" s="26"/>
      <c r="AQ11" s="25"/>
      <c r="AR11" s="26"/>
      <c r="AS11" s="25"/>
      <c r="AT11" s="26"/>
      <c r="AU11" s="25"/>
      <c r="AV11" s="26"/>
      <c r="AW11" s="25"/>
      <c r="AX11" s="26"/>
      <c r="AY11" s="25"/>
      <c r="AZ11" s="26"/>
      <c r="BA11" s="27"/>
      <c r="BB11" s="19"/>
      <c r="BC11" s="27"/>
      <c r="BD11" s="19"/>
      <c r="BE11" s="27"/>
      <c r="BF11" s="19"/>
      <c r="BG11" s="27"/>
      <c r="BH11" s="19"/>
      <c r="BI11" s="27"/>
      <c r="BJ11" s="19"/>
      <c r="BK11" s="27"/>
      <c r="BL11" s="19"/>
      <c r="BM11" s="28"/>
      <c r="BN11" s="22"/>
      <c r="BO11" s="28"/>
      <c r="BP11" s="22"/>
      <c r="BQ11" s="28"/>
      <c r="BR11" s="22"/>
      <c r="BS11" s="28"/>
      <c r="BT11" s="22"/>
      <c r="BU11" s="22"/>
      <c r="BV11" s="22"/>
      <c r="BW11" s="28"/>
      <c r="BX11" s="22"/>
    </row>
    <row r="12" spans="1:76" ht="40.5" customHeight="1">
      <c r="A12" s="2"/>
      <c r="B12" s="8"/>
      <c r="C12" s="9"/>
      <c r="D12" s="10"/>
      <c r="E12" s="11"/>
      <c r="F12" s="30"/>
      <c r="G12" s="31"/>
      <c r="H12" s="31"/>
      <c r="I12" s="31"/>
      <c r="J12" s="32"/>
      <c r="K12" s="34"/>
      <c r="L12" s="12"/>
      <c r="M12" s="3"/>
      <c r="N12" s="14"/>
      <c r="O12" s="15"/>
      <c r="P12" s="16"/>
      <c r="Q12" s="17"/>
      <c r="R12" s="18"/>
      <c r="S12" s="19"/>
      <c r="T12" s="20"/>
      <c r="U12" s="21"/>
      <c r="V12" s="22"/>
      <c r="W12" s="14"/>
      <c r="X12" s="15"/>
      <c r="Y12" s="16"/>
      <c r="Z12" s="17"/>
      <c r="AA12" s="18"/>
      <c r="AB12" s="19"/>
      <c r="AC12" s="20"/>
      <c r="AD12" s="21"/>
      <c r="AE12" s="22"/>
      <c r="AF12" s="14"/>
      <c r="AG12" s="15"/>
      <c r="AH12" s="16"/>
      <c r="AI12" s="17"/>
      <c r="AJ12" s="18"/>
      <c r="AK12" s="19"/>
      <c r="AL12" s="20"/>
      <c r="AM12" s="21"/>
      <c r="AN12" s="22"/>
      <c r="AO12" s="25"/>
      <c r="AP12" s="26"/>
      <c r="AQ12" s="25"/>
      <c r="AR12" s="26"/>
      <c r="AS12" s="25"/>
      <c r="AT12" s="26"/>
      <c r="AU12" s="25"/>
      <c r="AV12" s="26"/>
      <c r="AW12" s="25"/>
      <c r="AX12" s="26"/>
      <c r="AY12" s="25"/>
      <c r="AZ12" s="26"/>
      <c r="BA12" s="27"/>
      <c r="BB12" s="19"/>
      <c r="BC12" s="27"/>
      <c r="BD12" s="19"/>
      <c r="BE12" s="27"/>
      <c r="BF12" s="19"/>
      <c r="BG12" s="27"/>
      <c r="BH12" s="19"/>
      <c r="BI12" s="27"/>
      <c r="BJ12" s="19"/>
      <c r="BK12" s="27"/>
      <c r="BL12" s="19"/>
      <c r="BM12" s="28"/>
      <c r="BN12" s="22"/>
      <c r="BO12" s="28"/>
      <c r="BP12" s="22"/>
      <c r="BQ12" s="28"/>
      <c r="BR12" s="22"/>
      <c r="BS12" s="28"/>
      <c r="BT12" s="22"/>
      <c r="BU12" s="22"/>
      <c r="BV12" s="22"/>
      <c r="BW12" s="28"/>
      <c r="BX12" s="22"/>
    </row>
    <row r="13" spans="1:76" ht="40.5" customHeight="1">
      <c r="A13" s="2"/>
      <c r="B13" s="8"/>
      <c r="C13" s="9"/>
      <c r="D13" s="10"/>
      <c r="E13" s="11"/>
      <c r="F13" s="30"/>
      <c r="G13" s="31"/>
      <c r="H13" s="31"/>
      <c r="I13" s="31"/>
      <c r="J13" s="32"/>
      <c r="K13" s="34"/>
      <c r="L13" s="12"/>
      <c r="M13" s="3"/>
      <c r="N13" s="14"/>
      <c r="O13" s="15"/>
      <c r="P13" s="16"/>
      <c r="Q13" s="17"/>
      <c r="R13" s="18"/>
      <c r="S13" s="19"/>
      <c r="T13" s="20"/>
      <c r="U13" s="21"/>
      <c r="V13" s="22"/>
      <c r="W13" s="14"/>
      <c r="X13" s="15"/>
      <c r="Y13" s="16"/>
      <c r="Z13" s="17"/>
      <c r="AA13" s="18"/>
      <c r="AB13" s="19"/>
      <c r="AC13" s="20"/>
      <c r="AD13" s="21"/>
      <c r="AE13" s="22"/>
      <c r="AF13" s="14"/>
      <c r="AG13" s="15"/>
      <c r="AH13" s="16"/>
      <c r="AI13" s="17"/>
      <c r="AJ13" s="18"/>
      <c r="AK13" s="19"/>
      <c r="AL13" s="20"/>
      <c r="AM13" s="21"/>
      <c r="AN13" s="22"/>
      <c r="AO13" s="25"/>
      <c r="AP13" s="26"/>
      <c r="AQ13" s="25"/>
      <c r="AR13" s="26"/>
      <c r="AS13" s="25"/>
      <c r="AT13" s="26"/>
      <c r="AU13" s="25"/>
      <c r="AV13" s="26"/>
      <c r="AW13" s="25"/>
      <c r="AX13" s="26"/>
      <c r="AY13" s="25"/>
      <c r="AZ13" s="26"/>
      <c r="BA13" s="27"/>
      <c r="BB13" s="19"/>
      <c r="BC13" s="27"/>
      <c r="BD13" s="19"/>
      <c r="BE13" s="27"/>
      <c r="BF13" s="19"/>
      <c r="BG13" s="27"/>
      <c r="BH13" s="19"/>
      <c r="BI13" s="27"/>
      <c r="BJ13" s="19"/>
      <c r="BK13" s="27"/>
      <c r="BL13" s="19"/>
      <c r="BM13" s="28"/>
      <c r="BN13" s="22"/>
      <c r="BO13" s="28"/>
      <c r="BP13" s="22"/>
      <c r="BQ13" s="28"/>
      <c r="BR13" s="22"/>
      <c r="BS13" s="28"/>
      <c r="BT13" s="22"/>
      <c r="BU13" s="22"/>
      <c r="BV13" s="22"/>
      <c r="BW13" s="28"/>
      <c r="BX13" s="22"/>
    </row>
    <row r="14" spans="1:76" ht="40.5" customHeight="1">
      <c r="A14" s="2"/>
      <c r="B14" s="8"/>
      <c r="C14" s="9"/>
      <c r="D14" s="10"/>
      <c r="E14" s="11"/>
      <c r="F14" s="30"/>
      <c r="G14" s="31"/>
      <c r="H14" s="31"/>
      <c r="I14" s="31"/>
      <c r="J14" s="32"/>
      <c r="K14" s="34"/>
      <c r="L14" s="12"/>
      <c r="M14" s="3"/>
      <c r="N14" s="14"/>
      <c r="O14" s="15"/>
      <c r="P14" s="16"/>
      <c r="Q14" s="17"/>
      <c r="R14" s="18"/>
      <c r="S14" s="19"/>
      <c r="T14" s="20"/>
      <c r="U14" s="21"/>
      <c r="V14" s="22"/>
      <c r="W14" s="14"/>
      <c r="X14" s="15"/>
      <c r="Y14" s="16"/>
      <c r="Z14" s="17"/>
      <c r="AA14" s="18"/>
      <c r="AB14" s="19"/>
      <c r="AC14" s="20"/>
      <c r="AD14" s="21"/>
      <c r="AE14" s="22"/>
      <c r="AF14" s="14"/>
      <c r="AG14" s="15"/>
      <c r="AH14" s="16"/>
      <c r="AI14" s="17"/>
      <c r="AJ14" s="18"/>
      <c r="AK14" s="19"/>
      <c r="AL14" s="20"/>
      <c r="AM14" s="21"/>
      <c r="AN14" s="22"/>
      <c r="AO14" s="25"/>
      <c r="AP14" s="26"/>
      <c r="AQ14" s="25"/>
      <c r="AR14" s="26"/>
      <c r="AS14" s="25"/>
      <c r="AT14" s="26"/>
      <c r="AU14" s="25"/>
      <c r="AV14" s="26"/>
      <c r="AW14" s="25"/>
      <c r="AX14" s="26"/>
      <c r="AY14" s="25"/>
      <c r="AZ14" s="26"/>
      <c r="BA14" s="27"/>
      <c r="BB14" s="19"/>
      <c r="BC14" s="27"/>
      <c r="BD14" s="19"/>
      <c r="BE14" s="27"/>
      <c r="BF14" s="19"/>
      <c r="BG14" s="27"/>
      <c r="BH14" s="19"/>
      <c r="BI14" s="27"/>
      <c r="BJ14" s="19"/>
      <c r="BK14" s="27"/>
      <c r="BL14" s="19"/>
      <c r="BM14" s="28"/>
      <c r="BN14" s="22"/>
      <c r="BO14" s="28"/>
      <c r="BP14" s="22"/>
      <c r="BQ14" s="28"/>
      <c r="BR14" s="22"/>
      <c r="BS14" s="28"/>
      <c r="BT14" s="22"/>
      <c r="BU14" s="22"/>
      <c r="BV14" s="22"/>
      <c r="BW14" s="28"/>
      <c r="BX14" s="22"/>
    </row>
    <row r="15" spans="1:76" ht="40.5" customHeight="1">
      <c r="A15" s="2"/>
      <c r="B15" s="8"/>
      <c r="C15" s="9"/>
      <c r="D15" s="10"/>
      <c r="E15" s="11"/>
      <c r="F15" s="30"/>
      <c r="G15" s="31"/>
      <c r="H15" s="31"/>
      <c r="I15" s="31"/>
      <c r="J15" s="32"/>
      <c r="K15" s="34"/>
      <c r="L15" s="12"/>
      <c r="M15" s="3"/>
      <c r="N15" s="14"/>
      <c r="O15" s="15"/>
      <c r="P15" s="16"/>
      <c r="Q15" s="17"/>
      <c r="R15" s="18"/>
      <c r="S15" s="19"/>
      <c r="T15" s="20"/>
      <c r="U15" s="21"/>
      <c r="V15" s="22"/>
      <c r="W15" s="14"/>
      <c r="X15" s="15"/>
      <c r="Y15" s="16"/>
      <c r="Z15" s="17"/>
      <c r="AA15" s="18"/>
      <c r="AB15" s="19"/>
      <c r="AC15" s="20"/>
      <c r="AD15" s="21"/>
      <c r="AE15" s="22"/>
      <c r="AF15" s="14"/>
      <c r="AG15" s="15"/>
      <c r="AH15" s="16"/>
      <c r="AI15" s="17"/>
      <c r="AJ15" s="18"/>
      <c r="AK15" s="19"/>
      <c r="AL15" s="20"/>
      <c r="AM15" s="21"/>
      <c r="AN15" s="22"/>
      <c r="AO15" s="25"/>
      <c r="AP15" s="26"/>
      <c r="AQ15" s="25"/>
      <c r="AR15" s="26"/>
      <c r="AS15" s="25"/>
      <c r="AT15" s="26"/>
      <c r="AU15" s="25"/>
      <c r="AV15" s="26"/>
      <c r="AW15" s="25"/>
      <c r="AX15" s="26"/>
      <c r="AY15" s="25"/>
      <c r="AZ15" s="26"/>
      <c r="BA15" s="27"/>
      <c r="BB15" s="19"/>
      <c r="BC15" s="27"/>
      <c r="BD15" s="19"/>
      <c r="BE15" s="27"/>
      <c r="BF15" s="19"/>
      <c r="BG15" s="27"/>
      <c r="BH15" s="19"/>
      <c r="BI15" s="27"/>
      <c r="BJ15" s="19"/>
      <c r="BK15" s="27"/>
      <c r="BL15" s="19"/>
      <c r="BM15" s="28"/>
      <c r="BN15" s="22"/>
      <c r="BO15" s="28"/>
      <c r="BP15" s="22"/>
      <c r="BQ15" s="28"/>
      <c r="BR15" s="22"/>
      <c r="BS15" s="28"/>
      <c r="BT15" s="22"/>
      <c r="BU15" s="22"/>
      <c r="BV15" s="22"/>
      <c r="BW15" s="28"/>
      <c r="BX15" s="22"/>
    </row>
    <row r="16" spans="1:76" ht="40.5" customHeight="1">
      <c r="A16" s="2"/>
      <c r="B16" s="8"/>
      <c r="C16" s="9"/>
      <c r="D16" s="10"/>
      <c r="E16" s="11"/>
      <c r="F16" s="30"/>
      <c r="G16" s="31"/>
      <c r="H16" s="31"/>
      <c r="I16" s="31"/>
      <c r="J16" s="32"/>
      <c r="K16" s="34"/>
      <c r="L16" s="12"/>
      <c r="M16" s="3"/>
      <c r="N16" s="14"/>
      <c r="O16" s="15"/>
      <c r="P16" s="16"/>
      <c r="Q16" s="17"/>
      <c r="R16" s="18"/>
      <c r="S16" s="19"/>
      <c r="T16" s="20"/>
      <c r="U16" s="21"/>
      <c r="V16" s="22"/>
      <c r="W16" s="14"/>
      <c r="X16" s="15"/>
      <c r="Y16" s="16"/>
      <c r="Z16" s="17"/>
      <c r="AA16" s="18"/>
      <c r="AB16" s="19"/>
      <c r="AC16" s="20"/>
      <c r="AD16" s="21"/>
      <c r="AE16" s="22"/>
      <c r="AF16" s="14"/>
      <c r="AG16" s="15"/>
      <c r="AH16" s="16"/>
      <c r="AI16" s="17"/>
      <c r="AJ16" s="18"/>
      <c r="AK16" s="19"/>
      <c r="AL16" s="20"/>
      <c r="AM16" s="21"/>
      <c r="AN16" s="22"/>
      <c r="AO16" s="25"/>
      <c r="AP16" s="26"/>
      <c r="AQ16" s="25"/>
      <c r="AR16" s="26"/>
      <c r="AS16" s="25"/>
      <c r="AT16" s="26"/>
      <c r="AU16" s="25"/>
      <c r="AV16" s="26"/>
      <c r="AW16" s="25"/>
      <c r="AX16" s="26"/>
      <c r="AY16" s="25"/>
      <c r="AZ16" s="26"/>
      <c r="BA16" s="27"/>
      <c r="BB16" s="19"/>
      <c r="BC16" s="27"/>
      <c r="BD16" s="19"/>
      <c r="BE16" s="27"/>
      <c r="BF16" s="19"/>
      <c r="BG16" s="27"/>
      <c r="BH16" s="19"/>
      <c r="BI16" s="27"/>
      <c r="BJ16" s="19"/>
      <c r="BK16" s="27"/>
      <c r="BL16" s="19"/>
      <c r="BM16" s="28"/>
      <c r="BN16" s="22"/>
      <c r="BO16" s="28"/>
      <c r="BP16" s="22"/>
      <c r="BQ16" s="28"/>
      <c r="BR16" s="22"/>
      <c r="BS16" s="28"/>
      <c r="BT16" s="22"/>
      <c r="BU16" s="22"/>
      <c r="BV16" s="22"/>
      <c r="BW16" s="28"/>
      <c r="BX16" s="22"/>
    </row>
    <row r="17" spans="1:76" ht="40.5" customHeight="1">
      <c r="A17" s="2"/>
      <c r="B17" s="8"/>
      <c r="C17" s="9"/>
      <c r="D17" s="10"/>
      <c r="E17" s="11"/>
      <c r="F17" s="30"/>
      <c r="G17" s="31"/>
      <c r="H17" s="31"/>
      <c r="I17" s="31"/>
      <c r="J17" s="32"/>
      <c r="K17" s="34"/>
      <c r="L17" s="12"/>
      <c r="M17" s="3"/>
      <c r="N17" s="14"/>
      <c r="O17" s="15"/>
      <c r="P17" s="16"/>
      <c r="Q17" s="17"/>
      <c r="R17" s="18"/>
      <c r="S17" s="19"/>
      <c r="T17" s="20"/>
      <c r="U17" s="21"/>
      <c r="V17" s="22"/>
      <c r="W17" s="14"/>
      <c r="X17" s="15"/>
      <c r="Y17" s="16"/>
      <c r="Z17" s="17"/>
      <c r="AA17" s="18"/>
      <c r="AB17" s="19"/>
      <c r="AC17" s="20"/>
      <c r="AD17" s="21"/>
      <c r="AE17" s="22"/>
      <c r="AF17" s="14"/>
      <c r="AG17" s="15"/>
      <c r="AH17" s="16"/>
      <c r="AI17" s="17"/>
      <c r="AJ17" s="18"/>
      <c r="AK17" s="19"/>
      <c r="AL17" s="20"/>
      <c r="AM17" s="21"/>
      <c r="AN17" s="22"/>
      <c r="AO17" s="25"/>
      <c r="AP17" s="26"/>
      <c r="AQ17" s="25"/>
      <c r="AR17" s="26"/>
      <c r="AS17" s="25"/>
      <c r="AT17" s="26"/>
      <c r="AU17" s="25"/>
      <c r="AV17" s="26"/>
      <c r="AW17" s="25"/>
      <c r="AX17" s="26"/>
      <c r="AY17" s="25"/>
      <c r="AZ17" s="26"/>
      <c r="BA17" s="27"/>
      <c r="BB17" s="19"/>
      <c r="BC17" s="27"/>
      <c r="BD17" s="19"/>
      <c r="BE17" s="27"/>
      <c r="BF17" s="19"/>
      <c r="BG17" s="27"/>
      <c r="BH17" s="19"/>
      <c r="BI17" s="27"/>
      <c r="BJ17" s="19"/>
      <c r="BK17" s="27"/>
      <c r="BL17" s="19"/>
      <c r="BM17" s="28"/>
      <c r="BN17" s="22"/>
      <c r="BO17" s="28"/>
      <c r="BP17" s="22"/>
      <c r="BQ17" s="28"/>
      <c r="BR17" s="22"/>
      <c r="BS17" s="28"/>
      <c r="BT17" s="22"/>
      <c r="BU17" s="22"/>
      <c r="BV17" s="22"/>
      <c r="BW17" s="28"/>
      <c r="BX17" s="22"/>
    </row>
    <row r="18" spans="1:76" ht="40.5" customHeight="1">
      <c r="A18" s="2"/>
      <c r="B18" s="3"/>
      <c r="C18" s="11"/>
      <c r="D18" s="10"/>
      <c r="E18" s="11"/>
      <c r="F18" s="30"/>
      <c r="G18" s="31"/>
      <c r="H18" s="31"/>
      <c r="I18" s="31"/>
      <c r="J18" s="32"/>
      <c r="K18" s="34"/>
      <c r="L18" s="12"/>
      <c r="M18" s="3"/>
      <c r="N18" s="14"/>
      <c r="O18" s="15"/>
      <c r="P18" s="16"/>
      <c r="Q18" s="17"/>
      <c r="R18" s="18"/>
      <c r="S18" s="19"/>
      <c r="T18" s="20"/>
      <c r="U18" s="21"/>
      <c r="V18" s="22"/>
      <c r="W18" s="14"/>
      <c r="X18" s="15"/>
      <c r="Y18" s="16"/>
      <c r="Z18" s="17"/>
      <c r="AA18" s="18"/>
      <c r="AB18" s="19"/>
      <c r="AC18" s="20"/>
      <c r="AD18" s="21"/>
      <c r="AE18" s="22"/>
      <c r="AF18" s="14"/>
      <c r="AG18" s="15"/>
      <c r="AH18" s="16"/>
      <c r="AI18" s="17"/>
      <c r="AJ18" s="18"/>
      <c r="AK18" s="19"/>
      <c r="AL18" s="20"/>
      <c r="AM18" s="21"/>
      <c r="AN18" s="22"/>
      <c r="AO18" s="25"/>
      <c r="AP18" s="26"/>
      <c r="AQ18" s="25"/>
      <c r="AR18" s="26"/>
      <c r="AS18" s="25"/>
      <c r="AT18" s="26"/>
      <c r="AU18" s="25"/>
      <c r="AV18" s="26"/>
      <c r="AW18" s="25"/>
      <c r="AX18" s="26"/>
      <c r="AY18" s="25"/>
      <c r="AZ18" s="26"/>
      <c r="BA18" s="27"/>
      <c r="BB18" s="19"/>
      <c r="BC18" s="27"/>
      <c r="BD18" s="19"/>
      <c r="BE18" s="27"/>
      <c r="BF18" s="19"/>
      <c r="BG18" s="27"/>
      <c r="BH18" s="19"/>
      <c r="BI18" s="27"/>
      <c r="BJ18" s="19"/>
      <c r="BK18" s="27"/>
      <c r="BL18" s="19"/>
      <c r="BM18" s="28"/>
      <c r="BN18" s="22"/>
      <c r="BO18" s="28"/>
      <c r="BP18" s="22"/>
      <c r="BQ18" s="28"/>
      <c r="BR18" s="22"/>
      <c r="BS18" s="28"/>
      <c r="BT18" s="22"/>
      <c r="BU18" s="22"/>
      <c r="BV18" s="22"/>
      <c r="BW18" s="28"/>
      <c r="BX18" s="22"/>
    </row>
    <row r="19" spans="1:76" ht="40.5" customHeight="1">
      <c r="A19" s="2"/>
      <c r="B19" s="3"/>
      <c r="C19" s="11"/>
      <c r="D19" s="10"/>
      <c r="E19" s="11"/>
      <c r="F19" s="30"/>
      <c r="G19" s="31"/>
      <c r="H19" s="31"/>
      <c r="I19" s="31"/>
      <c r="J19" s="32"/>
      <c r="K19" s="34"/>
      <c r="L19" s="12"/>
      <c r="M19" s="3"/>
      <c r="N19" s="14"/>
      <c r="O19" s="15"/>
      <c r="P19" s="16"/>
      <c r="Q19" s="17"/>
      <c r="R19" s="18"/>
      <c r="S19" s="19"/>
      <c r="T19" s="20"/>
      <c r="U19" s="21"/>
      <c r="V19" s="22"/>
      <c r="W19" s="14"/>
      <c r="X19" s="15"/>
      <c r="Y19" s="16"/>
      <c r="Z19" s="17"/>
      <c r="AA19" s="18"/>
      <c r="AB19" s="19"/>
      <c r="AC19" s="20"/>
      <c r="AD19" s="21"/>
      <c r="AE19" s="22"/>
      <c r="AF19" s="14"/>
      <c r="AG19" s="15"/>
      <c r="AH19" s="16"/>
      <c r="AI19" s="17"/>
      <c r="AJ19" s="18"/>
      <c r="AK19" s="19"/>
      <c r="AL19" s="20"/>
      <c r="AM19" s="21"/>
      <c r="AN19" s="22"/>
      <c r="AO19" s="25"/>
      <c r="AP19" s="26"/>
      <c r="AQ19" s="25"/>
      <c r="AR19" s="26"/>
      <c r="AS19" s="25"/>
      <c r="AT19" s="26"/>
      <c r="AU19" s="25"/>
      <c r="AV19" s="26"/>
      <c r="AW19" s="25"/>
      <c r="AX19" s="26"/>
      <c r="AY19" s="25"/>
      <c r="AZ19" s="26"/>
      <c r="BA19" s="27"/>
      <c r="BB19" s="19"/>
      <c r="BC19" s="27"/>
      <c r="BD19" s="19"/>
      <c r="BE19" s="27"/>
      <c r="BF19" s="19"/>
      <c r="BG19" s="27"/>
      <c r="BH19" s="19"/>
      <c r="BI19" s="27"/>
      <c r="BJ19" s="19"/>
      <c r="BK19" s="27"/>
      <c r="BL19" s="19"/>
      <c r="BM19" s="28"/>
      <c r="BN19" s="22"/>
      <c r="BO19" s="28"/>
      <c r="BP19" s="22"/>
      <c r="BQ19" s="28"/>
      <c r="BR19" s="22"/>
      <c r="BS19" s="28"/>
      <c r="BT19" s="22"/>
      <c r="BU19" s="22"/>
      <c r="BV19" s="22"/>
      <c r="BW19" s="28"/>
      <c r="BX19" s="22"/>
    </row>
    <row r="20" spans="1:76" ht="40.5" customHeight="1">
      <c r="A20" s="2"/>
      <c r="B20" s="3"/>
      <c r="C20" s="11"/>
      <c r="D20" s="10"/>
      <c r="E20" s="11"/>
      <c r="F20" s="30"/>
      <c r="G20" s="31"/>
      <c r="H20" s="31"/>
      <c r="I20" s="31"/>
      <c r="J20" s="32"/>
      <c r="K20" s="34"/>
      <c r="L20" s="12"/>
      <c r="M20" s="3"/>
      <c r="N20" s="14"/>
      <c r="O20" s="15"/>
      <c r="P20" s="16"/>
      <c r="Q20" s="17"/>
      <c r="R20" s="18"/>
      <c r="S20" s="19"/>
      <c r="T20" s="20"/>
      <c r="U20" s="21"/>
      <c r="V20" s="22"/>
      <c r="W20" s="14"/>
      <c r="X20" s="15"/>
      <c r="Y20" s="16"/>
      <c r="Z20" s="17"/>
      <c r="AA20" s="18"/>
      <c r="AB20" s="19"/>
      <c r="AC20" s="20"/>
      <c r="AD20" s="21"/>
      <c r="AE20" s="22"/>
      <c r="AF20" s="14"/>
      <c r="AG20" s="15"/>
      <c r="AH20" s="16"/>
      <c r="AI20" s="17"/>
      <c r="AJ20" s="18"/>
      <c r="AK20" s="19"/>
      <c r="AL20" s="20"/>
      <c r="AM20" s="21"/>
      <c r="AN20" s="22"/>
      <c r="AO20" s="25"/>
      <c r="AP20" s="26"/>
      <c r="AQ20" s="25"/>
      <c r="AR20" s="26"/>
      <c r="AS20" s="25"/>
      <c r="AT20" s="26"/>
      <c r="AU20" s="25"/>
      <c r="AV20" s="26"/>
      <c r="AW20" s="25"/>
      <c r="AX20" s="26"/>
      <c r="AY20" s="25"/>
      <c r="AZ20" s="26"/>
      <c r="BA20" s="27"/>
      <c r="BB20" s="19"/>
      <c r="BC20" s="27"/>
      <c r="BD20" s="19"/>
      <c r="BE20" s="27"/>
      <c r="BF20" s="19"/>
      <c r="BG20" s="27"/>
      <c r="BH20" s="19"/>
      <c r="BI20" s="27"/>
      <c r="BJ20" s="19"/>
      <c r="BK20" s="27"/>
      <c r="BL20" s="19"/>
      <c r="BM20" s="28"/>
      <c r="BN20" s="22"/>
      <c r="BO20" s="28"/>
      <c r="BP20" s="22"/>
      <c r="BQ20" s="28"/>
      <c r="BR20" s="22"/>
      <c r="BS20" s="28"/>
      <c r="BT20" s="22"/>
      <c r="BU20" s="22"/>
      <c r="BV20" s="22"/>
      <c r="BW20" s="28"/>
      <c r="BX20" s="22"/>
    </row>
    <row r="21" spans="1:76" ht="40.5" customHeight="1">
      <c r="A21" s="2"/>
      <c r="B21" s="3"/>
      <c r="C21" s="11"/>
      <c r="D21" s="10"/>
      <c r="E21" s="11"/>
      <c r="F21" s="30"/>
      <c r="G21" s="31"/>
      <c r="H21" s="31"/>
      <c r="I21" s="31"/>
      <c r="J21" s="32"/>
      <c r="K21" s="34"/>
      <c r="L21" s="12"/>
      <c r="M21" s="3"/>
      <c r="N21" s="14"/>
      <c r="O21" s="15"/>
      <c r="P21" s="16"/>
      <c r="Q21" s="17"/>
      <c r="R21" s="18"/>
      <c r="S21" s="19"/>
      <c r="T21" s="20"/>
      <c r="U21" s="21"/>
      <c r="V21" s="22"/>
      <c r="W21" s="14"/>
      <c r="X21" s="15"/>
      <c r="Y21" s="16"/>
      <c r="Z21" s="17"/>
      <c r="AA21" s="18"/>
      <c r="AB21" s="19"/>
      <c r="AC21" s="20"/>
      <c r="AD21" s="21"/>
      <c r="AE21" s="22"/>
      <c r="AF21" s="14"/>
      <c r="AG21" s="15"/>
      <c r="AH21" s="16"/>
      <c r="AI21" s="17"/>
      <c r="AJ21" s="18"/>
      <c r="AK21" s="19"/>
      <c r="AL21" s="20"/>
      <c r="AM21" s="21"/>
      <c r="AN21" s="22"/>
      <c r="AO21" s="25"/>
      <c r="AP21" s="26"/>
      <c r="AQ21" s="25"/>
      <c r="AR21" s="26"/>
      <c r="AS21" s="25"/>
      <c r="AT21" s="26"/>
      <c r="AU21" s="25"/>
      <c r="AV21" s="26"/>
      <c r="AW21" s="25"/>
      <c r="AX21" s="26"/>
      <c r="AY21" s="25"/>
      <c r="AZ21" s="26"/>
      <c r="BA21" s="27"/>
      <c r="BB21" s="19"/>
      <c r="BC21" s="27"/>
      <c r="BD21" s="19"/>
      <c r="BE21" s="27"/>
      <c r="BF21" s="19"/>
      <c r="BG21" s="27"/>
      <c r="BH21" s="19"/>
      <c r="BI21" s="27"/>
      <c r="BJ21" s="19"/>
      <c r="BK21" s="27"/>
      <c r="BL21" s="19"/>
      <c r="BM21" s="28"/>
      <c r="BN21" s="22"/>
      <c r="BO21" s="28"/>
      <c r="BP21" s="22"/>
      <c r="BQ21" s="28"/>
      <c r="BR21" s="22"/>
      <c r="BS21" s="28"/>
      <c r="BT21" s="22"/>
      <c r="BU21" s="22"/>
      <c r="BV21" s="22"/>
      <c r="BW21" s="28"/>
      <c r="BX21" s="22"/>
    </row>
    <row r="22" spans="1:76" ht="40.5" customHeight="1">
      <c r="A22" s="2"/>
      <c r="B22" s="3"/>
      <c r="C22" s="11"/>
      <c r="D22" s="10"/>
      <c r="E22" s="11"/>
      <c r="F22" s="30"/>
      <c r="G22" s="31"/>
      <c r="H22" s="31"/>
      <c r="I22" s="31"/>
      <c r="J22" s="32"/>
      <c r="K22" s="34"/>
      <c r="L22" s="12"/>
      <c r="M22" s="3"/>
      <c r="N22" s="14"/>
      <c r="O22" s="15"/>
      <c r="P22" s="16"/>
      <c r="Q22" s="17"/>
      <c r="R22" s="18"/>
      <c r="S22" s="19"/>
      <c r="T22" s="20"/>
      <c r="U22" s="21"/>
      <c r="V22" s="22"/>
      <c r="W22" s="14"/>
      <c r="X22" s="15"/>
      <c r="Y22" s="16"/>
      <c r="Z22" s="17"/>
      <c r="AA22" s="18"/>
      <c r="AB22" s="19"/>
      <c r="AC22" s="20"/>
      <c r="AD22" s="21"/>
      <c r="AE22" s="22"/>
      <c r="AF22" s="14"/>
      <c r="AG22" s="15"/>
      <c r="AH22" s="16"/>
      <c r="AI22" s="17"/>
      <c r="AJ22" s="18"/>
      <c r="AK22" s="19"/>
      <c r="AL22" s="20"/>
      <c r="AM22" s="21"/>
      <c r="AN22" s="22"/>
      <c r="AO22" s="25"/>
      <c r="AP22" s="26"/>
      <c r="AQ22" s="25"/>
      <c r="AR22" s="26"/>
      <c r="AS22" s="25"/>
      <c r="AT22" s="26"/>
      <c r="AU22" s="25"/>
      <c r="AV22" s="26"/>
      <c r="AW22" s="25"/>
      <c r="AX22" s="26"/>
      <c r="AY22" s="25"/>
      <c r="AZ22" s="26"/>
      <c r="BA22" s="27"/>
      <c r="BB22" s="19"/>
      <c r="BC22" s="27"/>
      <c r="BD22" s="19"/>
      <c r="BE22" s="27"/>
      <c r="BF22" s="19"/>
      <c r="BG22" s="27"/>
      <c r="BH22" s="19"/>
      <c r="BI22" s="27"/>
      <c r="BJ22" s="19"/>
      <c r="BK22" s="27"/>
      <c r="BL22" s="19"/>
      <c r="BM22" s="28"/>
      <c r="BN22" s="22"/>
      <c r="BO22" s="28"/>
      <c r="BP22" s="22"/>
      <c r="BQ22" s="28"/>
      <c r="BR22" s="22"/>
      <c r="BS22" s="28"/>
      <c r="BT22" s="22"/>
      <c r="BU22" s="22"/>
      <c r="BV22" s="22"/>
      <c r="BW22" s="28"/>
      <c r="BX22" s="22"/>
    </row>
    <row r="23" spans="1:76" ht="40.5" customHeight="1">
      <c r="A23" s="2"/>
      <c r="B23" s="3"/>
      <c r="C23" s="11"/>
      <c r="D23" s="10"/>
      <c r="E23" s="11"/>
      <c r="F23" s="30"/>
      <c r="G23" s="31"/>
      <c r="H23" s="31"/>
      <c r="I23" s="31"/>
      <c r="J23" s="32"/>
      <c r="K23" s="34"/>
      <c r="L23" s="12"/>
      <c r="M23" s="3"/>
      <c r="N23" s="14"/>
      <c r="O23" s="15"/>
      <c r="P23" s="16"/>
      <c r="Q23" s="17"/>
      <c r="R23" s="18"/>
      <c r="S23" s="19"/>
      <c r="T23" s="20"/>
      <c r="U23" s="21"/>
      <c r="V23" s="22"/>
      <c r="W23" s="14"/>
      <c r="X23" s="15"/>
      <c r="Y23" s="16"/>
      <c r="Z23" s="17"/>
      <c r="AA23" s="18"/>
      <c r="AB23" s="19"/>
      <c r="AC23" s="20"/>
      <c r="AD23" s="21"/>
      <c r="AE23" s="22"/>
      <c r="AF23" s="14"/>
      <c r="AG23" s="15"/>
      <c r="AH23" s="16"/>
      <c r="AI23" s="17"/>
      <c r="AJ23" s="18"/>
      <c r="AK23" s="19"/>
      <c r="AL23" s="20"/>
      <c r="AM23" s="21"/>
      <c r="AN23" s="22"/>
      <c r="AO23" s="25"/>
      <c r="AP23" s="26"/>
      <c r="AQ23" s="25"/>
      <c r="AR23" s="26"/>
      <c r="AS23" s="25"/>
      <c r="AT23" s="26"/>
      <c r="AU23" s="25"/>
      <c r="AV23" s="26"/>
      <c r="AW23" s="25"/>
      <c r="AX23" s="26"/>
      <c r="AY23" s="25"/>
      <c r="AZ23" s="26"/>
      <c r="BA23" s="27"/>
      <c r="BB23" s="19"/>
      <c r="BC23" s="27"/>
      <c r="BD23" s="19"/>
      <c r="BE23" s="27"/>
      <c r="BF23" s="19"/>
      <c r="BG23" s="27"/>
      <c r="BH23" s="19"/>
      <c r="BI23" s="27"/>
      <c r="BJ23" s="19"/>
      <c r="BK23" s="27"/>
      <c r="BL23" s="19"/>
      <c r="BM23" s="28"/>
      <c r="BN23" s="22"/>
      <c r="BO23" s="28"/>
      <c r="BP23" s="22"/>
      <c r="BQ23" s="28"/>
      <c r="BR23" s="22"/>
      <c r="BS23" s="28"/>
      <c r="BT23" s="22"/>
      <c r="BU23" s="22"/>
      <c r="BV23" s="22"/>
      <c r="BW23" s="28"/>
      <c r="BX23" s="22"/>
    </row>
    <row r="24" spans="1:76" ht="12.75">
      <c r="A24" s="2"/>
      <c r="X24" s="163"/>
    </row>
    <row r="25" spans="1:76" ht="12.75">
      <c r="A25" s="2"/>
    </row>
    <row r="26" spans="1:76" ht="12.75">
      <c r="A26" s="2"/>
    </row>
    <row r="27" spans="1:76" ht="12.75">
      <c r="A27" s="2"/>
    </row>
    <row r="28" spans="1:76" ht="12.75">
      <c r="A28" s="2"/>
    </row>
  </sheetData>
  <sheetProtection selectLockedCells="1" selectUnlockedCells="1"/>
  <mergeCells count="64">
    <mergeCell ref="V2:V3"/>
    <mergeCell ref="K1:K3"/>
    <mergeCell ref="N1:V1"/>
    <mergeCell ref="N2:N3"/>
    <mergeCell ref="AO1:AZ1"/>
    <mergeCell ref="AU2:AV2"/>
    <mergeCell ref="P2:P3"/>
    <mergeCell ref="Q2:Q3"/>
    <mergeCell ref="R2:R3"/>
    <mergeCell ref="S2:S3"/>
    <mergeCell ref="U2:U3"/>
    <mergeCell ref="W1:AE1"/>
    <mergeCell ref="W2:W3"/>
    <mergeCell ref="X2:X3"/>
    <mergeCell ref="Y2:Y3"/>
    <mergeCell ref="Z2:Z3"/>
    <mergeCell ref="BA1:BL1"/>
    <mergeCell ref="T2:T3"/>
    <mergeCell ref="AW2:AX2"/>
    <mergeCell ref="J1:J3"/>
    <mergeCell ref="BQ2:BR2"/>
    <mergeCell ref="AY2:AZ2"/>
    <mergeCell ref="BC2:BD2"/>
    <mergeCell ref="O2:O3"/>
    <mergeCell ref="BM1:BX1"/>
    <mergeCell ref="BW2:BX2"/>
    <mergeCell ref="BU2:BV2"/>
    <mergeCell ref="AO2:AP2"/>
    <mergeCell ref="AQ2:AR2"/>
    <mergeCell ref="AS2:AT2"/>
    <mergeCell ref="BM2:BN2"/>
    <mergeCell ref="BS2:BT2"/>
    <mergeCell ref="A1:A3"/>
    <mergeCell ref="C1:C3"/>
    <mergeCell ref="E1:E3"/>
    <mergeCell ref="M1:M3"/>
    <mergeCell ref="B1:B3"/>
    <mergeCell ref="D1:D3"/>
    <mergeCell ref="F1:F3"/>
    <mergeCell ref="L1:L3"/>
    <mergeCell ref="G1:G3"/>
    <mergeCell ref="H1:H3"/>
    <mergeCell ref="I1:I3"/>
    <mergeCell ref="BG2:BH2"/>
    <mergeCell ref="BI2:BJ2"/>
    <mergeCell ref="BA2:BB2"/>
    <mergeCell ref="BE2:BF2"/>
    <mergeCell ref="BO2:BP2"/>
    <mergeCell ref="BK2:BL2"/>
    <mergeCell ref="AA2:AA3"/>
    <mergeCell ref="AB2:AB3"/>
    <mergeCell ref="AC2:AC3"/>
    <mergeCell ref="AD2:AD3"/>
    <mergeCell ref="AE2:AE3"/>
    <mergeCell ref="AF1:AN1"/>
    <mergeCell ref="AF2:AF3"/>
    <mergeCell ref="AG2:AG3"/>
    <mergeCell ref="AH2:AH3"/>
    <mergeCell ref="AI2:AI3"/>
    <mergeCell ref="AJ2:AJ3"/>
    <mergeCell ref="AK2:AK3"/>
    <mergeCell ref="AL2:AL3"/>
    <mergeCell ref="AM2:AM3"/>
    <mergeCell ref="AN2:AN3"/>
  </mergeCells>
  <phoneticPr fontId="0" type="noConversion"/>
  <printOptions horizontalCentered="1" verticalCentered="1"/>
  <pageMargins left="0.39370078740157483" right="0.39370078740157483" top="0.39370078740157483" bottom="0.39370078740157483" header="0.19685039370078741" footer="0.19685039370078741"/>
  <pageSetup paperSize="119" scale="14" orientation="landscape" r:id="rId1"/>
  <headerFooter alignWithMargins="0">
    <oddHeader>&amp;C&amp;"Verdana,Normal"&amp;8&amp;P de &amp;N</oddHeader>
    <oddFooter>&amp;L&amp;"Verdana,Normal"&amp;8Ing. Camilo BecerraIng. Johanna Gómez&amp;C&amp;F&amp;R&amp;A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63"/>
  <sheetViews>
    <sheetView tabSelected="1" view="pageBreakPreview" zoomScale="115" zoomScaleNormal="100" zoomScaleSheetLayoutView="115" workbookViewId="0">
      <selection activeCell="A53" sqref="A53"/>
    </sheetView>
  </sheetViews>
  <sheetFormatPr baseColWidth="10" defaultRowHeight="12.75"/>
  <cols>
    <col min="1" max="1" width="6.7109375" style="84" customWidth="1"/>
    <col min="2" max="2" width="6.5703125" style="84" bestFit="1" customWidth="1"/>
    <col min="3" max="3" width="32.140625" style="84" customWidth="1"/>
    <col min="4" max="4" width="28.5703125" style="84" customWidth="1"/>
    <col min="5" max="5" width="20.42578125" style="84" customWidth="1"/>
    <col min="6" max="6" width="8.140625" style="84" customWidth="1"/>
    <col min="7" max="16384" width="11.42578125" style="84"/>
  </cols>
  <sheetData>
    <row r="2" spans="1:6" ht="15.75">
      <c r="A2" s="275" t="str">
        <f>General!E1</f>
        <v>FONDO NACIONAL DEL AHORRO</v>
      </c>
      <c r="B2" s="275"/>
      <c r="C2" s="275"/>
      <c r="D2" s="275"/>
      <c r="E2" s="275"/>
      <c r="F2" s="275"/>
    </row>
    <row r="3" spans="1:6" ht="15.75">
      <c r="A3" s="121"/>
      <c r="B3" s="121"/>
      <c r="C3" s="121"/>
      <c r="D3" s="121"/>
      <c r="E3" s="121"/>
      <c r="F3" s="121"/>
    </row>
    <row r="4" spans="1:6" ht="21" customHeight="1">
      <c r="A4" s="275" t="str">
        <f>General!B1</f>
        <v>FNA-SG-SB-007-2022</v>
      </c>
      <c r="B4" s="275"/>
      <c r="C4" s="275"/>
      <c r="D4" s="275"/>
      <c r="E4" s="275"/>
      <c r="F4" s="275"/>
    </row>
    <row r="5" spans="1:6" ht="4.5" hidden="1" customHeight="1">
      <c r="A5" s="122"/>
      <c r="B5" s="122"/>
      <c r="C5" s="122"/>
      <c r="D5" s="122"/>
      <c r="E5" s="122"/>
      <c r="F5" s="122"/>
    </row>
    <row r="6" spans="1:6" ht="48" customHeight="1">
      <c r="A6" s="275" t="str">
        <f>General!B2</f>
        <v>SUMINISTRO DE MATERIAL PROMOCIONAL PUBLICITARIO INSTITUCIONAL PARA LA PROMOCIÓN, POSICIONAMIENTO, SOCIALIZACIÓN Y DIFUSIÓN DE LA MARCA FNA</v>
      </c>
      <c r="B6" s="275"/>
      <c r="C6" s="275"/>
      <c r="D6" s="275"/>
      <c r="E6" s="275"/>
      <c r="F6" s="275"/>
    </row>
    <row r="7" spans="1:6" ht="36.75" customHeight="1">
      <c r="A7" s="275" t="s">
        <v>156</v>
      </c>
      <c r="B7" s="275"/>
      <c r="C7" s="275"/>
      <c r="D7" s="275"/>
      <c r="E7" s="275"/>
      <c r="F7" s="275"/>
    </row>
    <row r="8" spans="1:6" ht="39.75" customHeight="1">
      <c r="A8" s="276" t="s">
        <v>157</v>
      </c>
      <c r="B8" s="277"/>
      <c r="C8" s="277"/>
      <c r="D8" s="277"/>
      <c r="E8" s="277"/>
      <c r="F8" s="277"/>
    </row>
    <row r="9" spans="1:6" ht="9.75" customHeight="1">
      <c r="A9" s="123"/>
      <c r="B9" s="123"/>
      <c r="C9" s="123"/>
      <c r="D9" s="123"/>
      <c r="E9" s="123"/>
      <c r="F9" s="123"/>
    </row>
    <row r="10" spans="1:6" ht="43.5" customHeight="1">
      <c r="A10" s="123"/>
      <c r="B10" s="124" t="s">
        <v>72</v>
      </c>
      <c r="C10" s="278" t="s">
        <v>119</v>
      </c>
      <c r="D10" s="279"/>
      <c r="E10" s="125" t="s">
        <v>120</v>
      </c>
      <c r="F10" s="123"/>
    </row>
    <row r="11" spans="1:6" ht="16.5">
      <c r="A11" s="123"/>
      <c r="B11" s="126">
        <v>1</v>
      </c>
      <c r="C11" s="280" t="str">
        <f>VLOOKUP(B11,Directorio!$A$4:$C$23,3)</f>
        <v>CONSORCIO LM &amp; CB</v>
      </c>
      <c r="D11" s="281"/>
      <c r="E11" s="127" t="s">
        <v>248</v>
      </c>
      <c r="F11" s="123"/>
    </row>
    <row r="12" spans="1:6" ht="16.5">
      <c r="A12" s="123"/>
      <c r="B12" s="126">
        <f>B11+1</f>
        <v>2</v>
      </c>
      <c r="C12" s="280" t="str">
        <f>VLOOKUP(B12,Directorio!$A$4:$C$23,3)</f>
        <v>COMERCIALIZADORA COMSILA SAS</v>
      </c>
      <c r="D12" s="281"/>
      <c r="E12" s="127" t="s">
        <v>162</v>
      </c>
      <c r="F12" s="123"/>
    </row>
    <row r="13" spans="1:6" ht="16.5">
      <c r="A13" s="123"/>
      <c r="B13" s="126">
        <f>+B12+1</f>
        <v>3</v>
      </c>
      <c r="C13" s="280" t="str">
        <f>VLOOKUP(B13,Directorio!$A$4:$C$23,3)</f>
        <v>4P PUBLICIDAD SAS</v>
      </c>
      <c r="D13" s="281"/>
      <c r="E13" s="127" t="s">
        <v>248</v>
      </c>
      <c r="F13" s="123"/>
    </row>
    <row r="14" spans="1:6" ht="16.5">
      <c r="A14" s="123"/>
      <c r="B14" s="126">
        <f>+B13+1</f>
        <v>4</v>
      </c>
      <c r="C14" s="280" t="str">
        <f>VLOOKUP(B14,Directorio!$A$4:$C$23,3)</f>
        <v>GN GENERACION DE NEGOCIOS SAS</v>
      </c>
      <c r="D14" s="281"/>
      <c r="E14" s="127" t="s">
        <v>162</v>
      </c>
      <c r="F14" s="123"/>
    </row>
    <row r="15" spans="1:6" ht="16.5">
      <c r="A15" s="123"/>
      <c r="B15" s="126">
        <f>+B14+1</f>
        <v>5</v>
      </c>
      <c r="C15" s="280" t="str">
        <f>VLOOKUP(B15,Directorio!$A$4:$C$23,3)</f>
        <v>PROMOS LTDA.</v>
      </c>
      <c r="D15" s="281"/>
      <c r="E15" s="127" t="s">
        <v>162</v>
      </c>
      <c r="F15" s="123"/>
    </row>
    <row r="16" spans="1:6" ht="16.5">
      <c r="A16" s="123"/>
      <c r="B16" s="126">
        <f>+B15+1</f>
        <v>6</v>
      </c>
      <c r="C16" s="280" t="str">
        <f>VLOOKUP(B16,Directorio!$A$4:$C$23,3)</f>
        <v>Signal Marketing SAS</v>
      </c>
      <c r="D16" s="281"/>
      <c r="E16" s="127" t="s">
        <v>162</v>
      </c>
      <c r="F16" s="123"/>
    </row>
    <row r="17" spans="1:6" ht="16.5">
      <c r="A17" s="123"/>
      <c r="B17" s="126">
        <f>+B16+1</f>
        <v>7</v>
      </c>
      <c r="C17" s="280" t="str">
        <f>VLOOKUP(B17,Directorio!$A$4:$C$23,3)</f>
        <v>IMPRIDEAS S.A.S.</v>
      </c>
      <c r="D17" s="281"/>
      <c r="E17" s="127" t="s">
        <v>162</v>
      </c>
      <c r="F17" s="123"/>
    </row>
    <row r="18" spans="1:6" ht="16.5" hidden="1">
      <c r="A18" s="123"/>
      <c r="B18" s="126"/>
      <c r="C18" s="240"/>
      <c r="D18" s="241"/>
      <c r="E18" s="127"/>
      <c r="F18" s="123"/>
    </row>
    <row r="19" spans="1:6" ht="16.5" hidden="1">
      <c r="A19" s="123"/>
      <c r="B19" s="126"/>
      <c r="C19" s="240"/>
      <c r="D19" s="241"/>
      <c r="E19" s="127"/>
      <c r="F19" s="123"/>
    </row>
    <row r="20" spans="1:6" ht="16.5" hidden="1">
      <c r="A20" s="123"/>
      <c r="B20" s="126"/>
      <c r="C20" s="240"/>
      <c r="D20" s="241"/>
      <c r="E20" s="127"/>
      <c r="F20" s="123"/>
    </row>
    <row r="21" spans="1:6" ht="16.5" hidden="1">
      <c r="A21" s="123"/>
      <c r="B21" s="126"/>
      <c r="C21" s="240"/>
      <c r="D21" s="241"/>
      <c r="E21" s="127"/>
      <c r="F21" s="123"/>
    </row>
    <row r="22" spans="1:6" ht="16.5" hidden="1">
      <c r="A22" s="123"/>
      <c r="B22" s="126"/>
      <c r="C22" s="240"/>
      <c r="D22" s="241"/>
      <c r="E22" s="127"/>
      <c r="F22" s="123"/>
    </row>
    <row r="23" spans="1:6" ht="16.5" hidden="1">
      <c r="A23" s="123"/>
      <c r="B23" s="126"/>
      <c r="C23" s="240"/>
      <c r="D23" s="241"/>
      <c r="E23" s="127"/>
      <c r="F23" s="123"/>
    </row>
    <row r="24" spans="1:6" ht="16.5" hidden="1">
      <c r="A24" s="123"/>
      <c r="B24" s="126"/>
      <c r="C24" s="240"/>
      <c r="D24" s="241"/>
      <c r="E24" s="127"/>
      <c r="F24" s="123"/>
    </row>
    <row r="25" spans="1:6" ht="16.5" hidden="1">
      <c r="A25" s="123"/>
      <c r="B25" s="126"/>
      <c r="C25" s="240"/>
      <c r="D25" s="241"/>
      <c r="E25" s="127"/>
      <c r="F25" s="123"/>
    </row>
    <row r="26" spans="1:6" ht="16.5" hidden="1">
      <c r="A26" s="123"/>
      <c r="B26" s="126"/>
      <c r="C26" s="240"/>
      <c r="D26" s="241"/>
      <c r="E26" s="127"/>
      <c r="F26" s="123"/>
    </row>
    <row r="27" spans="1:6" ht="16.5" hidden="1">
      <c r="A27" s="123"/>
      <c r="B27" s="126"/>
      <c r="C27" s="240"/>
      <c r="D27" s="241"/>
      <c r="E27" s="127"/>
      <c r="F27" s="123"/>
    </row>
    <row r="28" spans="1:6" ht="16.5" hidden="1">
      <c r="A28" s="123"/>
      <c r="B28" s="126"/>
      <c r="C28" s="240"/>
      <c r="D28" s="241"/>
      <c r="E28" s="127"/>
      <c r="F28" s="123"/>
    </row>
    <row r="29" spans="1:6" ht="16.5" hidden="1">
      <c r="A29" s="123"/>
      <c r="B29" s="126"/>
      <c r="C29" s="240"/>
      <c r="D29" s="241"/>
      <c r="E29" s="127"/>
      <c r="F29" s="123"/>
    </row>
    <row r="30" spans="1:6" ht="16.5" hidden="1">
      <c r="A30" s="123"/>
      <c r="B30" s="126"/>
      <c r="C30" s="280"/>
      <c r="D30" s="281"/>
      <c r="E30" s="127"/>
      <c r="F30" s="123"/>
    </row>
    <row r="31" spans="1:6" ht="16.5" hidden="1">
      <c r="A31" s="123"/>
      <c r="B31" s="126"/>
      <c r="C31" s="280"/>
      <c r="D31" s="281"/>
      <c r="E31" s="127"/>
      <c r="F31" s="123"/>
    </row>
    <row r="32" spans="1:6" ht="16.5" hidden="1">
      <c r="A32" s="123"/>
      <c r="B32" s="126"/>
      <c r="C32" s="280"/>
      <c r="D32" s="281"/>
      <c r="E32" s="127"/>
      <c r="F32" s="123"/>
    </row>
    <row r="33" spans="1:6" ht="16.5" hidden="1">
      <c r="A33" s="123"/>
      <c r="B33" s="126"/>
      <c r="C33" s="280"/>
      <c r="D33" s="281"/>
      <c r="E33" s="127"/>
      <c r="F33" s="123"/>
    </row>
    <row r="34" spans="1:6" ht="16.5" hidden="1">
      <c r="A34" s="123"/>
      <c r="B34" s="126"/>
      <c r="C34" s="280"/>
      <c r="D34" s="281"/>
      <c r="E34" s="127"/>
      <c r="F34" s="123"/>
    </row>
    <row r="35" spans="1:6" ht="16.5" hidden="1">
      <c r="A35" s="123"/>
      <c r="B35" s="126"/>
      <c r="C35" s="280"/>
      <c r="D35" s="281"/>
      <c r="E35" s="127"/>
      <c r="F35" s="123"/>
    </row>
    <row r="36" spans="1:6" ht="16.5" hidden="1">
      <c r="A36" s="123"/>
      <c r="B36" s="126"/>
      <c r="C36" s="280"/>
      <c r="D36" s="281"/>
      <c r="E36" s="127"/>
      <c r="F36" s="123"/>
    </row>
    <row r="37" spans="1:6" ht="16.5" hidden="1">
      <c r="A37" s="123"/>
      <c r="B37" s="126"/>
      <c r="C37" s="280"/>
      <c r="D37" s="281"/>
      <c r="E37" s="127"/>
      <c r="F37" s="123"/>
    </row>
    <row r="38" spans="1:6" ht="16.5" hidden="1">
      <c r="A38" s="123"/>
      <c r="B38" s="126"/>
      <c r="C38" s="280"/>
      <c r="D38" s="281"/>
      <c r="E38" s="127"/>
      <c r="F38" s="123"/>
    </row>
    <row r="39" spans="1:6" ht="16.5" hidden="1">
      <c r="A39" s="123"/>
      <c r="B39" s="126"/>
      <c r="C39" s="280"/>
      <c r="D39" s="281"/>
      <c r="E39" s="127"/>
      <c r="F39" s="123"/>
    </row>
    <row r="40" spans="1:6" ht="16.5" hidden="1">
      <c r="A40" s="123"/>
      <c r="B40" s="126"/>
      <c r="C40" s="280"/>
      <c r="D40" s="281"/>
      <c r="E40" s="127"/>
      <c r="F40" s="123"/>
    </row>
    <row r="41" spans="1:6" ht="16.5" hidden="1">
      <c r="A41" s="123"/>
      <c r="B41" s="126"/>
      <c r="C41" s="280"/>
      <c r="D41" s="281"/>
      <c r="E41" s="127"/>
      <c r="F41" s="123"/>
    </row>
    <row r="42" spans="1:6" ht="16.5" hidden="1">
      <c r="A42" s="123"/>
      <c r="B42" s="126"/>
      <c r="C42" s="280"/>
      <c r="D42" s="281"/>
      <c r="E42" s="127"/>
      <c r="F42" s="123"/>
    </row>
    <row r="43" spans="1:6" ht="16.5" hidden="1">
      <c r="A43" s="123"/>
      <c r="B43" s="126"/>
      <c r="C43" s="280"/>
      <c r="D43" s="281"/>
      <c r="E43" s="127"/>
      <c r="F43" s="123"/>
    </row>
    <row r="44" spans="1:6" ht="16.5" hidden="1">
      <c r="A44" s="123"/>
      <c r="B44" s="126"/>
      <c r="C44" s="280"/>
      <c r="D44" s="281"/>
      <c r="E44" s="127"/>
      <c r="F44" s="123"/>
    </row>
    <row r="45" spans="1:6" ht="16.5" hidden="1">
      <c r="A45" s="123"/>
      <c r="B45" s="126"/>
      <c r="C45" s="280"/>
      <c r="D45" s="281"/>
      <c r="E45" s="127"/>
      <c r="F45" s="123"/>
    </row>
    <row r="46" spans="1:6" ht="15" customHeight="1">
      <c r="A46" s="123"/>
      <c r="B46" s="128"/>
      <c r="C46" s="129"/>
      <c r="D46" s="129"/>
      <c r="E46" s="128"/>
      <c r="F46" s="123"/>
    </row>
    <row r="47" spans="1:6" ht="16.5">
      <c r="A47" s="276"/>
      <c r="B47" s="276"/>
      <c r="C47" s="276"/>
      <c r="D47" s="276"/>
      <c r="E47" s="276"/>
      <c r="F47" s="276"/>
    </row>
    <row r="48" spans="1:6" ht="9.75" customHeight="1">
      <c r="A48" s="130"/>
      <c r="B48" s="130"/>
      <c r="C48" s="130"/>
      <c r="D48" s="130"/>
      <c r="E48" s="130"/>
      <c r="F48" s="130"/>
    </row>
    <row r="49" spans="1:6" ht="16.5" hidden="1">
      <c r="A49" s="130"/>
      <c r="B49" s="130"/>
      <c r="C49" s="130"/>
      <c r="D49" s="130"/>
      <c r="E49" s="130"/>
      <c r="F49" s="130"/>
    </row>
    <row r="50" spans="1:6" ht="25.5" customHeight="1">
      <c r="A50" s="131" t="s">
        <v>249</v>
      </c>
      <c r="B50" s="130"/>
      <c r="C50" s="130"/>
      <c r="D50" s="130"/>
      <c r="E50" s="130"/>
      <c r="F50" s="130"/>
    </row>
    <row r="51" spans="1:6" ht="36" customHeight="1">
      <c r="A51" s="282"/>
      <c r="B51" s="282"/>
      <c r="C51" s="282"/>
      <c r="D51" s="130"/>
      <c r="E51" s="130"/>
      <c r="F51" s="130"/>
    </row>
    <row r="52" spans="1:6" s="144" customFormat="1" ht="10.5" customHeight="1">
      <c r="A52" s="282"/>
      <c r="B52" s="282"/>
      <c r="C52" s="282"/>
      <c r="D52" s="142" t="s">
        <v>79</v>
      </c>
      <c r="E52" s="143"/>
      <c r="F52" s="143"/>
    </row>
    <row r="53" spans="1:6" ht="16.5">
      <c r="A53" s="132" t="s">
        <v>88</v>
      </c>
      <c r="B53" s="123"/>
      <c r="C53" s="132"/>
      <c r="D53" s="132"/>
      <c r="E53" s="132"/>
      <c r="F53" s="123"/>
    </row>
    <row r="54" spans="1:6" ht="16.5">
      <c r="A54" s="123" t="s">
        <v>158</v>
      </c>
      <c r="B54" s="123"/>
      <c r="C54" s="123"/>
      <c r="D54" s="123"/>
      <c r="E54" s="123"/>
      <c r="F54" s="123"/>
    </row>
    <row r="55" spans="1:6" ht="16.5">
      <c r="A55" s="123"/>
      <c r="B55" s="123"/>
      <c r="C55" s="123"/>
      <c r="D55" s="123"/>
      <c r="E55" s="123"/>
      <c r="F55" s="123"/>
    </row>
    <row r="56" spans="1:6" ht="3" customHeight="1">
      <c r="A56" s="133"/>
      <c r="B56" s="133"/>
      <c r="C56" s="133"/>
      <c r="D56" s="133" t="s">
        <v>79</v>
      </c>
      <c r="E56" s="133"/>
      <c r="F56" s="123"/>
    </row>
    <row r="57" spans="1:6">
      <c r="A57" s="134"/>
      <c r="B57" s="134"/>
      <c r="C57" s="135"/>
    </row>
    <row r="58" spans="1:6" ht="12.75" customHeight="1">
      <c r="A58" s="135"/>
      <c r="B58" s="135"/>
      <c r="C58" s="135"/>
    </row>
    <row r="62" spans="1:6" ht="7.5" customHeight="1"/>
    <row r="63" spans="1:6" hidden="1"/>
  </sheetData>
  <sheetProtection selectLockedCells="1" selectUnlockedCells="1"/>
  <mergeCells count="31">
    <mergeCell ref="C13:D13"/>
    <mergeCell ref="C14:D14"/>
    <mergeCell ref="C15:D15"/>
    <mergeCell ref="A51:C52"/>
    <mergeCell ref="C37:D37"/>
    <mergeCell ref="C43:D43"/>
    <mergeCell ref="C44:D44"/>
    <mergeCell ref="C45:D45"/>
    <mergeCell ref="C38:D38"/>
    <mergeCell ref="C39:D39"/>
    <mergeCell ref="C40:D40"/>
    <mergeCell ref="C41:D41"/>
    <mergeCell ref="C42:D42"/>
    <mergeCell ref="C16:D16"/>
    <mergeCell ref="C17:D17"/>
    <mergeCell ref="A6:F6"/>
    <mergeCell ref="A2:F2"/>
    <mergeCell ref="A47:F47"/>
    <mergeCell ref="A4:F4"/>
    <mergeCell ref="A7:F7"/>
    <mergeCell ref="A8:F8"/>
    <mergeCell ref="C10:D10"/>
    <mergeCell ref="C11:D11"/>
    <mergeCell ref="C12:D12"/>
    <mergeCell ref="C30:D30"/>
    <mergeCell ref="C31:D31"/>
    <mergeCell ref="C32:D32"/>
    <mergeCell ref="C33:D33"/>
    <mergeCell ref="C34:D34"/>
    <mergeCell ref="C35:D35"/>
    <mergeCell ref="C36:D36"/>
  </mergeCells>
  <conditionalFormatting sqref="E11:E17">
    <cfRule type="cellIs" dxfId="276" priority="2" operator="equal">
      <formula>"HABILITADO"</formula>
    </cfRule>
    <cfRule type="cellIs" dxfId="275" priority="3" operator="equal">
      <formula>"NO HABILITADO"</formula>
    </cfRule>
    <cfRule type="cellIs" dxfId="274" priority="1" operator="equal">
      <formula>"RECHAZADO"</formula>
    </cfRule>
  </conditionalFormatting>
  <printOptions horizontalCentered="1" verticalCentered="1"/>
  <pageMargins left="0.19685039370078741" right="0.15748031496062992" top="1.9685039370078741" bottom="0.74803149606299213" header="0" footer="0"/>
  <pageSetup paperSize="9" scale="86" orientation="portrait" r:id="rId1"/>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444"/>
  <sheetViews>
    <sheetView showGridLines="0" view="pageBreakPreview" topLeftCell="M20" zoomScaleNormal="55" zoomScaleSheetLayoutView="100" workbookViewId="0">
      <selection activeCell="O87" sqref="O87"/>
    </sheetView>
  </sheetViews>
  <sheetFormatPr baseColWidth="10" defaultColWidth="12.42578125" defaultRowHeight="12.75"/>
  <cols>
    <col min="1" max="1" width="9" style="85" customWidth="1"/>
    <col min="2" max="2" width="25.42578125" style="93" customWidth="1"/>
    <col min="3" max="3" width="16.42578125" style="93" customWidth="1"/>
    <col min="4" max="4" width="64.5703125" style="93" customWidth="1"/>
    <col min="5" max="5" width="13.5703125" style="86" customWidth="1"/>
    <col min="6" max="6" width="13.140625" style="86" customWidth="1"/>
    <col min="7" max="7" width="13.5703125" style="86" customWidth="1"/>
    <col min="8" max="8" width="21.85546875" style="87" customWidth="1"/>
    <col min="9" max="9" width="14.5703125" style="85" customWidth="1"/>
    <col min="10" max="10" width="10.28515625" style="85" customWidth="1"/>
    <col min="11" max="12" width="15.85546875" style="85" customWidth="1"/>
    <col min="13" max="13" width="13.28515625" style="85" customWidth="1"/>
    <col min="14" max="14" width="16.5703125" style="85" customWidth="1"/>
    <col min="15" max="16" width="70.28515625" style="85" customWidth="1"/>
    <col min="17" max="17" width="7.42578125" style="87" customWidth="1"/>
    <col min="18" max="18" width="10.85546875" style="88" customWidth="1"/>
    <col min="19" max="19" width="9.28515625" style="87" customWidth="1"/>
    <col min="20" max="20" width="6.85546875" style="87" customWidth="1"/>
    <col min="21" max="21" width="9.85546875" style="85" customWidth="1"/>
    <col min="22" max="22" width="14.85546875" style="85" customWidth="1"/>
    <col min="23" max="23" width="16.42578125" style="85" customWidth="1"/>
    <col min="24" max="24" width="15" style="85" customWidth="1"/>
    <col min="25" max="25" width="17.28515625" style="85" customWidth="1"/>
    <col min="26" max="26" width="12.7109375" style="85" customWidth="1"/>
    <col min="27" max="27" width="16.85546875" style="85" customWidth="1"/>
    <col min="28" max="32" width="52" style="85" customWidth="1"/>
    <col min="33" max="251" width="11.42578125" style="85" customWidth="1"/>
    <col min="252" max="16384" width="12.42578125" style="85"/>
  </cols>
  <sheetData>
    <row r="1" spans="1:25" s="7" customFormat="1" ht="44.25" hidden="1" customHeight="1">
      <c r="A1" s="310" t="str">
        <f>General!B2</f>
        <v>SUMINISTRO DE MATERIAL PROMOCIONAL PUBLICITARIO INSTITUCIONAL PARA LA PROMOCIÓN, POSICIONAMIENTO, SOCIALIZACIÓN Y DIFUSIÓN DE LA MARCA FNA</v>
      </c>
      <c r="B1" s="310"/>
      <c r="C1" s="310"/>
      <c r="D1" s="310"/>
      <c r="E1" s="310"/>
      <c r="F1" s="310"/>
      <c r="G1" s="310"/>
      <c r="H1" s="310"/>
      <c r="I1" s="310"/>
      <c r="J1" s="310"/>
      <c r="K1" s="311"/>
      <c r="L1" s="311"/>
      <c r="M1" s="311"/>
      <c r="N1" s="311"/>
      <c r="O1" s="311"/>
      <c r="P1" s="215"/>
      <c r="Q1" s="1"/>
      <c r="R1" s="92"/>
      <c r="S1" s="51"/>
      <c r="T1" s="51"/>
    </row>
    <row r="2" spans="1:25" s="7" customFormat="1" ht="13.5" hidden="1" customHeight="1">
      <c r="A2" s="314" t="str">
        <f>General!B1</f>
        <v>FNA-SG-SB-007-2022</v>
      </c>
      <c r="B2" s="314"/>
      <c r="C2" s="314"/>
      <c r="D2" s="314"/>
      <c r="E2" s="314"/>
      <c r="F2" s="314"/>
      <c r="G2" s="314"/>
      <c r="H2" s="314"/>
      <c r="I2" s="314"/>
      <c r="J2" s="314"/>
      <c r="K2" s="313"/>
      <c r="L2" s="313"/>
      <c r="M2" s="313"/>
      <c r="N2" s="313"/>
      <c r="O2" s="313"/>
      <c r="P2" s="216"/>
      <c r="Q2" s="1"/>
      <c r="R2" s="92"/>
      <c r="S2" s="51"/>
      <c r="T2" s="51"/>
    </row>
    <row r="3" spans="1:25" s="7" customFormat="1" ht="12.75" hidden="1" customHeight="1">
      <c r="A3" s="312" t="s">
        <v>121</v>
      </c>
      <c r="B3" s="312"/>
      <c r="C3" s="312"/>
      <c r="D3" s="312"/>
      <c r="E3" s="312"/>
      <c r="F3" s="312"/>
      <c r="G3" s="312"/>
      <c r="H3" s="312"/>
      <c r="I3" s="312"/>
      <c r="J3" s="312"/>
      <c r="K3" s="313"/>
      <c r="L3" s="313"/>
      <c r="M3" s="313"/>
      <c r="N3" s="313"/>
      <c r="O3" s="313"/>
      <c r="P3" s="216"/>
      <c r="Q3" s="1"/>
      <c r="R3" s="92"/>
      <c r="S3" s="51"/>
      <c r="T3" s="51"/>
    </row>
    <row r="4" spans="1:25" hidden="1">
      <c r="H4" s="85"/>
      <c r="Q4" s="85"/>
      <c r="R4" s="94"/>
    </row>
    <row r="5" spans="1:25" ht="50.25" customHeight="1">
      <c r="A5" s="315" t="s">
        <v>125</v>
      </c>
      <c r="B5" s="316"/>
      <c r="C5" s="316"/>
      <c r="D5" s="317"/>
      <c r="E5" s="95" t="s">
        <v>24</v>
      </c>
      <c r="F5" s="198" t="s">
        <v>25</v>
      </c>
      <c r="G5" s="90" t="s">
        <v>26</v>
      </c>
      <c r="H5" s="90" t="s">
        <v>39</v>
      </c>
      <c r="I5" s="321" t="s">
        <v>152</v>
      </c>
      <c r="J5" s="322"/>
      <c r="K5" s="322"/>
      <c r="L5" s="322"/>
      <c r="M5" s="322"/>
      <c r="N5" s="322"/>
      <c r="O5" s="323"/>
      <c r="P5" s="217"/>
      <c r="Q5" s="85"/>
      <c r="R5" s="94"/>
    </row>
    <row r="6" spans="1:25" ht="218.25" customHeight="1">
      <c r="A6" s="318" t="s">
        <v>173</v>
      </c>
      <c r="B6" s="319"/>
      <c r="C6" s="319"/>
      <c r="D6" s="320"/>
      <c r="E6" s="195" t="s">
        <v>174</v>
      </c>
      <c r="F6" s="197">
        <v>40741</v>
      </c>
      <c r="G6" s="200">
        <f>General!I6</f>
        <v>800</v>
      </c>
      <c r="H6" s="199">
        <f>General!I3</f>
        <v>800000000</v>
      </c>
      <c r="I6" s="324"/>
      <c r="J6" s="324"/>
      <c r="K6" s="324"/>
      <c r="L6" s="324"/>
      <c r="M6" s="324"/>
      <c r="N6" s="324"/>
      <c r="O6" s="324"/>
      <c r="P6" s="218"/>
      <c r="Q6" s="85"/>
      <c r="R6" s="94"/>
    </row>
    <row r="7" spans="1:25">
      <c r="G7" s="196"/>
      <c r="H7" s="153"/>
      <c r="Q7" s="85"/>
      <c r="R7" s="94"/>
    </row>
    <row r="8" spans="1:25">
      <c r="G8" s="107"/>
      <c r="H8" s="201"/>
      <c r="Q8" s="85"/>
      <c r="R8" s="94"/>
      <c r="V8" s="181">
        <v>0.5</v>
      </c>
      <c r="W8" s="181">
        <v>1</v>
      </c>
      <c r="X8" s="182">
        <v>1.5</v>
      </c>
      <c r="Y8" s="182">
        <v>2</v>
      </c>
    </row>
    <row r="9" spans="1:25" ht="22.5" customHeight="1">
      <c r="A9" s="192" t="s">
        <v>6</v>
      </c>
      <c r="B9" s="193">
        <v>1</v>
      </c>
      <c r="C9" s="194" t="s">
        <v>122</v>
      </c>
      <c r="D9" s="295" t="str">
        <f>VLOOKUP(B9,Directorio!$A$4:$V$23,3,FALSE)</f>
        <v>CONSORCIO LM &amp; CB</v>
      </c>
      <c r="E9" s="296"/>
      <c r="F9" s="296"/>
      <c r="G9" s="297"/>
      <c r="H9" s="298"/>
      <c r="I9" s="293">
        <f>VLOOKUP(B9,Directorio!$A$4:$V$23,4,FALSE)</f>
        <v>0</v>
      </c>
      <c r="J9" s="294"/>
      <c r="K9" s="294"/>
      <c r="L9" s="294"/>
      <c r="M9" s="294"/>
      <c r="N9" s="294"/>
      <c r="O9" s="294"/>
      <c r="P9" s="219"/>
      <c r="Q9" s="85"/>
      <c r="R9" s="94" t="s">
        <v>69</v>
      </c>
      <c r="S9" s="87" t="s">
        <v>70</v>
      </c>
      <c r="T9" s="87" t="s">
        <v>71</v>
      </c>
      <c r="V9" s="149">
        <f>H6*V8</f>
        <v>400000000</v>
      </c>
      <c r="W9" s="149">
        <f>H6*W8</f>
        <v>800000000</v>
      </c>
      <c r="X9" s="149">
        <f>H6*X8</f>
        <v>1200000000</v>
      </c>
      <c r="Y9" s="149">
        <f>H6*Y8</f>
        <v>1600000000</v>
      </c>
    </row>
    <row r="10" spans="1:25" ht="30.75" customHeight="1">
      <c r="A10" s="97" t="s">
        <v>5</v>
      </c>
      <c r="B10" s="97" t="s">
        <v>27</v>
      </c>
      <c r="C10" s="97" t="s">
        <v>36</v>
      </c>
      <c r="D10" s="97" t="s">
        <v>28</v>
      </c>
      <c r="E10" s="98" t="s">
        <v>29</v>
      </c>
      <c r="F10" s="97" t="s">
        <v>30</v>
      </c>
      <c r="G10" s="97" t="s">
        <v>31</v>
      </c>
      <c r="H10" s="97" t="s">
        <v>32</v>
      </c>
      <c r="I10" s="97" t="s">
        <v>33</v>
      </c>
      <c r="J10" s="97" t="s">
        <v>66</v>
      </c>
      <c r="K10" s="97" t="s">
        <v>34</v>
      </c>
      <c r="L10" s="97" t="s">
        <v>153</v>
      </c>
      <c r="M10" s="97" t="s">
        <v>145</v>
      </c>
      <c r="N10" s="97" t="s">
        <v>154</v>
      </c>
      <c r="O10" s="97" t="s">
        <v>35</v>
      </c>
      <c r="P10" s="217"/>
      <c r="Q10" s="85"/>
      <c r="R10" s="94" t="str">
        <f>D17</f>
        <v>LITTLE MONKEY BTL SAS</v>
      </c>
      <c r="S10" s="87" t="str">
        <f>D18</f>
        <v>COMERCIALIZADORA CAFÉ BOTERO SAS</v>
      </c>
      <c r="T10" s="87">
        <f>D19</f>
        <v>0</v>
      </c>
      <c r="V10" s="155">
        <f>V9/781242</f>
        <v>512.00524293368767</v>
      </c>
      <c r="W10" s="155">
        <f>W9/781242</f>
        <v>1024.0104858673753</v>
      </c>
      <c r="X10" s="155">
        <f>X9/781242</f>
        <v>1536.015728801063</v>
      </c>
      <c r="Y10" s="155">
        <f>Y9/781242</f>
        <v>2048.0209717347507</v>
      </c>
    </row>
    <row r="11" spans="1:25" ht="102" customHeight="1">
      <c r="A11" s="299" t="s">
        <v>160</v>
      </c>
      <c r="B11" s="99" t="s">
        <v>175</v>
      </c>
      <c r="C11" s="206" t="s">
        <v>172</v>
      </c>
      <c r="D11" s="242" t="s">
        <v>180</v>
      </c>
      <c r="E11" s="208"/>
      <c r="F11" s="166" t="s">
        <v>127</v>
      </c>
      <c r="G11" s="167" t="s">
        <v>127</v>
      </c>
      <c r="H11" s="166"/>
      <c r="I11" s="105">
        <f>IF(E11&gt;0,VLOOKUP(YEAR(E11),SMMLV!$A$2:$B$55,2,FALSE),0)</f>
        <v>0</v>
      </c>
      <c r="J11" s="169"/>
      <c r="K11" s="168">
        <f t="shared" ref="K11:K14" si="0">IF(AND(E11&gt;=$F$6,H11&gt;0),H11/I11*J11,0)</f>
        <v>0</v>
      </c>
      <c r="L11" s="210"/>
      <c r="M11" s="239"/>
      <c r="N11" s="286" t="s">
        <v>163</v>
      </c>
      <c r="O11" s="283" t="s">
        <v>247</v>
      </c>
      <c r="P11" s="220"/>
      <c r="Q11" s="85"/>
      <c r="R11" s="107">
        <f t="shared" ref="R11:R14" si="1">IF(C11=$R$10,K11,0)</f>
        <v>0</v>
      </c>
      <c r="S11" s="107">
        <f t="shared" ref="S11" si="2">IF(C11=$S$10,K11,0)</f>
        <v>0</v>
      </c>
      <c r="T11" s="107">
        <f t="shared" ref="T11" si="3">IF(C11=$T$10,K11,0)</f>
        <v>0</v>
      </c>
      <c r="V11" s="155">
        <f>G6*V8</f>
        <v>400</v>
      </c>
      <c r="W11" s="155">
        <f>G6*W8</f>
        <v>800</v>
      </c>
      <c r="X11" s="155">
        <f>G6*X8</f>
        <v>1200</v>
      </c>
      <c r="Y11" s="155">
        <f>G6*Y8</f>
        <v>1600</v>
      </c>
    </row>
    <row r="12" spans="1:25" ht="25.5">
      <c r="A12" s="300"/>
      <c r="B12" s="187" t="s">
        <v>176</v>
      </c>
      <c r="C12" s="206" t="s">
        <v>172</v>
      </c>
      <c r="D12" s="242" t="s">
        <v>178</v>
      </c>
      <c r="E12" s="208"/>
      <c r="F12" s="166" t="s">
        <v>127</v>
      </c>
      <c r="G12" s="167" t="s">
        <v>127</v>
      </c>
      <c r="H12" s="166"/>
      <c r="I12" s="105">
        <f>IF(E12&gt;0,VLOOKUP(YEAR(E12),SMMLV!$A$2:$B$55,2,FALSE),0)</f>
        <v>0</v>
      </c>
      <c r="J12" s="169"/>
      <c r="K12" s="168">
        <f t="shared" si="0"/>
        <v>0</v>
      </c>
      <c r="L12" s="210"/>
      <c r="M12" s="239"/>
      <c r="N12" s="287"/>
      <c r="O12" s="284"/>
      <c r="P12" s="220"/>
      <c r="Q12" s="85"/>
      <c r="R12" s="107"/>
      <c r="S12" s="107"/>
      <c r="T12" s="107"/>
      <c r="V12" s="155"/>
      <c r="W12" s="155"/>
      <c r="X12" s="155"/>
      <c r="Y12" s="155"/>
    </row>
    <row r="13" spans="1:25" ht="25.5">
      <c r="A13" s="300"/>
      <c r="B13" s="187" t="s">
        <v>177</v>
      </c>
      <c r="C13" s="206" t="s">
        <v>172</v>
      </c>
      <c r="D13" s="242" t="s">
        <v>179</v>
      </c>
      <c r="E13" s="208"/>
      <c r="F13" s="166" t="s">
        <v>127</v>
      </c>
      <c r="G13" s="167" t="s">
        <v>127</v>
      </c>
      <c r="H13" s="166"/>
      <c r="I13" s="105">
        <f>IF(E13&gt;0,VLOOKUP(YEAR(E13),SMMLV!$A$2:$B$55,2,FALSE),0)</f>
        <v>0</v>
      </c>
      <c r="J13" s="169"/>
      <c r="K13" s="168">
        <f t="shared" si="0"/>
        <v>0</v>
      </c>
      <c r="L13" s="210"/>
      <c r="M13" s="239"/>
      <c r="N13" s="287"/>
      <c r="O13" s="285"/>
      <c r="P13" s="220"/>
      <c r="Q13" s="85"/>
      <c r="R13" s="107"/>
      <c r="S13" s="107"/>
      <c r="T13" s="107"/>
      <c r="V13" s="155"/>
      <c r="W13" s="155"/>
      <c r="X13" s="155"/>
      <c r="Y13" s="155"/>
    </row>
    <row r="14" spans="1:25" ht="25.5" hidden="1" customHeight="1">
      <c r="A14" s="300"/>
      <c r="B14" s="187"/>
      <c r="C14" s="207" t="s">
        <v>164</v>
      </c>
      <c r="D14" s="4"/>
      <c r="E14" s="209"/>
      <c r="F14" s="166" t="s">
        <v>127</v>
      </c>
      <c r="G14" s="167" t="s">
        <v>127</v>
      </c>
      <c r="H14" s="166"/>
      <c r="I14" s="105">
        <f>IF(E14&gt;0,VLOOKUP(YEAR(E14),SMMLV!$A$2:$B$55,2,FALSE),0)</f>
        <v>0</v>
      </c>
      <c r="J14" s="106">
        <v>1</v>
      </c>
      <c r="K14" s="168">
        <f t="shared" si="0"/>
        <v>0</v>
      </c>
      <c r="L14" s="211"/>
      <c r="M14" s="239"/>
      <c r="N14" s="245"/>
      <c r="O14" s="188"/>
      <c r="P14" s="220"/>
      <c r="Q14" s="85"/>
      <c r="R14" s="107">
        <f t="shared" si="1"/>
        <v>0</v>
      </c>
      <c r="S14" s="107"/>
      <c r="T14" s="107"/>
      <c r="V14" s="155"/>
      <c r="W14" s="155"/>
      <c r="X14" s="155"/>
      <c r="Y14" s="155"/>
    </row>
    <row r="15" spans="1:25" ht="12.75" customHeight="1">
      <c r="A15" s="289"/>
      <c r="B15" s="289"/>
      <c r="C15" s="289"/>
      <c r="D15" s="289"/>
      <c r="E15" s="289"/>
      <c r="F15" s="289"/>
      <c r="G15" s="289"/>
      <c r="H15" s="289"/>
      <c r="I15" s="289"/>
      <c r="J15" s="151"/>
      <c r="K15" s="109">
        <f>SUM(K11:K14)</f>
        <v>0</v>
      </c>
      <c r="L15" s="109"/>
      <c r="M15" s="109"/>
      <c r="N15" s="109"/>
      <c r="O15" s="213"/>
      <c r="P15" s="222"/>
      <c r="R15" s="107">
        <f>SUM(R5:R14)</f>
        <v>0</v>
      </c>
      <c r="S15" s="107">
        <f>SUM(S5:S14)</f>
        <v>0</v>
      </c>
      <c r="T15" s="107">
        <f>SUM(T5:T14)</f>
        <v>0</v>
      </c>
      <c r="U15" s="110">
        <f>MAX(R15:T15)</f>
        <v>0</v>
      </c>
    </row>
    <row r="16" spans="1:25" ht="18">
      <c r="D16" s="140"/>
      <c r="H16" s="89"/>
      <c r="I16" s="89"/>
      <c r="J16" s="89"/>
      <c r="K16" s="186" t="str">
        <f>IF(AND(K15&gt;=$G$6,G17="Vo.Bo."),"CUMPLE", "NO CUMPLE ")</f>
        <v xml:space="preserve">NO CUMPLE </v>
      </c>
      <c r="R16" s="94"/>
    </row>
    <row r="17" spans="1:21">
      <c r="D17" s="112" t="str">
        <f>VLOOKUP(B9,Directorio!$A$4:$V$23,14,FALSE)</f>
        <v>LITTLE MONKEY BTL SAS</v>
      </c>
      <c r="E17" s="113">
        <f>VLOOKUP(B9,Directorio!$A$4:$V$23,15,FALSE)</f>
        <v>0.48</v>
      </c>
      <c r="F17" s="114">
        <f>R15</f>
        <v>0</v>
      </c>
      <c r="G17" s="138" t="str">
        <f>IF(F17&gt;0,IF(F17=K$15,IF(E17&gt;=0.34,"Vo.Bo.","No Vo.Bo."),IF(F17=U$15,IF(E17&gt;=0.34,"Vo.Bo.","No Vo.Bo."),"")),"")</f>
        <v/>
      </c>
      <c r="J17" s="89"/>
      <c r="R17" s="94"/>
    </row>
    <row r="18" spans="1:21">
      <c r="D18" s="112" t="str">
        <f>VLOOKUP(B9,Directorio!$A$4:$V$23,17,FALSE)</f>
        <v>COMERCIALIZADORA CAFÉ BOTERO SAS</v>
      </c>
      <c r="E18" s="113">
        <f>VLOOKUP(B9,Directorio!$A$4:$V$23,18,FALSE)</f>
        <v>0.52</v>
      </c>
      <c r="F18" s="114">
        <f>S15</f>
        <v>0</v>
      </c>
      <c r="G18" s="138" t="str">
        <f>IF(F18&gt;0,IF(F18=K$15,IF(E18&gt;=0.34,"Vo.Bo.","No Vo.Bo."),IF(F18=U$15,IF(E18&gt;=0.34,"Vo.Bo.","No Vo.Bo."),"")),"")</f>
        <v/>
      </c>
      <c r="J18" s="89"/>
      <c r="R18" s="94"/>
    </row>
    <row r="19" spans="1:21">
      <c r="D19" s="112">
        <f>VLOOKUP(B9,Directorio!$A$4:$V$23,20,FALSE)</f>
        <v>0</v>
      </c>
      <c r="E19" s="113">
        <f>VLOOKUP(B9,Directorio!$A$4:$V$23,21,FALSE)</f>
        <v>0</v>
      </c>
      <c r="F19" s="114">
        <f>T15</f>
        <v>0</v>
      </c>
      <c r="G19" s="138" t="str">
        <f>IF(F19&gt;0,IF(F19=K$15,IF(E19&gt;=0.34,"Vo.Bo.","No Vo.Bo."),IF(F19=U$15,IF(E19&gt;=0.34,"Vo.Bo.","No Vo.Bo."),"")),"")</f>
        <v/>
      </c>
      <c r="J19" s="89"/>
      <c r="R19" s="94"/>
    </row>
    <row r="20" spans="1:21">
      <c r="G20" s="116">
        <f>COUNTIF(G17:G19,"Vo.Bo.")</f>
        <v>0</v>
      </c>
      <c r="H20" s="139"/>
      <c r="I20" s="149"/>
      <c r="J20" s="89"/>
      <c r="R20" s="94"/>
    </row>
    <row r="21" spans="1:21" ht="38.25" hidden="1" customHeight="1">
      <c r="A21" s="290" t="s">
        <v>128</v>
      </c>
      <c r="B21" s="291"/>
      <c r="C21" s="291"/>
      <c r="D21" s="291"/>
      <c r="E21" s="291"/>
      <c r="F21" s="291"/>
      <c r="G21" s="291"/>
      <c r="H21" s="291"/>
      <c r="I21" s="291"/>
      <c r="J21" s="291"/>
      <c r="K21" s="291"/>
      <c r="L21" s="291"/>
      <c r="M21" s="291"/>
      <c r="N21" s="291"/>
      <c r="O21" s="292"/>
      <c r="P21" s="185"/>
      <c r="Q21" s="85"/>
      <c r="R21" s="107" t="e">
        <f>IF(C21=#REF!,K21,0)</f>
        <v>#REF!</v>
      </c>
      <c r="S21" s="107" t="e">
        <f>IF(C21=#REF!,K21,0)</f>
        <v>#REF!</v>
      </c>
      <c r="T21" s="107" t="e">
        <f>IF(C21=#REF!,K21,0)</f>
        <v>#REF!</v>
      </c>
    </row>
    <row r="22" spans="1:21" hidden="1">
      <c r="A22" s="108"/>
      <c r="B22" s="187"/>
      <c r="C22" s="101"/>
      <c r="D22" s="148"/>
      <c r="E22" s="102"/>
      <c r="F22" s="91" t="s">
        <v>127</v>
      </c>
      <c r="G22" s="103" t="s">
        <v>127</v>
      </c>
      <c r="H22" s="104"/>
      <c r="I22" s="105">
        <f>IF(E22&gt;0,VLOOKUP(YEAR(E22),SMMLV!$A$6:$B$55,2,FALSE),0)</f>
        <v>0</v>
      </c>
      <c r="J22" s="106"/>
      <c r="K22" s="105">
        <f t="shared" ref="K22:K27" si="4">IF(AND(E22&gt;=$F$6,H22&gt;0),H22/I22*J22,0)</f>
        <v>0</v>
      </c>
      <c r="L22" s="105"/>
      <c r="M22" s="105"/>
      <c r="N22" s="105"/>
      <c r="O22" s="3"/>
      <c r="P22" s="29"/>
      <c r="Q22" s="85"/>
      <c r="R22" s="107" t="e">
        <f>IF(C22=#REF!,K22,0)</f>
        <v>#REF!</v>
      </c>
      <c r="S22" s="107" t="e">
        <f>IF(C22=#REF!,K22,0)</f>
        <v>#REF!</v>
      </c>
      <c r="T22" s="107" t="e">
        <f>IF(C22=#REF!,K22,0)</f>
        <v>#REF!</v>
      </c>
    </row>
    <row r="23" spans="1:21" hidden="1">
      <c r="A23" s="108"/>
      <c r="B23" s="187"/>
      <c r="C23" s="101"/>
      <c r="D23" s="148"/>
      <c r="E23" s="102"/>
      <c r="F23" s="91" t="s">
        <v>127</v>
      </c>
      <c r="G23" s="103" t="s">
        <v>127</v>
      </c>
      <c r="H23" s="104"/>
      <c r="I23" s="105">
        <f>IF(E23&gt;0,VLOOKUP(YEAR(E23),SMMLV!$A$6:$B$55,2,FALSE),0)</f>
        <v>0</v>
      </c>
      <c r="J23" s="106"/>
      <c r="K23" s="105">
        <f t="shared" si="4"/>
        <v>0</v>
      </c>
      <c r="L23" s="105"/>
      <c r="M23" s="105"/>
      <c r="N23" s="105"/>
      <c r="O23" s="4"/>
      <c r="P23" s="223"/>
      <c r="Q23" s="85"/>
      <c r="R23" s="107" t="e">
        <f>IF(C23=#REF!,K23,0)</f>
        <v>#REF!</v>
      </c>
      <c r="S23" s="107" t="e">
        <f>IF(C23=#REF!,K23,0)</f>
        <v>#REF!</v>
      </c>
      <c r="T23" s="107" t="e">
        <f>IF(C23=#REF!,K23,0)</f>
        <v>#REF!</v>
      </c>
    </row>
    <row r="24" spans="1:21" hidden="1">
      <c r="A24" s="108"/>
      <c r="B24" s="187"/>
      <c r="C24" s="101"/>
      <c r="D24" s="45"/>
      <c r="E24" s="102"/>
      <c r="F24" s="91" t="s">
        <v>127</v>
      </c>
      <c r="G24" s="103" t="s">
        <v>127</v>
      </c>
      <c r="H24" s="104"/>
      <c r="I24" s="105">
        <f>IF(E24&gt;0,VLOOKUP(YEAR(E24),SMMLV!$A$9:$B$55,2,FALSE),0)</f>
        <v>0</v>
      </c>
      <c r="J24" s="106"/>
      <c r="K24" s="105">
        <f t="shared" si="4"/>
        <v>0</v>
      </c>
      <c r="L24" s="168"/>
      <c r="M24" s="168"/>
      <c r="N24" s="168"/>
      <c r="O24" s="190"/>
      <c r="P24" s="224"/>
      <c r="Q24" s="85"/>
      <c r="R24" s="107" t="e">
        <f>IF(C24=#REF!,K24,0)</f>
        <v>#REF!</v>
      </c>
      <c r="S24" s="107" t="e">
        <f>IF(C24=#REF!,K24,0)</f>
        <v>#REF!</v>
      </c>
      <c r="T24" s="107" t="e">
        <f>IF(C24=#REF!,K24,0)</f>
        <v>#REF!</v>
      </c>
    </row>
    <row r="25" spans="1:21" hidden="1">
      <c r="A25" s="108"/>
      <c r="B25" s="99"/>
      <c r="C25" s="101"/>
      <c r="D25" s="45"/>
      <c r="E25" s="102"/>
      <c r="F25" s="91"/>
      <c r="G25" s="103"/>
      <c r="H25" s="104"/>
      <c r="I25" s="105">
        <f>IF(E25&gt;0,VLOOKUP(YEAR(E25),SMMLV!$A$9:$B$55,2,FALSE),0)</f>
        <v>0</v>
      </c>
      <c r="J25" s="106"/>
      <c r="K25" s="105">
        <f t="shared" si="4"/>
        <v>0</v>
      </c>
      <c r="L25" s="105"/>
      <c r="M25" s="105"/>
      <c r="N25" s="105"/>
      <c r="O25" s="44"/>
      <c r="P25" s="225"/>
      <c r="Q25" s="85"/>
      <c r="R25" s="107" t="e">
        <f>IF(C25=#REF!,K25,0)</f>
        <v>#REF!</v>
      </c>
      <c r="S25" s="107" t="e">
        <f>IF(C25=#REF!,K25,0)</f>
        <v>#REF!</v>
      </c>
      <c r="T25" s="107" t="e">
        <f>IF(C25=#REF!,K25,0)</f>
        <v>#REF!</v>
      </c>
    </row>
    <row r="26" spans="1:21" hidden="1">
      <c r="A26" s="108"/>
      <c r="B26" s="99"/>
      <c r="C26" s="101"/>
      <c r="D26" s="45"/>
      <c r="E26" s="102"/>
      <c r="F26" s="91"/>
      <c r="G26" s="103"/>
      <c r="H26" s="104"/>
      <c r="I26" s="105">
        <f>IF(E26&gt;0,VLOOKUP(YEAR(E26),SMMLV!$A$9:$B$55,2,FALSE),0)</f>
        <v>0</v>
      </c>
      <c r="J26" s="106"/>
      <c r="K26" s="105">
        <f t="shared" si="4"/>
        <v>0</v>
      </c>
      <c r="L26" s="105"/>
      <c r="M26" s="105"/>
      <c r="N26" s="105"/>
      <c r="O26" s="44"/>
      <c r="P26" s="225"/>
      <c r="Q26" s="85"/>
      <c r="R26" s="107" t="e">
        <f>IF(C26=#REF!,K26,0)</f>
        <v>#REF!</v>
      </c>
      <c r="S26" s="107" t="e">
        <f>IF(C26=#REF!,K26,0)</f>
        <v>#REF!</v>
      </c>
      <c r="T26" s="107" t="e">
        <f>IF(C26=#REF!,K26,0)</f>
        <v>#REF!</v>
      </c>
    </row>
    <row r="27" spans="1:21" hidden="1">
      <c r="A27" s="108"/>
      <c r="B27" s="99"/>
      <c r="C27" s="101"/>
      <c r="D27" s="45"/>
      <c r="E27" s="102"/>
      <c r="F27" s="91"/>
      <c r="G27" s="103"/>
      <c r="H27" s="104"/>
      <c r="I27" s="105">
        <f>IF(E27&gt;0,VLOOKUP(YEAR(E27),SMMLV!$A$9:$B$55,2,FALSE),0)</f>
        <v>0</v>
      </c>
      <c r="J27" s="106"/>
      <c r="K27" s="105">
        <f t="shared" si="4"/>
        <v>0</v>
      </c>
      <c r="L27" s="105"/>
      <c r="M27" s="105"/>
      <c r="N27" s="105"/>
      <c r="O27" s="44"/>
      <c r="P27" s="225"/>
      <c r="Q27" s="85"/>
      <c r="R27" s="107" t="e">
        <f>IF(C27=#REF!,K27,0)</f>
        <v>#REF!</v>
      </c>
      <c r="S27" s="107" t="e">
        <f>IF(C27=#REF!,K27,0)</f>
        <v>#REF!</v>
      </c>
      <c r="T27" s="107" t="e">
        <f>IF(C27=#REF!,K27,0)</f>
        <v>#REF!</v>
      </c>
    </row>
    <row r="28" spans="1:21" hidden="1">
      <c r="A28" s="307"/>
      <c r="B28" s="308"/>
      <c r="C28" s="308"/>
      <c r="D28" s="308"/>
      <c r="E28" s="308"/>
      <c r="F28" s="308"/>
      <c r="G28" s="308"/>
      <c r="H28" s="308"/>
      <c r="I28" s="309"/>
      <c r="J28" s="151"/>
      <c r="K28" s="109">
        <f>SUM(K22:K27)</f>
        <v>0</v>
      </c>
      <c r="L28" s="109"/>
      <c r="M28" s="109"/>
      <c r="N28" s="109"/>
      <c r="O28" s="90"/>
      <c r="P28" s="217"/>
      <c r="R28" s="107" t="e">
        <f>SUM(R11:R27)</f>
        <v>#REF!</v>
      </c>
      <c r="S28" s="107" t="e">
        <f>SUM(S11:S27)</f>
        <v>#REF!</v>
      </c>
      <c r="T28" s="107" t="e">
        <f>SUM(T11:T27)</f>
        <v>#REF!</v>
      </c>
      <c r="U28" s="110" t="e">
        <f>MAX(R28:T28)</f>
        <v>#REF!</v>
      </c>
    </row>
    <row r="29" spans="1:21" hidden="1">
      <c r="H29" s="89"/>
      <c r="I29" s="89"/>
      <c r="J29" s="89"/>
      <c r="K29" s="111" t="str">
        <f>IF(AND(K28&gt;=$G$6,G19&gt;0),"CUMPLE", "NO CUMPLE ")</f>
        <v xml:space="preserve">NO CUMPLE </v>
      </c>
      <c r="L29" s="202"/>
      <c r="M29" s="202"/>
      <c r="N29" s="202"/>
      <c r="R29" s="94"/>
    </row>
    <row r="30" spans="1:21" hidden="1">
      <c r="D30" s="85"/>
      <c r="E30" s="85"/>
      <c r="F30" s="85"/>
      <c r="G30" s="85"/>
      <c r="H30" s="85"/>
      <c r="R30" s="94"/>
    </row>
    <row r="31" spans="1:21" ht="15.75" hidden="1" customHeight="1">
      <c r="D31" s="85"/>
      <c r="E31" s="85"/>
      <c r="F31" s="85"/>
      <c r="G31" s="85"/>
      <c r="H31" s="85"/>
      <c r="K31" s="157" t="str">
        <f>IF(AND(K28&gt;=$V$10,K28&lt;=$W$10,K28&gt;0),"CUMPLE", "NO CUMPLE ")</f>
        <v xml:space="preserve">NO CUMPLE </v>
      </c>
      <c r="L31" s="157"/>
      <c r="M31" s="157"/>
      <c r="N31" s="157"/>
      <c r="O31" s="158" t="s">
        <v>147</v>
      </c>
      <c r="P31" s="226"/>
      <c r="R31" s="94"/>
    </row>
    <row r="32" spans="1:21" ht="15.75" hidden="1" customHeight="1">
      <c r="D32" s="85"/>
      <c r="E32" s="85"/>
      <c r="F32" s="85"/>
      <c r="G32" s="85"/>
      <c r="H32" s="85"/>
      <c r="K32" s="161" t="str">
        <f>IF(AND(K28&gt;=$W$10,K28&lt;=$X$10,K28&gt;0),"CUMPLE", "NO CUMPLE ")</f>
        <v xml:space="preserve">NO CUMPLE </v>
      </c>
      <c r="L32" s="161"/>
      <c r="M32" s="161"/>
      <c r="N32" s="161"/>
      <c r="O32" s="159" t="s">
        <v>148</v>
      </c>
      <c r="P32" s="227"/>
      <c r="R32" s="94"/>
    </row>
    <row r="33" spans="1:25" ht="15.75" hidden="1" customHeight="1">
      <c r="C33" s="115"/>
      <c r="D33" s="85"/>
      <c r="E33" s="85"/>
      <c r="F33" s="85"/>
      <c r="G33" s="85"/>
      <c r="H33" s="85"/>
      <c r="K33" s="183" t="str">
        <f>IF(AND(K29&gt;=$X$10,K29&lt;=$Y$10,K29&gt;0),"CUMPLE", "NO CUMPLE ")</f>
        <v xml:space="preserve">NO CUMPLE </v>
      </c>
      <c r="L33" s="183"/>
      <c r="M33" s="183"/>
      <c r="N33" s="183"/>
      <c r="O33" s="184" t="s">
        <v>143</v>
      </c>
      <c r="P33" s="228"/>
      <c r="R33" s="94"/>
    </row>
    <row r="34" spans="1:25" hidden="1">
      <c r="C34" s="115"/>
      <c r="D34" s="85"/>
      <c r="E34" s="85"/>
      <c r="F34" s="85"/>
      <c r="G34" s="85"/>
      <c r="H34" s="85"/>
      <c r="K34" s="156" t="str">
        <f>IF(AND(K28&gt;=$Y$10,K28&gt;0),"CUMPLE", "NO CUMPLE ")</f>
        <v xml:space="preserve">NO CUMPLE </v>
      </c>
      <c r="L34" s="156"/>
      <c r="M34" s="156"/>
      <c r="N34" s="156"/>
      <c r="O34" s="160" t="s">
        <v>144</v>
      </c>
      <c r="P34" s="229"/>
      <c r="R34" s="94"/>
    </row>
    <row r="35" spans="1:25">
      <c r="C35" s="115"/>
      <c r="D35" s="85"/>
      <c r="E35" s="85"/>
      <c r="F35" s="85"/>
      <c r="G35" s="85"/>
      <c r="H35" s="85"/>
      <c r="R35" s="94"/>
    </row>
    <row r="36" spans="1:25" ht="22.5" customHeight="1">
      <c r="A36" s="192" t="s">
        <v>6</v>
      </c>
      <c r="B36" s="193">
        <f>B9+1</f>
        <v>2</v>
      </c>
      <c r="C36" s="194" t="s">
        <v>122</v>
      </c>
      <c r="D36" s="295" t="str">
        <f>VLOOKUP(B36,Directorio!$A$4:$V$23,3,FALSE)</f>
        <v>COMERCIALIZADORA COMSILA SAS</v>
      </c>
      <c r="E36" s="296"/>
      <c r="F36" s="296"/>
      <c r="G36" s="297"/>
      <c r="H36" s="298"/>
      <c r="I36" s="293" t="str">
        <f>VLOOKUP(B36,Directorio!$A$4:$V$23,4,FALSE)</f>
        <v>900.889.064-1</v>
      </c>
      <c r="J36" s="294"/>
      <c r="K36" s="294"/>
      <c r="L36" s="294"/>
      <c r="M36" s="294"/>
      <c r="N36" s="294"/>
      <c r="O36" s="294"/>
      <c r="P36" s="219"/>
      <c r="Q36" s="85"/>
      <c r="R36" s="94" t="s">
        <v>69</v>
      </c>
      <c r="S36" s="87" t="s">
        <v>70</v>
      </c>
      <c r="T36" s="87" t="s">
        <v>71</v>
      </c>
      <c r="V36" s="149"/>
      <c r="W36" s="149"/>
      <c r="X36" s="149"/>
      <c r="Y36" s="149"/>
    </row>
    <row r="37" spans="1:25" ht="38.25">
      <c r="A37" s="97" t="s">
        <v>5</v>
      </c>
      <c r="B37" s="97" t="s">
        <v>27</v>
      </c>
      <c r="C37" s="97" t="s">
        <v>36</v>
      </c>
      <c r="D37" s="97" t="s">
        <v>28</v>
      </c>
      <c r="E37" s="98" t="s">
        <v>29</v>
      </c>
      <c r="F37" s="97" t="s">
        <v>30</v>
      </c>
      <c r="G37" s="97" t="s">
        <v>31</v>
      </c>
      <c r="H37" s="97" t="s">
        <v>32</v>
      </c>
      <c r="I37" s="97" t="s">
        <v>33</v>
      </c>
      <c r="J37" s="97" t="s">
        <v>66</v>
      </c>
      <c r="K37" s="97" t="s">
        <v>34</v>
      </c>
      <c r="L37" s="97" t="s">
        <v>153</v>
      </c>
      <c r="M37" s="97" t="s">
        <v>145</v>
      </c>
      <c r="N37" s="97" t="s">
        <v>154</v>
      </c>
      <c r="O37" s="97" t="s">
        <v>35</v>
      </c>
      <c r="P37" s="217"/>
      <c r="Q37" s="85"/>
      <c r="R37" s="94" t="str">
        <f>D45</f>
        <v>COMERCIALIZADORA COMSILA SAS</v>
      </c>
      <c r="S37" s="87">
        <f>D46</f>
        <v>0</v>
      </c>
      <c r="T37" s="87">
        <f>D47</f>
        <v>0</v>
      </c>
    </row>
    <row r="38" spans="1:25" ht="25.5">
      <c r="A38" s="299" t="s">
        <v>160</v>
      </c>
      <c r="B38" s="187" t="s">
        <v>189</v>
      </c>
      <c r="C38" s="207" t="s">
        <v>185</v>
      </c>
      <c r="D38" s="150" t="s">
        <v>190</v>
      </c>
      <c r="E38" s="209">
        <v>43480</v>
      </c>
      <c r="F38" s="91" t="s">
        <v>127</v>
      </c>
      <c r="G38" s="103" t="s">
        <v>127</v>
      </c>
      <c r="H38" s="104">
        <v>1200000000</v>
      </c>
      <c r="I38" s="105">
        <f>IF(E38&gt;0,VLOOKUP(YEAR(E38),SMMLV!$A$2:$B$55,2,FALSE),0)</f>
        <v>828116</v>
      </c>
      <c r="J38" s="106">
        <v>1</v>
      </c>
      <c r="K38" s="105">
        <f>IF(AND(E38&gt;=$F$6,H38&gt;0),H38/I38*J38,0)</f>
        <v>1449.0723521825444</v>
      </c>
      <c r="L38" s="211">
        <v>33</v>
      </c>
      <c r="M38" s="239" t="s">
        <v>191</v>
      </c>
      <c r="N38" s="286" t="s">
        <v>162</v>
      </c>
      <c r="O38" s="212"/>
      <c r="P38" s="221"/>
      <c r="Q38" s="85"/>
      <c r="R38" s="107">
        <f>IF(C38=$R$37,K38,0)</f>
        <v>1449.0723521825444</v>
      </c>
      <c r="S38" s="107">
        <f t="shared" ref="S38:S42" si="5">IF(C38=$S$37,K38,0)</f>
        <v>0</v>
      </c>
      <c r="T38" s="107">
        <f>IF(C38=$T$37,K38,0)</f>
        <v>0</v>
      </c>
    </row>
    <row r="39" spans="1:25" ht="25.5" hidden="1">
      <c r="A39" s="300"/>
      <c r="B39" s="187"/>
      <c r="C39" s="207" t="s">
        <v>165</v>
      </c>
      <c r="D39" s="150"/>
      <c r="E39" s="209"/>
      <c r="F39" s="91" t="s">
        <v>127</v>
      </c>
      <c r="G39" s="103" t="s">
        <v>127</v>
      </c>
      <c r="H39" s="104"/>
      <c r="I39" s="105">
        <f>IF(E39&gt;0,VLOOKUP(YEAR(E39),SMMLV!$A$2:$B$55,2,FALSE),0)</f>
        <v>0</v>
      </c>
      <c r="J39" s="106"/>
      <c r="K39" s="105">
        <f t="shared" ref="K39:K41" si="6">IF(AND(E39&gt;=$F$6,H39&gt;0),H39/I39*J39,0)</f>
        <v>0</v>
      </c>
      <c r="L39" s="211"/>
      <c r="M39" s="239"/>
      <c r="N39" s="287"/>
      <c r="O39" s="212"/>
      <c r="P39" s="221"/>
      <c r="Q39" s="85"/>
      <c r="R39" s="107">
        <f>IF(C39=$R$37,K39,0)</f>
        <v>0</v>
      </c>
      <c r="S39" s="107"/>
      <c r="T39" s="107"/>
    </row>
    <row r="40" spans="1:25" ht="25.5" hidden="1">
      <c r="A40" s="300"/>
      <c r="B40" s="187"/>
      <c r="C40" s="207" t="s">
        <v>165</v>
      </c>
      <c r="D40" s="150"/>
      <c r="E40" s="209"/>
      <c r="F40" s="91" t="s">
        <v>127</v>
      </c>
      <c r="G40" s="103" t="s">
        <v>127</v>
      </c>
      <c r="H40" s="104"/>
      <c r="I40" s="105">
        <f>IF(E40&gt;0,VLOOKUP(YEAR(E40),SMMLV!$A$2:$B$55,2,FALSE),0)</f>
        <v>0</v>
      </c>
      <c r="J40" s="106"/>
      <c r="K40" s="105">
        <f t="shared" si="6"/>
        <v>0</v>
      </c>
      <c r="L40" s="211"/>
      <c r="M40" s="239"/>
      <c r="N40" s="287"/>
      <c r="O40" s="212"/>
      <c r="P40" s="221"/>
      <c r="Q40" s="85"/>
      <c r="R40" s="107"/>
      <c r="S40" s="107"/>
      <c r="T40" s="107"/>
    </row>
    <row r="41" spans="1:25" ht="25.5" hidden="1">
      <c r="A41" s="300"/>
      <c r="B41" s="99"/>
      <c r="C41" s="207" t="s">
        <v>165</v>
      </c>
      <c r="D41" s="148"/>
      <c r="E41" s="209"/>
      <c r="F41" s="91" t="s">
        <v>127</v>
      </c>
      <c r="G41" s="103" t="s">
        <v>127</v>
      </c>
      <c r="H41" s="104"/>
      <c r="I41" s="105">
        <f>IF(E41&gt;0,VLOOKUP(YEAR(E41),SMMLV!$A$2:$B$55,2,FALSE),0)</f>
        <v>0</v>
      </c>
      <c r="J41" s="106"/>
      <c r="K41" s="105">
        <f t="shared" si="6"/>
        <v>0</v>
      </c>
      <c r="L41" s="211"/>
      <c r="M41" s="239"/>
      <c r="N41" s="287"/>
      <c r="O41" s="212"/>
      <c r="P41" s="221"/>
      <c r="Q41" s="85"/>
      <c r="R41" s="107">
        <f>IF(C41=$R$37,K41,0)</f>
        <v>0</v>
      </c>
      <c r="S41" s="107">
        <f t="shared" si="5"/>
        <v>0</v>
      </c>
      <c r="T41" s="107">
        <f>IF(C41=$T$37,K41,0)</f>
        <v>0</v>
      </c>
    </row>
    <row r="42" spans="1:25" ht="25.5" hidden="1">
      <c r="A42" s="301"/>
      <c r="B42" s="99"/>
      <c r="C42" s="207" t="s">
        <v>165</v>
      </c>
      <c r="D42" s="150"/>
      <c r="E42" s="209"/>
      <c r="F42" s="91" t="s">
        <v>127</v>
      </c>
      <c r="G42" s="103" t="s">
        <v>127</v>
      </c>
      <c r="H42" s="104"/>
      <c r="I42" s="105">
        <f>IF(E42&gt;0,VLOOKUP(YEAR(E42),SMMLV!$A$2:$B$55,2,FALSE),0)</f>
        <v>0</v>
      </c>
      <c r="J42" s="106"/>
      <c r="K42" s="105">
        <f t="shared" ref="K42" si="7">IF(AND(E42&gt;=$F$6,H42&gt;0),H42/I42*J42,0)</f>
        <v>0</v>
      </c>
      <c r="L42" s="211"/>
      <c r="M42" s="239"/>
      <c r="N42" s="288"/>
      <c r="O42" s="212"/>
      <c r="P42" s="221"/>
      <c r="Q42" s="85"/>
      <c r="R42" s="107">
        <f>IF(C42=$R$37,K42,0)</f>
        <v>0</v>
      </c>
      <c r="S42" s="107">
        <f t="shared" si="5"/>
        <v>0</v>
      </c>
      <c r="T42" s="107">
        <f>IF(C42=$T$37,K42,0)</f>
        <v>0</v>
      </c>
    </row>
    <row r="43" spans="1:25">
      <c r="A43" s="289"/>
      <c r="B43" s="289"/>
      <c r="C43" s="289"/>
      <c r="D43" s="289"/>
      <c r="E43" s="289"/>
      <c r="F43" s="289"/>
      <c r="G43" s="289"/>
      <c r="H43" s="289"/>
      <c r="I43" s="289"/>
      <c r="J43" s="96"/>
      <c r="K43" s="109">
        <f>SUM(K38:K42)</f>
        <v>1449.0723521825444</v>
      </c>
      <c r="L43" s="109"/>
      <c r="M43" s="109"/>
      <c r="N43" s="109"/>
      <c r="O43" s="90"/>
      <c r="P43" s="217"/>
      <c r="R43" s="107">
        <f>SUM(R38:R42)</f>
        <v>1449.0723521825444</v>
      </c>
      <c r="S43" s="107">
        <f>SUM(S38:S42)</f>
        <v>0</v>
      </c>
      <c r="T43" s="107">
        <f>SUM(T38:T42)</f>
        <v>0</v>
      </c>
      <c r="U43" s="110">
        <f>MAX(R43:T43)</f>
        <v>1449.0723521825444</v>
      </c>
    </row>
    <row r="44" spans="1:25" ht="14.25" customHeight="1">
      <c r="H44" s="89"/>
      <c r="I44" s="89"/>
      <c r="J44" s="89"/>
      <c r="K44" s="111" t="str">
        <f>IF(AND(K43&gt;=$G$6,F45&gt;0),"CUMPLE", "NO CUMPLE ")</f>
        <v>CUMPLE</v>
      </c>
      <c r="R44" s="94"/>
    </row>
    <row r="45" spans="1:25">
      <c r="D45" s="112" t="str">
        <f>VLOOKUP(B36,Directorio!$A$4:$V$23,14,FALSE)</f>
        <v>COMERCIALIZADORA COMSILA SAS</v>
      </c>
      <c r="E45" s="113">
        <f>VLOOKUP(B36,Directorio!$A$4:$V$23,15,FALSE)</f>
        <v>1</v>
      </c>
      <c r="F45" s="114">
        <f>R43</f>
        <v>1449.0723521825444</v>
      </c>
      <c r="G45" s="138" t="str">
        <f>IF(F45&gt;0,IF(F45=$K$43,IF(E45&gt;=0.51,"Vo.Bo.","No Vo.Bo."),IF(F45=U$43,IF(E45&gt;=0.34,"Vo.Bo.","No Vo.Bo."),"")),"")</f>
        <v>Vo.Bo.</v>
      </c>
      <c r="R45" s="94"/>
    </row>
    <row r="46" spans="1:25">
      <c r="D46" s="112">
        <f>VLOOKUP(B36,Directorio!$A$4:$V$23,17,FALSE)</f>
        <v>0</v>
      </c>
      <c r="E46" s="113">
        <f>VLOOKUP(B36,Directorio!$A$4:$V$23,18,FALSE)</f>
        <v>0</v>
      </c>
      <c r="F46" s="114">
        <f>S43</f>
        <v>0</v>
      </c>
      <c r="G46" s="138" t="str">
        <f>IF(F46&gt;0,IF(F46=$K$43,IF(E46&gt;=0.51,"Vo.Bo.","No Vo.Bo."),IF(F46=U$43,IF(E46&gt;=0.34,"Vo.Bo.","No Vo.Bo."),"")),"")</f>
        <v/>
      </c>
      <c r="L46" s="214"/>
      <c r="R46" s="94"/>
    </row>
    <row r="47" spans="1:25">
      <c r="D47" s="112">
        <f>VLOOKUP(B36,Directorio!$A$4:$V$23,20,FALSE)</f>
        <v>0</v>
      </c>
      <c r="E47" s="113">
        <f>VLOOKUP(B36,Directorio!$A$4:$V$23,21,FALSE)</f>
        <v>0</v>
      </c>
      <c r="F47" s="114">
        <f>T43</f>
        <v>0</v>
      </c>
      <c r="G47" s="138" t="str">
        <f>IF(F47&gt;0,IF(F47=$K$43,IF(E47&gt;=0.51,"Vo.Bo.","No Vo.Bo."),IF(F47=U$43,IF(E47&gt;=0.34,"Vo.Bo.","No Vo.Bo."),"")),"")</f>
        <v/>
      </c>
      <c r="L47" s="214"/>
      <c r="R47" s="94"/>
    </row>
    <row r="48" spans="1:25" hidden="1">
      <c r="D48" s="115"/>
      <c r="E48" s="174"/>
      <c r="F48" s="175"/>
      <c r="G48" s="116">
        <f>COUNTIF(G45:G47,"Vo.Bo.")</f>
        <v>1</v>
      </c>
      <c r="R48" s="94"/>
    </row>
    <row r="49" spans="1:21" ht="38.25" hidden="1" customHeight="1">
      <c r="A49" s="290" t="s">
        <v>128</v>
      </c>
      <c r="B49" s="291"/>
      <c r="C49" s="291"/>
      <c r="D49" s="291"/>
      <c r="E49" s="291"/>
      <c r="F49" s="291"/>
      <c r="G49" s="291"/>
      <c r="H49" s="291"/>
      <c r="I49" s="291"/>
      <c r="J49" s="291"/>
      <c r="K49" s="291"/>
      <c r="L49" s="291"/>
      <c r="M49" s="291"/>
      <c r="N49" s="291"/>
      <c r="O49" s="292"/>
      <c r="P49" s="185"/>
      <c r="Q49" s="85"/>
      <c r="R49" s="107" t="e">
        <f>IF(C49=#REF!,K49,0)</f>
        <v>#REF!</v>
      </c>
      <c r="S49" s="107" t="e">
        <f>IF(C49=#REF!,K49,0)</f>
        <v>#REF!</v>
      </c>
      <c r="T49" s="107" t="e">
        <f>IF(C49=#REF!,K49,0)</f>
        <v>#REF!</v>
      </c>
    </row>
    <row r="50" spans="1:21" hidden="1">
      <c r="A50" s="173"/>
      <c r="B50" s="172"/>
      <c r="C50" s="101"/>
      <c r="D50" s="45"/>
      <c r="E50" s="102"/>
      <c r="F50" s="91" t="s">
        <v>127</v>
      </c>
      <c r="G50" s="103" t="s">
        <v>127</v>
      </c>
      <c r="H50" s="104"/>
      <c r="I50" s="105">
        <f>IF(E50&gt;0,VLOOKUP(YEAR(E50),SMMLV!$A$6:$B$55,2,FALSE),0)</f>
        <v>0</v>
      </c>
      <c r="J50" s="106"/>
      <c r="K50" s="105">
        <f t="shared" ref="K50:K55" si="8">IF(AND(E50&gt;=$F$6,H50&gt;0),H50/I50*J50,0)</f>
        <v>0</v>
      </c>
      <c r="L50" s="105"/>
      <c r="M50" s="105"/>
      <c r="N50" s="105"/>
      <c r="O50" s="189" t="s">
        <v>146</v>
      </c>
      <c r="P50" s="230"/>
      <c r="Q50" s="85"/>
      <c r="R50" s="107" t="e">
        <f>IF(C50=#REF!,K50,0)</f>
        <v>#REF!</v>
      </c>
      <c r="S50" s="107" t="e">
        <f>IF(C50=#REF!,K50,0)</f>
        <v>#REF!</v>
      </c>
      <c r="T50" s="107" t="e">
        <f>IF(C50=#REF!,K50,0)</f>
        <v>#REF!</v>
      </c>
    </row>
    <row r="51" spans="1:21" hidden="1">
      <c r="A51" s="173"/>
      <c r="B51" s="172"/>
      <c r="C51" s="101"/>
      <c r="D51" s="45"/>
      <c r="E51" s="102"/>
      <c r="F51" s="91" t="s">
        <v>127</v>
      </c>
      <c r="G51" s="103" t="s">
        <v>127</v>
      </c>
      <c r="H51" s="104"/>
      <c r="I51" s="105">
        <f>IF(E51&gt;0,VLOOKUP(YEAR(E51),SMMLV!$A$6:$B$55,2,FALSE),0)</f>
        <v>0</v>
      </c>
      <c r="J51" s="106"/>
      <c r="K51" s="105">
        <f t="shared" si="8"/>
        <v>0</v>
      </c>
      <c r="L51" s="105"/>
      <c r="M51" s="105"/>
      <c r="N51" s="105"/>
      <c r="O51" s="4"/>
      <c r="P51" s="223"/>
      <c r="Q51" s="85"/>
      <c r="R51" s="107" t="e">
        <f>IF(C51=#REF!,K51,0)</f>
        <v>#REF!</v>
      </c>
      <c r="S51" s="107" t="e">
        <f>IF(C51=#REF!,K51,0)</f>
        <v>#REF!</v>
      </c>
      <c r="T51" s="107" t="e">
        <f>IF(C51=#REF!,K51,0)</f>
        <v>#REF!</v>
      </c>
    </row>
    <row r="52" spans="1:21" hidden="1">
      <c r="A52" s="173"/>
      <c r="B52" s="172"/>
      <c r="C52" s="101"/>
      <c r="D52" s="45"/>
      <c r="E52" s="102"/>
      <c r="F52" s="91" t="s">
        <v>127</v>
      </c>
      <c r="G52" s="103" t="s">
        <v>127</v>
      </c>
      <c r="H52" s="104"/>
      <c r="I52" s="105">
        <f>IF(E52&gt;0,VLOOKUP(YEAR(E52),SMMLV!$A$9:$B$55,2,FALSE),0)</f>
        <v>0</v>
      </c>
      <c r="J52" s="106"/>
      <c r="K52" s="105">
        <f t="shared" si="8"/>
        <v>0</v>
      </c>
      <c r="L52" s="105"/>
      <c r="M52" s="105"/>
      <c r="N52" s="105"/>
      <c r="O52" s="44"/>
      <c r="P52" s="225"/>
      <c r="Q52" s="85"/>
      <c r="R52" s="107" t="e">
        <f>IF(C52=#REF!,K52,0)</f>
        <v>#REF!</v>
      </c>
      <c r="S52" s="107" t="e">
        <f>IF(C52=#REF!,K52,0)</f>
        <v>#REF!</v>
      </c>
      <c r="T52" s="107" t="e">
        <f>IF(C52=#REF!,K52,0)</f>
        <v>#REF!</v>
      </c>
    </row>
    <row r="53" spans="1:21" hidden="1">
      <c r="A53" s="173"/>
      <c r="B53" s="172"/>
      <c r="C53" s="101"/>
      <c r="D53" s="45"/>
      <c r="E53" s="102"/>
      <c r="F53" s="91"/>
      <c r="G53" s="103"/>
      <c r="H53" s="104"/>
      <c r="I53" s="105">
        <f>IF(E53&gt;0,VLOOKUP(YEAR(E53),SMMLV!$A$9:$B$55,2,FALSE),0)</f>
        <v>0</v>
      </c>
      <c r="J53" s="106"/>
      <c r="K53" s="105">
        <f t="shared" si="8"/>
        <v>0</v>
      </c>
      <c r="L53" s="105"/>
      <c r="M53" s="105"/>
      <c r="N53" s="105"/>
      <c r="O53" s="44"/>
      <c r="P53" s="225"/>
      <c r="Q53" s="85"/>
      <c r="R53" s="107" t="e">
        <f>IF(C53=#REF!,K53,0)</f>
        <v>#REF!</v>
      </c>
      <c r="S53" s="107" t="e">
        <f>IF(C53=#REF!,K53,0)</f>
        <v>#REF!</v>
      </c>
      <c r="T53" s="107" t="e">
        <f>IF(C53=#REF!,K53,0)</f>
        <v>#REF!</v>
      </c>
    </row>
    <row r="54" spans="1:21" hidden="1">
      <c r="A54" s="173"/>
      <c r="B54" s="172"/>
      <c r="C54" s="101"/>
      <c r="D54" s="45"/>
      <c r="E54" s="102"/>
      <c r="F54" s="91"/>
      <c r="G54" s="103"/>
      <c r="H54" s="104"/>
      <c r="I54" s="105">
        <f>IF(E54&gt;0,VLOOKUP(YEAR(E54),SMMLV!$A$9:$B$55,2,FALSE),0)</f>
        <v>0</v>
      </c>
      <c r="J54" s="106"/>
      <c r="K54" s="105">
        <f t="shared" si="8"/>
        <v>0</v>
      </c>
      <c r="L54" s="105"/>
      <c r="M54" s="105"/>
      <c r="N54" s="105"/>
      <c r="O54" s="44"/>
      <c r="P54" s="225"/>
      <c r="Q54" s="85"/>
      <c r="R54" s="107" t="e">
        <f>IF(C54=#REF!,K54,0)</f>
        <v>#REF!</v>
      </c>
      <c r="S54" s="107" t="e">
        <f>IF(C54=#REF!,K54,0)</f>
        <v>#REF!</v>
      </c>
      <c r="T54" s="107" t="e">
        <f>IF(C54=#REF!,K54,0)</f>
        <v>#REF!</v>
      </c>
    </row>
    <row r="55" spans="1:21" hidden="1">
      <c r="A55" s="173"/>
      <c r="B55" s="172"/>
      <c r="C55" s="101"/>
      <c r="D55" s="45"/>
      <c r="E55" s="102"/>
      <c r="F55" s="91"/>
      <c r="G55" s="103"/>
      <c r="H55" s="104"/>
      <c r="I55" s="105">
        <f>IF(E55&gt;0,VLOOKUP(YEAR(E55),SMMLV!$A$9:$B$55,2,FALSE),0)</f>
        <v>0</v>
      </c>
      <c r="J55" s="106"/>
      <c r="K55" s="105">
        <f t="shared" si="8"/>
        <v>0</v>
      </c>
      <c r="L55" s="105"/>
      <c r="M55" s="105"/>
      <c r="N55" s="105"/>
      <c r="O55" s="44"/>
      <c r="P55" s="225"/>
      <c r="Q55" s="85"/>
      <c r="R55" s="107" t="e">
        <f>IF(C55=#REF!,K55,0)</f>
        <v>#REF!</v>
      </c>
      <c r="S55" s="107" t="e">
        <f>IF(C55=#REF!,K55,0)</f>
        <v>#REF!</v>
      </c>
      <c r="T55" s="107" t="e">
        <f>IF(C55=#REF!,K55,0)</f>
        <v>#REF!</v>
      </c>
    </row>
    <row r="56" spans="1:21" hidden="1">
      <c r="A56" s="289"/>
      <c r="B56" s="289"/>
      <c r="C56" s="289"/>
      <c r="D56" s="289"/>
      <c r="E56" s="289"/>
      <c r="F56" s="289"/>
      <c r="G56" s="289"/>
      <c r="H56" s="289"/>
      <c r="I56" s="289"/>
      <c r="J56" s="164"/>
      <c r="K56" s="109">
        <f>SUM(K50:K55)</f>
        <v>0</v>
      </c>
      <c r="L56" s="109"/>
      <c r="M56" s="109"/>
      <c r="N56" s="109"/>
      <c r="O56" s="90"/>
      <c r="P56" s="217"/>
      <c r="R56" s="107" t="e">
        <f>SUM(R43:R55)</f>
        <v>#REF!</v>
      </c>
      <c r="S56" s="107" t="e">
        <f>SUM(S43:S55)</f>
        <v>#REF!</v>
      </c>
      <c r="T56" s="107" t="e">
        <f>SUM(T43:T55)</f>
        <v>#REF!</v>
      </c>
      <c r="U56" s="110" t="e">
        <f>MAX(R56:T56)</f>
        <v>#REF!</v>
      </c>
    </row>
    <row r="57" spans="1:21" hidden="1">
      <c r="H57" s="89"/>
      <c r="I57" s="89"/>
      <c r="J57" s="89"/>
      <c r="K57" s="111" t="str">
        <f>IF(AND(K56&gt;=$G$6,G47&gt;0),"CUMPLE", "NO CUMPLE ")</f>
        <v xml:space="preserve">NO CUMPLE </v>
      </c>
      <c r="L57" s="202"/>
      <c r="M57" s="202"/>
      <c r="N57" s="202"/>
      <c r="R57" s="94"/>
    </row>
    <row r="58" spans="1:21" hidden="1">
      <c r="D58" s="85"/>
      <c r="E58" s="85"/>
      <c r="F58" s="85"/>
      <c r="G58" s="85"/>
      <c r="H58" s="85"/>
      <c r="R58" s="94"/>
    </row>
    <row r="59" spans="1:21" hidden="1">
      <c r="D59" s="85"/>
      <c r="E59" s="85"/>
      <c r="F59" s="85"/>
      <c r="G59" s="85"/>
      <c r="H59" s="85"/>
      <c r="K59" s="157" t="str">
        <f>IF(AND(K56&gt;=$V$10,K56&lt;=$W$10,K56&gt;0),"CUMPLE", "NO CUMPLE ")</f>
        <v xml:space="preserve">NO CUMPLE </v>
      </c>
      <c r="L59" s="157"/>
      <c r="M59" s="157"/>
      <c r="N59" s="157"/>
      <c r="O59" s="158" t="s">
        <v>141</v>
      </c>
      <c r="P59" s="226"/>
      <c r="R59" s="94"/>
    </row>
    <row r="60" spans="1:21" hidden="1">
      <c r="D60" s="85"/>
      <c r="E60" s="85"/>
      <c r="F60" s="85"/>
      <c r="G60" s="85"/>
      <c r="H60" s="85"/>
      <c r="K60" s="161" t="str">
        <f>IF(AND(K56&gt;=$W$10,K56&lt;=$X$10,K56&gt;0),"CUMPLE", "NO CUMPLE ")</f>
        <v xml:space="preserve">NO CUMPLE </v>
      </c>
      <c r="L60" s="161"/>
      <c r="M60" s="161"/>
      <c r="N60" s="161"/>
      <c r="O60" s="159" t="s">
        <v>142</v>
      </c>
      <c r="P60" s="227"/>
      <c r="R60" s="94"/>
    </row>
    <row r="61" spans="1:21" hidden="1">
      <c r="C61" s="115"/>
      <c r="D61" s="85"/>
      <c r="E61" s="85"/>
      <c r="F61" s="85"/>
      <c r="G61" s="85"/>
      <c r="H61" s="85"/>
      <c r="K61" s="183" t="str">
        <f>IF(AND(K57&gt;=$X$10,K57&lt;=$Y$10,K57&gt;0),"CUMPLE", "NO CUMPLE ")</f>
        <v xml:space="preserve">NO CUMPLE </v>
      </c>
      <c r="L61" s="183"/>
      <c r="M61" s="183"/>
      <c r="N61" s="183"/>
      <c r="O61" s="184" t="s">
        <v>143</v>
      </c>
      <c r="P61" s="228"/>
      <c r="R61" s="94"/>
    </row>
    <row r="62" spans="1:21" hidden="1">
      <c r="D62" s="115"/>
      <c r="E62" s="174"/>
      <c r="F62" s="175"/>
      <c r="G62" s="138"/>
      <c r="K62" s="156" t="str">
        <f>IF(AND(K56&gt;=$Y$10,K56&gt;0),"CUMPLE", "NO CUMPLE ")</f>
        <v xml:space="preserve">NO CUMPLE </v>
      </c>
      <c r="L62" s="156"/>
      <c r="M62" s="156"/>
      <c r="N62" s="156"/>
      <c r="O62" s="160" t="s">
        <v>144</v>
      </c>
      <c r="P62" s="229"/>
      <c r="R62" s="94"/>
    </row>
    <row r="63" spans="1:21" hidden="1">
      <c r="D63" s="115"/>
      <c r="E63" s="174"/>
      <c r="F63" s="175"/>
      <c r="G63" s="138"/>
      <c r="R63" s="94"/>
    </row>
    <row r="64" spans="1:21" ht="12" hidden="1" customHeight="1">
      <c r="A64" s="185"/>
      <c r="B64" s="185"/>
      <c r="C64" s="185"/>
      <c r="D64" s="185"/>
      <c r="E64" s="185"/>
      <c r="F64" s="185"/>
      <c r="G64" s="185"/>
      <c r="H64" s="185"/>
      <c r="I64" s="185"/>
      <c r="J64" s="185"/>
      <c r="K64" s="185"/>
      <c r="L64" s="185"/>
      <c r="M64" s="185"/>
      <c r="N64" s="185"/>
      <c r="O64" s="185"/>
      <c r="P64" s="185"/>
      <c r="Q64" s="85"/>
      <c r="R64" s="107"/>
      <c r="S64" s="107"/>
      <c r="T64" s="107"/>
    </row>
    <row r="65" spans="1:21" ht="38.25" hidden="1" customHeight="1">
      <c r="A65" s="290" t="s">
        <v>128</v>
      </c>
      <c r="B65" s="291"/>
      <c r="C65" s="291"/>
      <c r="D65" s="291"/>
      <c r="E65" s="291"/>
      <c r="F65" s="291"/>
      <c r="G65" s="291"/>
      <c r="H65" s="291"/>
      <c r="I65" s="291"/>
      <c r="J65" s="291"/>
      <c r="K65" s="291"/>
      <c r="L65" s="291"/>
      <c r="M65" s="291"/>
      <c r="N65" s="291"/>
      <c r="O65" s="292"/>
      <c r="P65" s="185"/>
      <c r="Q65" s="85"/>
      <c r="R65" s="107" t="e">
        <f>IF(C65=#REF!,K65,0)</f>
        <v>#REF!</v>
      </c>
      <c r="S65" s="107" t="e">
        <f>IF(C65=#REF!,K65,0)</f>
        <v>#REF!</v>
      </c>
      <c r="T65" s="107" t="e">
        <f>IF(C65=#REF!,K65,0)</f>
        <v>#REF!</v>
      </c>
    </row>
    <row r="66" spans="1:21" hidden="1">
      <c r="A66" s="108"/>
      <c r="B66" s="99"/>
      <c r="C66" s="101"/>
      <c r="D66" s="148"/>
      <c r="E66" s="102"/>
      <c r="F66" s="91" t="s">
        <v>127</v>
      </c>
      <c r="G66" s="91" t="s">
        <v>127</v>
      </c>
      <c r="H66" s="104"/>
      <c r="I66" s="105">
        <f>IF(E66&gt;0,VLOOKUP(YEAR(E66),SMMLV!$A$6:$B$55,2,FALSE),0)</f>
        <v>0</v>
      </c>
      <c r="J66" s="106"/>
      <c r="K66" s="105">
        <f t="shared" ref="K66:K71" si="9">IF(AND(E66&gt;=$F$6,H66&gt;0),H66/I66*J66,0)</f>
        <v>0</v>
      </c>
      <c r="L66" s="105"/>
      <c r="M66" s="105"/>
      <c r="N66" s="105"/>
      <c r="O66" s="44"/>
      <c r="P66" s="225"/>
      <c r="Q66" s="85"/>
      <c r="R66" s="107" t="e">
        <f>IF(C66=#REF!,K66,0)</f>
        <v>#REF!</v>
      </c>
      <c r="S66" s="107" t="e">
        <f>IF(C66=#REF!,K66,0)</f>
        <v>#REF!</v>
      </c>
      <c r="T66" s="107" t="e">
        <f>IF(C66=#REF!,K66,0)</f>
        <v>#REF!</v>
      </c>
    </row>
    <row r="67" spans="1:21" hidden="1">
      <c r="A67" s="108"/>
      <c r="B67" s="99"/>
      <c r="C67" s="101"/>
      <c r="D67" s="45"/>
      <c r="E67" s="102"/>
      <c r="F67" s="91" t="s">
        <v>127</v>
      </c>
      <c r="G67" s="91" t="s">
        <v>127</v>
      </c>
      <c r="H67" s="104"/>
      <c r="I67" s="105">
        <f>IF(E67&gt;0,VLOOKUP(YEAR(E67),SMMLV!$A$6:$B$55,2,FALSE),0)</f>
        <v>0</v>
      </c>
      <c r="J67" s="106"/>
      <c r="K67" s="105">
        <f t="shared" si="9"/>
        <v>0</v>
      </c>
      <c r="L67" s="105"/>
      <c r="M67" s="105"/>
      <c r="N67" s="105"/>
      <c r="O67" s="4"/>
      <c r="P67" s="223"/>
      <c r="Q67" s="85"/>
      <c r="R67" s="107" t="e">
        <f>IF(C67=#REF!,K67,0)</f>
        <v>#REF!</v>
      </c>
      <c r="S67" s="107" t="e">
        <f>IF(C67=#REF!,K67,0)</f>
        <v>#REF!</v>
      </c>
      <c r="T67" s="107" t="e">
        <f>IF(C67=#REF!,K67,0)</f>
        <v>#REF!</v>
      </c>
    </row>
    <row r="68" spans="1:21" hidden="1">
      <c r="A68" s="108"/>
      <c r="B68" s="99"/>
      <c r="C68" s="101"/>
      <c r="D68" s="45"/>
      <c r="E68" s="102"/>
      <c r="F68" s="91" t="s">
        <v>127</v>
      </c>
      <c r="G68" s="91" t="s">
        <v>127</v>
      </c>
      <c r="H68" s="104"/>
      <c r="I68" s="105">
        <f>IF(E68&gt;0,VLOOKUP(YEAR(E68),SMMLV!$A$9:$B$55,2,FALSE),0)</f>
        <v>0</v>
      </c>
      <c r="J68" s="106"/>
      <c r="K68" s="105">
        <f t="shared" si="9"/>
        <v>0</v>
      </c>
      <c r="L68" s="105"/>
      <c r="M68" s="105"/>
      <c r="N68" s="105"/>
      <c r="O68" s="44"/>
      <c r="P68" s="225"/>
      <c r="Q68" s="85"/>
      <c r="R68" s="107" t="e">
        <f>IF(C68=#REF!,K68,0)</f>
        <v>#REF!</v>
      </c>
      <c r="S68" s="107" t="e">
        <f>IF(C68=#REF!,K68,0)</f>
        <v>#REF!</v>
      </c>
      <c r="T68" s="107" t="e">
        <f>IF(C68=#REF!,K68,0)</f>
        <v>#REF!</v>
      </c>
    </row>
    <row r="69" spans="1:21" hidden="1">
      <c r="A69" s="108"/>
      <c r="B69" s="99"/>
      <c r="C69" s="101"/>
      <c r="D69" s="45"/>
      <c r="E69" s="102"/>
      <c r="F69" s="91"/>
      <c r="G69" s="103"/>
      <c r="H69" s="104"/>
      <c r="I69" s="105">
        <f>IF(E69&gt;0,VLOOKUP(YEAR(E69),SMMLV!$A$9:$B$55,2,FALSE),0)</f>
        <v>0</v>
      </c>
      <c r="J69" s="106"/>
      <c r="K69" s="105">
        <f t="shared" si="9"/>
        <v>0</v>
      </c>
      <c r="L69" s="105"/>
      <c r="M69" s="105"/>
      <c r="N69" s="105"/>
      <c r="O69" s="44"/>
      <c r="P69" s="225"/>
      <c r="Q69" s="85"/>
      <c r="R69" s="107" t="e">
        <f>IF(C69=#REF!,K69,0)</f>
        <v>#REF!</v>
      </c>
      <c r="S69" s="107" t="e">
        <f>IF(C69=#REF!,K69,0)</f>
        <v>#REF!</v>
      </c>
      <c r="T69" s="107" t="e">
        <f>IF(C69=#REF!,K69,0)</f>
        <v>#REF!</v>
      </c>
    </row>
    <row r="70" spans="1:21" hidden="1">
      <c r="A70" s="108"/>
      <c r="B70" s="99"/>
      <c r="C70" s="101"/>
      <c r="D70" s="45"/>
      <c r="E70" s="102"/>
      <c r="F70" s="91"/>
      <c r="G70" s="103"/>
      <c r="H70" s="104"/>
      <c r="I70" s="105">
        <f>IF(E70&gt;0,VLOOKUP(YEAR(E70),SMMLV!$A$9:$B$55,2,FALSE),0)</f>
        <v>0</v>
      </c>
      <c r="J70" s="106"/>
      <c r="K70" s="105">
        <f t="shared" si="9"/>
        <v>0</v>
      </c>
      <c r="L70" s="105"/>
      <c r="M70" s="105"/>
      <c r="N70" s="105"/>
      <c r="O70" s="44"/>
      <c r="P70" s="225"/>
      <c r="Q70" s="85"/>
      <c r="R70" s="107" t="e">
        <f>IF(C70=#REF!,K70,0)</f>
        <v>#REF!</v>
      </c>
      <c r="S70" s="107" t="e">
        <f>IF(C70=#REF!,K70,0)</f>
        <v>#REF!</v>
      </c>
      <c r="T70" s="107" t="e">
        <f>IF(C70=#REF!,K70,0)</f>
        <v>#REF!</v>
      </c>
    </row>
    <row r="71" spans="1:21" hidden="1">
      <c r="A71" s="108"/>
      <c r="B71" s="99"/>
      <c r="C71" s="101"/>
      <c r="D71" s="45"/>
      <c r="E71" s="102"/>
      <c r="F71" s="91"/>
      <c r="G71" s="103"/>
      <c r="H71" s="104"/>
      <c r="I71" s="105">
        <f>IF(E71&gt;0,VLOOKUP(YEAR(E71),SMMLV!$A$9:$B$55,2,FALSE),0)</f>
        <v>0</v>
      </c>
      <c r="J71" s="106"/>
      <c r="K71" s="105">
        <f t="shared" si="9"/>
        <v>0</v>
      </c>
      <c r="L71" s="105"/>
      <c r="M71" s="105"/>
      <c r="N71" s="105"/>
      <c r="O71" s="44"/>
      <c r="P71" s="225"/>
      <c r="Q71" s="85"/>
      <c r="R71" s="107" t="e">
        <f>IF(C71=#REF!,K71,0)</f>
        <v>#REF!</v>
      </c>
      <c r="S71" s="107" t="e">
        <f>IF(C71=#REF!,K71,0)</f>
        <v>#REF!</v>
      </c>
      <c r="T71" s="107" t="e">
        <f>IF(C71=#REF!,K71,0)</f>
        <v>#REF!</v>
      </c>
    </row>
    <row r="72" spans="1:21" hidden="1">
      <c r="A72" s="289"/>
      <c r="B72" s="289"/>
      <c r="C72" s="289"/>
      <c r="D72" s="289"/>
      <c r="E72" s="289"/>
      <c r="F72" s="289"/>
      <c r="G72" s="289"/>
      <c r="H72" s="289"/>
      <c r="I72" s="289"/>
      <c r="J72" s="96"/>
      <c r="K72" s="109">
        <f>SUM(K66:K71)</f>
        <v>0</v>
      </c>
      <c r="L72" s="109"/>
      <c r="M72" s="109"/>
      <c r="N72" s="109"/>
      <c r="O72" s="90"/>
      <c r="P72" s="217"/>
      <c r="R72" s="107" t="e">
        <f>SUM(R64:R71)</f>
        <v>#REF!</v>
      </c>
      <c r="S72" s="107" t="e">
        <f>SUM(S64:S71)</f>
        <v>#REF!</v>
      </c>
      <c r="T72" s="107" t="e">
        <f>SUM(T64:T71)</f>
        <v>#REF!</v>
      </c>
      <c r="U72" s="110" t="e">
        <f>MAX(R72:T72)</f>
        <v>#REF!</v>
      </c>
    </row>
    <row r="73" spans="1:21" hidden="1">
      <c r="H73" s="89"/>
      <c r="I73" s="89"/>
      <c r="J73" s="89"/>
      <c r="K73" s="111" t="e">
        <f>IF(AND(K72&gt;=$G$6,G78&gt;0),"CUMPLE", "NO CUMPLE ")</f>
        <v>#REF!</v>
      </c>
      <c r="L73" s="202"/>
      <c r="M73" s="202"/>
      <c r="N73" s="202"/>
      <c r="R73" s="94"/>
    </row>
    <row r="74" spans="1:21" hidden="1"/>
    <row r="75" spans="1:21" hidden="1">
      <c r="K75" s="157" t="str">
        <f>IF(AND(K72&gt;=$V$10,K72&lt;=$W$10,K72&gt;0),"CUMPLE", "NO CUMPLE ")</f>
        <v xml:space="preserve">NO CUMPLE </v>
      </c>
      <c r="L75" s="157"/>
      <c r="M75" s="157"/>
      <c r="N75" s="157"/>
      <c r="O75" s="158" t="s">
        <v>141</v>
      </c>
      <c r="P75" s="226"/>
    </row>
    <row r="76" spans="1:21" hidden="1">
      <c r="K76" s="161" t="str">
        <f>IF(AND(K72&gt;=$W$10,K72&lt;=$X$10,K72&gt;0),"CUMPLE", "NO CUMPLE ")</f>
        <v xml:space="preserve">NO CUMPLE </v>
      </c>
      <c r="L76" s="161"/>
      <c r="M76" s="161"/>
      <c r="N76" s="161"/>
      <c r="O76" s="159" t="s">
        <v>142</v>
      </c>
      <c r="P76" s="227"/>
    </row>
    <row r="77" spans="1:21" hidden="1">
      <c r="D77" s="115"/>
      <c r="E77" s="174"/>
      <c r="F77" s="175"/>
      <c r="G77" s="138"/>
      <c r="K77" s="183" t="e">
        <f>IF(AND(K73&gt;=$X$10,K73&lt;=$Y$10,K73&gt;0),"CUMPLE", "NO CUMPLE ")</f>
        <v>#REF!</v>
      </c>
      <c r="L77" s="183"/>
      <c r="M77" s="183"/>
      <c r="N77" s="183"/>
      <c r="O77" s="184" t="s">
        <v>143</v>
      </c>
      <c r="P77" s="228"/>
      <c r="R77" s="94"/>
    </row>
    <row r="78" spans="1:21" hidden="1">
      <c r="C78" s="115"/>
      <c r="G78" s="116" t="e">
        <f>COUNTIF(#REF!,"Vo.Bo.")</f>
        <v>#REF!</v>
      </c>
      <c r="K78" s="156" t="str">
        <f>IF(AND(K72&gt;=$Y$10,K72&gt;0),"CUMPLE", "NO CUMPLE ")</f>
        <v xml:space="preserve">NO CUMPLE </v>
      </c>
      <c r="L78" s="156"/>
      <c r="M78" s="156"/>
      <c r="N78" s="156"/>
      <c r="O78" s="160" t="s">
        <v>144</v>
      </c>
      <c r="P78" s="229"/>
      <c r="R78" s="94"/>
    </row>
    <row r="79" spans="1:21">
      <c r="C79" s="115"/>
      <c r="G79" s="116"/>
      <c r="R79" s="94"/>
    </row>
    <row r="80" spans="1:21" ht="22.5" customHeight="1">
      <c r="A80" s="192" t="s">
        <v>6</v>
      </c>
      <c r="B80" s="193">
        <f>+B36+1</f>
        <v>3</v>
      </c>
      <c r="C80" s="194" t="s">
        <v>122</v>
      </c>
      <c r="D80" s="295" t="str">
        <f>VLOOKUP(B80,Directorio!$A$4:$V$23,3,FALSE)</f>
        <v>4P PUBLICIDAD SAS</v>
      </c>
      <c r="E80" s="296"/>
      <c r="F80" s="296"/>
      <c r="G80" s="297"/>
      <c r="H80" s="298"/>
      <c r="I80" s="293" t="str">
        <f>VLOOKUP(B80,Directorio!$A$4:$V$23,4,FALSE)</f>
        <v>901.092.024-9</v>
      </c>
      <c r="J80" s="294"/>
      <c r="K80" s="294"/>
      <c r="L80" s="294"/>
      <c r="M80" s="294"/>
      <c r="N80" s="294"/>
      <c r="O80" s="294"/>
      <c r="P80" s="219"/>
      <c r="Q80" s="85"/>
      <c r="R80" s="94" t="s">
        <v>69</v>
      </c>
      <c r="S80" s="87" t="s">
        <v>70</v>
      </c>
      <c r="T80" s="87" t="s">
        <v>71</v>
      </c>
    </row>
    <row r="81" spans="1:21" ht="36.75" customHeight="1">
      <c r="A81" s="97" t="s">
        <v>5</v>
      </c>
      <c r="B81" s="97" t="s">
        <v>27</v>
      </c>
      <c r="C81" s="97" t="s">
        <v>36</v>
      </c>
      <c r="D81" s="97" t="s">
        <v>28</v>
      </c>
      <c r="E81" s="98" t="s">
        <v>29</v>
      </c>
      <c r="F81" s="97" t="s">
        <v>30</v>
      </c>
      <c r="G81" s="97" t="s">
        <v>31</v>
      </c>
      <c r="H81" s="97" t="s">
        <v>32</v>
      </c>
      <c r="I81" s="97" t="s">
        <v>33</v>
      </c>
      <c r="J81" s="97" t="s">
        <v>66</v>
      </c>
      <c r="K81" s="97" t="s">
        <v>34</v>
      </c>
      <c r="L81" s="97" t="s">
        <v>153</v>
      </c>
      <c r="M81" s="97" t="s">
        <v>145</v>
      </c>
      <c r="N81" s="97" t="s">
        <v>154</v>
      </c>
      <c r="O81" s="97" t="s">
        <v>35</v>
      </c>
      <c r="P81" s="217"/>
      <c r="Q81" s="85"/>
      <c r="R81" s="94" t="str">
        <f>D89</f>
        <v>4P PUBLICIDAD SAS</v>
      </c>
      <c r="S81" s="87">
        <f>D90</f>
        <v>0</v>
      </c>
      <c r="T81" s="87">
        <f>D91</f>
        <v>0</v>
      </c>
    </row>
    <row r="82" spans="1:21" ht="38.25" customHeight="1">
      <c r="A82" s="299" t="s">
        <v>160</v>
      </c>
      <c r="B82" s="100" t="s">
        <v>196</v>
      </c>
      <c r="C82" s="101" t="s">
        <v>192</v>
      </c>
      <c r="D82" s="45" t="s">
        <v>199</v>
      </c>
      <c r="E82" s="209"/>
      <c r="F82" s="91" t="s">
        <v>127</v>
      </c>
      <c r="G82" s="103" t="s">
        <v>127</v>
      </c>
      <c r="H82" s="104"/>
      <c r="I82" s="105">
        <f>IF(E82&gt;0,VLOOKUP(YEAR(E82),SMMLV!$A$2:$B$55,2,FALSE),0)</f>
        <v>0</v>
      </c>
      <c r="J82" s="106">
        <v>1</v>
      </c>
      <c r="K82" s="105">
        <f>IF(AND(E82&gt;=$F$6,H82&gt;0),H82/I82*J82,0)</f>
        <v>0</v>
      </c>
      <c r="L82" s="211"/>
      <c r="M82" s="239"/>
      <c r="N82" s="286" t="s">
        <v>163</v>
      </c>
      <c r="O82" s="283" t="s">
        <v>247</v>
      </c>
      <c r="P82" s="223"/>
      <c r="Q82" s="85"/>
      <c r="R82" s="107">
        <f t="shared" ref="R82:R86" si="10">IF(C82=$R$81,K82,0)</f>
        <v>0</v>
      </c>
      <c r="S82" s="107">
        <f t="shared" ref="S82:S86" si="11">IF(C82=$S$81,K82,0)</f>
        <v>0</v>
      </c>
      <c r="T82" s="107">
        <f t="shared" ref="T82:T86" si="12">IF(C82=$T$81,K82,0)</f>
        <v>0</v>
      </c>
    </row>
    <row r="83" spans="1:21" ht="38.25" customHeight="1">
      <c r="A83" s="300"/>
      <c r="B83" s="100" t="s">
        <v>197</v>
      </c>
      <c r="C83" s="101" t="s">
        <v>192</v>
      </c>
      <c r="D83" s="45" t="s">
        <v>200</v>
      </c>
      <c r="E83" s="209"/>
      <c r="F83" s="91" t="s">
        <v>127</v>
      </c>
      <c r="G83" s="103" t="s">
        <v>127</v>
      </c>
      <c r="H83" s="104"/>
      <c r="I83" s="105">
        <f>IF(E83&gt;0,VLOOKUP(YEAR(E83),SMMLV!$A$2:$B$55,2,FALSE),0)</f>
        <v>0</v>
      </c>
      <c r="J83" s="106">
        <v>1</v>
      </c>
      <c r="K83" s="105"/>
      <c r="L83" s="211"/>
      <c r="M83" s="168"/>
      <c r="N83" s="287"/>
      <c r="O83" s="284"/>
      <c r="P83" s="223"/>
      <c r="Q83" s="85"/>
      <c r="R83" s="107"/>
      <c r="S83" s="107"/>
      <c r="T83" s="107"/>
    </row>
    <row r="84" spans="1:21" ht="38.25" customHeight="1">
      <c r="A84" s="300"/>
      <c r="B84" s="100" t="s">
        <v>198</v>
      </c>
      <c r="C84" s="101" t="s">
        <v>192</v>
      </c>
      <c r="D84" s="45" t="s">
        <v>200</v>
      </c>
      <c r="E84" s="209"/>
      <c r="F84" s="91" t="s">
        <v>127</v>
      </c>
      <c r="G84" s="103" t="s">
        <v>127</v>
      </c>
      <c r="H84" s="104"/>
      <c r="I84" s="105">
        <f>IF(E84&gt;0,VLOOKUP(YEAR(E84),SMMLV!$A$2:$B$55,2,FALSE),0)</f>
        <v>0</v>
      </c>
      <c r="J84" s="106">
        <v>1</v>
      </c>
      <c r="K84" s="105"/>
      <c r="L84" s="211"/>
      <c r="M84" s="168"/>
      <c r="N84" s="287"/>
      <c r="O84" s="285"/>
      <c r="P84" s="223"/>
      <c r="Q84" s="85"/>
      <c r="R84" s="107"/>
      <c r="S84" s="107"/>
      <c r="T84" s="107"/>
    </row>
    <row r="85" spans="1:21" hidden="1">
      <c r="A85" s="300"/>
      <c r="B85" s="99"/>
      <c r="C85" s="101">
        <v>0</v>
      </c>
      <c r="D85" s="45"/>
      <c r="E85" s="209"/>
      <c r="F85" s="91" t="s">
        <v>127</v>
      </c>
      <c r="G85" s="103" t="s">
        <v>127</v>
      </c>
      <c r="H85" s="104"/>
      <c r="I85" s="105">
        <f>IF(E85&gt;0,VLOOKUP(YEAR(E85),SMMLV!$A$2:$B$55,2,FALSE),0)</f>
        <v>0</v>
      </c>
      <c r="J85" s="106">
        <v>1</v>
      </c>
      <c r="K85" s="105">
        <f t="shared" ref="K85:K86" si="13">IF(AND(E85&gt;=$F$6,H85&gt;0),H85/I85*J85,0)</f>
        <v>0</v>
      </c>
      <c r="L85" s="211"/>
      <c r="M85" s="168"/>
      <c r="N85" s="287"/>
      <c r="O85" s="4"/>
      <c r="P85" s="223"/>
      <c r="Q85" s="85"/>
      <c r="R85" s="107">
        <f t="shared" si="10"/>
        <v>0</v>
      </c>
      <c r="S85" s="107">
        <f t="shared" si="11"/>
        <v>0</v>
      </c>
      <c r="T85" s="107">
        <f t="shared" si="12"/>
        <v>0</v>
      </c>
    </row>
    <row r="86" spans="1:21" hidden="1">
      <c r="A86" s="301"/>
      <c r="B86" s="99"/>
      <c r="C86" s="101">
        <v>0</v>
      </c>
      <c r="D86" s="45"/>
      <c r="E86" s="209"/>
      <c r="F86" s="91" t="s">
        <v>127</v>
      </c>
      <c r="G86" s="103" t="s">
        <v>127</v>
      </c>
      <c r="H86" s="104"/>
      <c r="I86" s="105">
        <f>IF(E86&gt;0,VLOOKUP(YEAR(E86),SMMLV!$A$2:$B$55,2,FALSE),0)</f>
        <v>0</v>
      </c>
      <c r="J86" s="106">
        <v>1</v>
      </c>
      <c r="K86" s="105">
        <f t="shared" si="13"/>
        <v>0</v>
      </c>
      <c r="L86" s="211"/>
      <c r="M86" s="168"/>
      <c r="N86" s="288"/>
      <c r="O86" s="44"/>
      <c r="P86" s="225"/>
      <c r="Q86" s="85"/>
      <c r="R86" s="107">
        <f t="shared" si="10"/>
        <v>0</v>
      </c>
      <c r="S86" s="107">
        <f t="shared" si="11"/>
        <v>0</v>
      </c>
      <c r="T86" s="107">
        <f t="shared" si="12"/>
        <v>0</v>
      </c>
    </row>
    <row r="87" spans="1:21">
      <c r="A87" s="289"/>
      <c r="B87" s="289"/>
      <c r="C87" s="289"/>
      <c r="D87" s="289"/>
      <c r="E87" s="289"/>
      <c r="F87" s="289"/>
      <c r="G87" s="289"/>
      <c r="H87" s="289"/>
      <c r="I87" s="289"/>
      <c r="J87" s="96"/>
      <c r="K87" s="109">
        <f>SUM(K82:K86)</f>
        <v>0</v>
      </c>
      <c r="L87" s="109"/>
      <c r="M87" s="109"/>
      <c r="N87" s="109"/>
      <c r="O87" s="90"/>
      <c r="P87" s="217"/>
      <c r="R87" s="107">
        <f>SUM(R82:R86)</f>
        <v>0</v>
      </c>
      <c r="S87" s="107">
        <f>SUM(S82:S86)</f>
        <v>0</v>
      </c>
      <c r="T87" s="107">
        <f>SUM(T82:T86)</f>
        <v>0</v>
      </c>
      <c r="U87" s="110">
        <f>MAX(R87:T87)</f>
        <v>0</v>
      </c>
    </row>
    <row r="88" spans="1:21">
      <c r="H88" s="89"/>
      <c r="I88" s="89"/>
      <c r="J88" s="89"/>
      <c r="K88" s="111" t="str">
        <f>IF(AND(K87&gt;=$G$6,G92&gt;0),"CUMPLE", "NO CUMPLE ")</f>
        <v xml:space="preserve">NO CUMPLE </v>
      </c>
      <c r="L88" s="202"/>
      <c r="M88" s="202"/>
      <c r="N88" s="202"/>
      <c r="R88" s="94"/>
    </row>
    <row r="89" spans="1:21">
      <c r="D89" s="112" t="str">
        <f>VLOOKUP(B80,Directorio!$A$4:$V$23,14,FALSE)</f>
        <v>4P PUBLICIDAD SAS</v>
      </c>
      <c r="E89" s="113">
        <f>VLOOKUP(B80,Directorio!$A$4:$V$23,15,FALSE)</f>
        <v>1</v>
      </c>
      <c r="F89" s="114">
        <f>R87</f>
        <v>0</v>
      </c>
      <c r="G89" s="138" t="str">
        <f>IF(F89&gt;0,IF(F89=$K$87,IF(E89&gt;=0.51,"Vo.Bo.","No Vo.Bo."),IF(F89=U87,IF(E89&gt;=0.34,"Vo.Bo.","No Vo.Bo."),"")),"")</f>
        <v/>
      </c>
      <c r="R89" s="94"/>
    </row>
    <row r="90" spans="1:21">
      <c r="D90" s="112">
        <f>VLOOKUP(B80,Directorio!$A$4:$V$23,17,FALSE)</f>
        <v>0</v>
      </c>
      <c r="E90" s="113">
        <f>VLOOKUP(B80,Directorio!$A$4:$V$23,18,FALSE)</f>
        <v>0</v>
      </c>
      <c r="F90" s="114">
        <f>S87</f>
        <v>0</v>
      </c>
      <c r="G90" s="138" t="str">
        <f>IF(F90&gt;0,IF(F90=$K$87,IF(E90&gt;=51,"Vo.Bo.","No Vo.Bo."),IF(F90=U87,IF(E90&gt;=0.34,"Vo.Bo.","No Vo.Bo."),"")),"")</f>
        <v/>
      </c>
      <c r="R90" s="94"/>
    </row>
    <row r="91" spans="1:21">
      <c r="D91" s="112">
        <f>VLOOKUP(B80,Directorio!$A$4:$V$23,20,FALSE)</f>
        <v>0</v>
      </c>
      <c r="E91" s="113">
        <f>VLOOKUP(B80,Directorio!$A$4:$V$23,21,FALSE)</f>
        <v>0</v>
      </c>
      <c r="F91" s="114">
        <f>T87</f>
        <v>0</v>
      </c>
      <c r="G91" s="138" t="str">
        <f>IF(F91&gt;0,IF(F91=$K$87,IF(E91&gt;=0.51,"Vo.Bo.","No Vo.Bo."),IF(F91=U87,IF(E91&gt;=0.34,"Vo.Bo.","No Vo.Bo."),"")),"")</f>
        <v/>
      </c>
      <c r="R91" s="94"/>
    </row>
    <row r="92" spans="1:21" hidden="1">
      <c r="C92" s="115"/>
      <c r="G92" s="116">
        <f>COUNTIF(G89:G91,"Vo.Bo.")</f>
        <v>0</v>
      </c>
      <c r="R92" s="94"/>
    </row>
    <row r="93" spans="1:21" ht="38.25" hidden="1" customHeight="1">
      <c r="A93" s="290" t="s">
        <v>128</v>
      </c>
      <c r="B93" s="291"/>
      <c r="C93" s="291"/>
      <c r="D93" s="291"/>
      <c r="E93" s="291"/>
      <c r="F93" s="291"/>
      <c r="G93" s="291"/>
      <c r="H93" s="291"/>
      <c r="I93" s="291"/>
      <c r="J93" s="291"/>
      <c r="K93" s="291"/>
      <c r="L93" s="291"/>
      <c r="M93" s="291"/>
      <c r="N93" s="291"/>
      <c r="O93" s="292"/>
      <c r="P93" s="185"/>
      <c r="Q93" s="85"/>
      <c r="R93" s="107" t="e">
        <f>IF(C93=#REF!,K93,0)</f>
        <v>#REF!</v>
      </c>
      <c r="S93" s="107" t="e">
        <f>IF(C93=#REF!,K93,0)</f>
        <v>#REF!</v>
      </c>
      <c r="T93" s="107" t="e">
        <f>IF(C93=#REF!,K93,0)</f>
        <v>#REF!</v>
      </c>
    </row>
    <row r="94" spans="1:21" ht="15" hidden="1" customHeight="1">
      <c r="A94" s="178"/>
      <c r="B94" s="177"/>
      <c r="C94" s="101"/>
      <c r="D94" s="148"/>
      <c r="E94" s="102"/>
      <c r="F94" s="91" t="s">
        <v>127</v>
      </c>
      <c r="G94" s="91" t="s">
        <v>127</v>
      </c>
      <c r="H94" s="104"/>
      <c r="I94" s="105">
        <f>IF(E94&gt;0,VLOOKUP(YEAR(E94),SMMLV!$A$6:$B$55,2,FALSE),0)</f>
        <v>0</v>
      </c>
      <c r="J94" s="106"/>
      <c r="K94" s="105">
        <f t="shared" ref="K94:K99" si="14">IF(AND(E94&gt;=$F$6,H94&gt;0),H94/I94*J94,0)</f>
        <v>0</v>
      </c>
      <c r="L94" s="105"/>
      <c r="M94" s="105"/>
      <c r="N94" s="105"/>
      <c r="O94" s="44"/>
      <c r="P94" s="225"/>
      <c r="Q94" s="85"/>
      <c r="R94" s="107" t="e">
        <f>IF(C94=#REF!,K94,0)</f>
        <v>#REF!</v>
      </c>
      <c r="S94" s="107" t="e">
        <f>IF(C94=#REF!,K94,0)</f>
        <v>#REF!</v>
      </c>
      <c r="T94" s="107" t="e">
        <f>IF(C94=#REF!,K94,0)</f>
        <v>#REF!</v>
      </c>
    </row>
    <row r="95" spans="1:21" ht="15" hidden="1" customHeight="1">
      <c r="A95" s="178"/>
      <c r="B95" s="177"/>
      <c r="C95" s="101"/>
      <c r="D95" s="45"/>
      <c r="E95" s="102"/>
      <c r="F95" s="91" t="s">
        <v>127</v>
      </c>
      <c r="G95" s="91" t="s">
        <v>127</v>
      </c>
      <c r="H95" s="104"/>
      <c r="I95" s="105">
        <f>IF(E95&gt;0,VLOOKUP(YEAR(E95),SMMLV!$A$6:$B$55,2,FALSE),0)</f>
        <v>0</v>
      </c>
      <c r="J95" s="106"/>
      <c r="K95" s="105">
        <f t="shared" si="14"/>
        <v>0</v>
      </c>
      <c r="L95" s="105"/>
      <c r="M95" s="105"/>
      <c r="N95" s="105"/>
      <c r="O95" s="4"/>
      <c r="P95" s="223"/>
      <c r="Q95" s="85"/>
      <c r="R95" s="107" t="e">
        <f>IF(C95=#REF!,K95,0)</f>
        <v>#REF!</v>
      </c>
      <c r="S95" s="107" t="e">
        <f>IF(C95=#REF!,K95,0)</f>
        <v>#REF!</v>
      </c>
      <c r="T95" s="107" t="e">
        <f>IF(C95=#REF!,K95,0)</f>
        <v>#REF!</v>
      </c>
    </row>
    <row r="96" spans="1:21" ht="15" hidden="1" customHeight="1">
      <c r="A96" s="178"/>
      <c r="B96" s="177"/>
      <c r="C96" s="101"/>
      <c r="D96" s="148"/>
      <c r="E96" s="102"/>
      <c r="F96" s="91" t="s">
        <v>127</v>
      </c>
      <c r="G96" s="91" t="s">
        <v>127</v>
      </c>
      <c r="H96" s="104"/>
      <c r="I96" s="105">
        <f>IF(E96&gt;0,VLOOKUP(YEAR(E96),SMMLV!$A$6:$B$55,2,FALSE),0)</f>
        <v>0</v>
      </c>
      <c r="J96" s="106"/>
      <c r="K96" s="105">
        <f t="shared" si="14"/>
        <v>0</v>
      </c>
      <c r="L96" s="105"/>
      <c r="M96" s="105"/>
      <c r="N96" s="105"/>
      <c r="O96" s="44"/>
      <c r="P96" s="225"/>
      <c r="Q96" s="85"/>
      <c r="R96" s="107" t="e">
        <f>IF(C96=#REF!,K96,0)</f>
        <v>#REF!</v>
      </c>
      <c r="S96" s="107" t="e">
        <f>IF(C96=#REF!,K96,0)</f>
        <v>#REF!</v>
      </c>
      <c r="T96" s="107" t="e">
        <f>IF(C96=#REF!,K96,0)</f>
        <v>#REF!</v>
      </c>
    </row>
    <row r="97" spans="1:21" hidden="1">
      <c r="A97" s="178"/>
      <c r="B97" s="177"/>
      <c r="C97" s="101"/>
      <c r="D97" s="45"/>
      <c r="E97" s="102"/>
      <c r="F97" s="91"/>
      <c r="G97" s="103"/>
      <c r="H97" s="104"/>
      <c r="I97" s="105">
        <f>IF(E97&gt;0,VLOOKUP(YEAR(E97),SMMLV!$A$9:$B$55,2,FALSE),0)</f>
        <v>0</v>
      </c>
      <c r="J97" s="106"/>
      <c r="K97" s="105">
        <f t="shared" si="14"/>
        <v>0</v>
      </c>
      <c r="L97" s="105"/>
      <c r="M97" s="105"/>
      <c r="N97" s="105"/>
      <c r="O97" s="44"/>
      <c r="P97" s="225"/>
      <c r="Q97" s="85"/>
      <c r="R97" s="107" t="e">
        <f>IF(C97=#REF!,K97,0)</f>
        <v>#REF!</v>
      </c>
      <c r="S97" s="107" t="e">
        <f>IF(C97=#REF!,K97,0)</f>
        <v>#REF!</v>
      </c>
      <c r="T97" s="107" t="e">
        <f>IF(C97=#REF!,K97,0)</f>
        <v>#REF!</v>
      </c>
    </row>
    <row r="98" spans="1:21" hidden="1">
      <c r="A98" s="178"/>
      <c r="B98" s="177"/>
      <c r="C98" s="101"/>
      <c r="D98" s="45"/>
      <c r="E98" s="102"/>
      <c r="F98" s="91"/>
      <c r="G98" s="103"/>
      <c r="H98" s="104"/>
      <c r="I98" s="105">
        <f>IF(E98&gt;0,VLOOKUP(YEAR(E98),SMMLV!$A$9:$B$55,2,FALSE),0)</f>
        <v>0</v>
      </c>
      <c r="J98" s="106"/>
      <c r="K98" s="105">
        <f t="shared" si="14"/>
        <v>0</v>
      </c>
      <c r="L98" s="105"/>
      <c r="M98" s="105"/>
      <c r="N98" s="105"/>
      <c r="O98" s="44"/>
      <c r="P98" s="225"/>
      <c r="Q98" s="85"/>
      <c r="R98" s="107" t="e">
        <f>IF(C98=#REF!,K98,0)</f>
        <v>#REF!</v>
      </c>
      <c r="S98" s="107" t="e">
        <f>IF(C98=#REF!,K98,0)</f>
        <v>#REF!</v>
      </c>
      <c r="T98" s="107" t="e">
        <f>IF(C98=#REF!,K98,0)</f>
        <v>#REF!</v>
      </c>
    </row>
    <row r="99" spans="1:21" hidden="1">
      <c r="A99" s="178"/>
      <c r="B99" s="177"/>
      <c r="C99" s="101"/>
      <c r="D99" s="45"/>
      <c r="E99" s="102"/>
      <c r="F99" s="91"/>
      <c r="G99" s="103"/>
      <c r="H99" s="104"/>
      <c r="I99" s="105">
        <f>IF(E99&gt;0,VLOOKUP(YEAR(E99),SMMLV!$A$9:$B$55,2,FALSE),0)</f>
        <v>0</v>
      </c>
      <c r="J99" s="106"/>
      <c r="K99" s="105">
        <f t="shared" si="14"/>
        <v>0</v>
      </c>
      <c r="L99" s="105"/>
      <c r="M99" s="105"/>
      <c r="N99" s="105"/>
      <c r="O99" s="44"/>
      <c r="P99" s="225"/>
      <c r="Q99" s="85"/>
      <c r="R99" s="107" t="e">
        <f>IF(C99=#REF!,K99,0)</f>
        <v>#REF!</v>
      </c>
      <c r="S99" s="107" t="e">
        <f>IF(C99=#REF!,K99,0)</f>
        <v>#REF!</v>
      </c>
      <c r="T99" s="107" t="e">
        <f>IF(C99=#REF!,K99,0)</f>
        <v>#REF!</v>
      </c>
    </row>
    <row r="100" spans="1:21" hidden="1">
      <c r="A100" s="289"/>
      <c r="B100" s="289"/>
      <c r="C100" s="289"/>
      <c r="D100" s="289"/>
      <c r="E100" s="289"/>
      <c r="F100" s="289"/>
      <c r="G100" s="289"/>
      <c r="H100" s="289"/>
      <c r="I100" s="289"/>
      <c r="J100" s="179"/>
      <c r="K100" s="109">
        <f>SUM(K94:K99)</f>
        <v>0</v>
      </c>
      <c r="L100" s="109"/>
      <c r="M100" s="109"/>
      <c r="N100" s="109"/>
      <c r="O100" s="90"/>
      <c r="P100" s="217"/>
      <c r="R100" s="107" t="e">
        <f>SUM(R87:R99)</f>
        <v>#REF!</v>
      </c>
      <c r="S100" s="107" t="e">
        <f>SUM(S87:S99)</f>
        <v>#REF!</v>
      </c>
      <c r="T100" s="107" t="e">
        <f>SUM(T87:T99)</f>
        <v>#REF!</v>
      </c>
      <c r="U100" s="110" t="e">
        <f>MAX(R100:T100)</f>
        <v>#REF!</v>
      </c>
    </row>
    <row r="101" spans="1:21" hidden="1">
      <c r="H101" s="89"/>
      <c r="I101" s="89"/>
      <c r="J101" s="89"/>
      <c r="K101" s="111" t="str">
        <f>IF(AND(K100&gt;=$G$6,G106&gt;0),"CUMPLE", "NO CUMPLE ")</f>
        <v xml:space="preserve">NO CUMPLE </v>
      </c>
      <c r="L101" s="202"/>
      <c r="M101" s="202"/>
      <c r="N101" s="202"/>
      <c r="R101" s="94"/>
    </row>
    <row r="102" spans="1:21" hidden="1"/>
    <row r="103" spans="1:21" hidden="1">
      <c r="K103" s="157" t="str">
        <f>IF(AND(K100&gt;=$V$10,K100&lt;=$W$10,K100&gt;0),"CUMPLE", "NO CUMPLE ")</f>
        <v xml:space="preserve">NO CUMPLE </v>
      </c>
      <c r="L103" s="157"/>
      <c r="M103" s="157"/>
      <c r="N103" s="157"/>
      <c r="O103" s="158" t="s">
        <v>141</v>
      </c>
      <c r="P103" s="226"/>
    </row>
    <row r="104" spans="1:21" hidden="1">
      <c r="K104" s="161" t="str">
        <f>IF(AND(K100&gt;=$W$10,K100&lt;=$X$10,K100&gt;0),"CUMPLE", "NO CUMPLE ")</f>
        <v xml:space="preserve">NO CUMPLE </v>
      </c>
      <c r="L104" s="161"/>
      <c r="M104" s="161"/>
      <c r="N104" s="161"/>
      <c r="O104" s="159" t="s">
        <v>142</v>
      </c>
      <c r="P104" s="227"/>
    </row>
    <row r="105" spans="1:21" hidden="1">
      <c r="D105" s="115"/>
      <c r="E105" s="174"/>
      <c r="F105" s="175"/>
      <c r="G105" s="138"/>
      <c r="K105" s="183" t="str">
        <f>IF(AND(K101&gt;=$X$10,K101&lt;=$Y$10,K101&gt;0),"CUMPLE", "NO CUMPLE ")</f>
        <v xml:space="preserve">NO CUMPLE </v>
      </c>
      <c r="L105" s="183"/>
      <c r="M105" s="183"/>
      <c r="N105" s="183"/>
      <c r="O105" s="184" t="s">
        <v>143</v>
      </c>
      <c r="P105" s="228"/>
      <c r="R105" s="94"/>
    </row>
    <row r="106" spans="1:21" hidden="1">
      <c r="C106" s="115"/>
      <c r="G106" s="116">
        <f>COUNTIF(G89:G91,"Vo.Bo.")</f>
        <v>0</v>
      </c>
      <c r="K106" s="156" t="str">
        <f>IF(AND(K100&gt;=$Y$10,K100&gt;0),"CUMPLE", "NO CUMPLE ")</f>
        <v xml:space="preserve">NO CUMPLE </v>
      </c>
      <c r="L106" s="156"/>
      <c r="M106" s="156"/>
      <c r="N106" s="156"/>
      <c r="O106" s="160" t="s">
        <v>144</v>
      </c>
      <c r="P106" s="229"/>
      <c r="R106" s="94"/>
    </row>
    <row r="107" spans="1:21">
      <c r="C107" s="115"/>
      <c r="G107" s="116"/>
      <c r="R107" s="94"/>
    </row>
    <row r="108" spans="1:21" ht="22.5" customHeight="1">
      <c r="A108" s="192" t="s">
        <v>6</v>
      </c>
      <c r="B108" s="193">
        <f>B80+1</f>
        <v>4</v>
      </c>
      <c r="C108" s="194" t="s">
        <v>122</v>
      </c>
      <c r="D108" s="295" t="str">
        <f>VLOOKUP(B108,Directorio!$A$4:$V$23,3,FALSE)</f>
        <v>GN GENERACION DE NEGOCIOS SAS</v>
      </c>
      <c r="E108" s="296"/>
      <c r="F108" s="296"/>
      <c r="G108" s="297"/>
      <c r="H108" s="298"/>
      <c r="I108" s="293" t="str">
        <f>VLOOKUP(B108,Directorio!$A$4:$V$23,4,FALSE)</f>
        <v>901.370.420-5</v>
      </c>
      <c r="J108" s="294"/>
      <c r="K108" s="294"/>
      <c r="L108" s="294"/>
      <c r="M108" s="294"/>
      <c r="N108" s="294"/>
      <c r="O108" s="294"/>
      <c r="P108" s="219"/>
      <c r="Q108" s="85"/>
      <c r="R108" s="94" t="s">
        <v>69</v>
      </c>
      <c r="S108" s="87" t="s">
        <v>70</v>
      </c>
      <c r="T108" s="87" t="s">
        <v>71</v>
      </c>
    </row>
    <row r="109" spans="1:21" ht="51">
      <c r="A109" s="97" t="s">
        <v>5</v>
      </c>
      <c r="B109" s="97" t="s">
        <v>27</v>
      </c>
      <c r="C109" s="97" t="s">
        <v>36</v>
      </c>
      <c r="D109" s="97" t="s">
        <v>28</v>
      </c>
      <c r="E109" s="98" t="s">
        <v>29</v>
      </c>
      <c r="F109" s="97" t="s">
        <v>30</v>
      </c>
      <c r="G109" s="97" t="s">
        <v>31</v>
      </c>
      <c r="H109" s="97" t="s">
        <v>32</v>
      </c>
      <c r="I109" s="97" t="s">
        <v>33</v>
      </c>
      <c r="J109" s="97" t="s">
        <v>66</v>
      </c>
      <c r="K109" s="97" t="s">
        <v>34</v>
      </c>
      <c r="L109" s="97" t="s">
        <v>153</v>
      </c>
      <c r="M109" s="97" t="s">
        <v>145</v>
      </c>
      <c r="N109" s="97" t="s">
        <v>154</v>
      </c>
      <c r="O109" s="97" t="s">
        <v>35</v>
      </c>
      <c r="P109" s="217"/>
      <c r="Q109" s="85"/>
      <c r="R109" s="94" t="str">
        <f>D116</f>
        <v>GN GENERACION DE NEGOCIOS SAS</v>
      </c>
      <c r="S109" s="87">
        <f>D117</f>
        <v>0</v>
      </c>
      <c r="T109" s="87">
        <f>D118</f>
        <v>0</v>
      </c>
    </row>
    <row r="110" spans="1:21" ht="36" customHeight="1">
      <c r="A110" s="299" t="s">
        <v>160</v>
      </c>
      <c r="B110" s="100" t="s">
        <v>150</v>
      </c>
      <c r="C110" s="101" t="s">
        <v>201</v>
      </c>
      <c r="D110" s="148" t="s">
        <v>205</v>
      </c>
      <c r="E110" s="209">
        <v>43041</v>
      </c>
      <c r="F110" s="91" t="s">
        <v>127</v>
      </c>
      <c r="G110" s="103" t="s">
        <v>127</v>
      </c>
      <c r="H110" s="104">
        <v>574475404</v>
      </c>
      <c r="I110" s="105">
        <f>IF(E110&gt;0,VLOOKUP(YEAR(E110),SMMLV!$A$2:$B$55,2,FALSE),0)</f>
        <v>737717</v>
      </c>
      <c r="J110" s="106">
        <v>1</v>
      </c>
      <c r="K110" s="105">
        <f>IF(AND(E110&gt;=$F$6,H110&gt;0),H110/I110*J110,0)</f>
        <v>778.72057170974779</v>
      </c>
      <c r="L110" s="211">
        <v>14</v>
      </c>
      <c r="M110" s="239" t="s">
        <v>208</v>
      </c>
      <c r="N110" s="286" t="s">
        <v>162</v>
      </c>
      <c r="O110" s="4"/>
      <c r="P110" s="223"/>
      <c r="Q110" s="85"/>
      <c r="R110" s="107">
        <f>IF(C110=$R$109,K110,0)</f>
        <v>778.72057170974779</v>
      </c>
      <c r="S110" s="107">
        <f>IF(C110=$S$109,K110,0)</f>
        <v>0</v>
      </c>
      <c r="T110" s="107">
        <f>IF(C110=$T$109,K110,0)</f>
        <v>0</v>
      </c>
    </row>
    <row r="111" spans="1:21" ht="25.5">
      <c r="A111" s="300"/>
      <c r="B111" s="100" t="s">
        <v>206</v>
      </c>
      <c r="C111" s="101" t="s">
        <v>201</v>
      </c>
      <c r="D111" s="148" t="s">
        <v>207</v>
      </c>
      <c r="E111" s="209">
        <v>42178</v>
      </c>
      <c r="F111" s="91" t="s">
        <v>127</v>
      </c>
      <c r="G111" s="103" t="s">
        <v>127</v>
      </c>
      <c r="H111" s="104">
        <v>152755701</v>
      </c>
      <c r="I111" s="105">
        <f>IF(E111&gt;0,VLOOKUP(YEAR(E111),SMMLV!$A$2:$B$55,2,FALSE),0)</f>
        <v>644350</v>
      </c>
      <c r="J111" s="106">
        <v>1</v>
      </c>
      <c r="K111" s="105">
        <f t="shared" ref="K111:K113" si="15">IF(AND(E111&gt;=$F$6,H111&gt;0),H111/I111*J111,0)</f>
        <v>237.06945138511679</v>
      </c>
      <c r="L111" s="211">
        <v>74</v>
      </c>
      <c r="M111" s="239" t="s">
        <v>209</v>
      </c>
      <c r="N111" s="287"/>
      <c r="O111" s="4"/>
      <c r="P111" s="223"/>
      <c r="Q111" s="85"/>
      <c r="R111" s="107">
        <f>IF(C111=$R$109,K111,0)</f>
        <v>237.06945138511679</v>
      </c>
      <c r="S111" s="107">
        <f>IF(C111=$S$109,K111,0)</f>
        <v>0</v>
      </c>
      <c r="T111" s="107">
        <f>IF(C111=$T$109,K111,0)</f>
        <v>0</v>
      </c>
    </row>
    <row r="112" spans="1:21" ht="38.25">
      <c r="A112" s="300"/>
      <c r="B112" s="100" t="s">
        <v>210</v>
      </c>
      <c r="C112" s="101" t="s">
        <v>201</v>
      </c>
      <c r="D112" s="148" t="s">
        <v>211</v>
      </c>
      <c r="E112" s="209">
        <v>42004</v>
      </c>
      <c r="F112" s="91" t="s">
        <v>127</v>
      </c>
      <c r="G112" s="103" t="s">
        <v>127</v>
      </c>
      <c r="H112" s="104">
        <v>143282811</v>
      </c>
      <c r="I112" s="105">
        <f>IF(E112&gt;0,VLOOKUP(YEAR(E112),SMMLV!$A$2:$B$55,2,FALSE),0)</f>
        <v>616000</v>
      </c>
      <c r="J112" s="106">
        <v>1</v>
      </c>
      <c r="K112" s="105">
        <f t="shared" ref="K112" si="16">IF(AND(E112&gt;=$F$6,H112&gt;0),H112/I112*J112,0)</f>
        <v>232.60196590909092</v>
      </c>
      <c r="L112" s="211">
        <v>5</v>
      </c>
      <c r="M112" s="239" t="s">
        <v>212</v>
      </c>
      <c r="N112" s="287"/>
      <c r="O112" s="4"/>
      <c r="P112" s="223"/>
      <c r="Q112" s="85"/>
      <c r="R112" s="107"/>
      <c r="S112" s="107"/>
      <c r="T112" s="107"/>
    </row>
    <row r="113" spans="1:21" ht="38.25">
      <c r="A113" s="301"/>
      <c r="B113" s="100" t="s">
        <v>213</v>
      </c>
      <c r="C113" s="101" t="s">
        <v>201</v>
      </c>
      <c r="D113" s="148" t="s">
        <v>214</v>
      </c>
      <c r="E113" s="209">
        <v>43764</v>
      </c>
      <c r="F113" s="91" t="s">
        <v>127</v>
      </c>
      <c r="G113" s="103" t="s">
        <v>127</v>
      </c>
      <c r="H113" s="104">
        <v>164495554</v>
      </c>
      <c r="I113" s="105">
        <f>IF(E113&gt;0,VLOOKUP(YEAR(E113),SMMLV!$A$2:$B$55,2,FALSE),0)</f>
        <v>828116</v>
      </c>
      <c r="J113" s="106">
        <v>1</v>
      </c>
      <c r="K113" s="105">
        <f t="shared" si="15"/>
        <v>198.63829946529231</v>
      </c>
      <c r="L113" s="211">
        <v>57</v>
      </c>
      <c r="M113" s="168" t="s">
        <v>209</v>
      </c>
      <c r="N113" s="287"/>
      <c r="O113" s="4"/>
      <c r="P113" s="223"/>
      <c r="Q113" s="85"/>
      <c r="R113" s="107">
        <f>IF(C113=$R$109,K113,0)</f>
        <v>198.63829946529231</v>
      </c>
      <c r="S113" s="107">
        <f>IF(C113=$S$109,K113,0)</f>
        <v>0</v>
      </c>
      <c r="T113" s="107">
        <f>IF(C113=$T$109,K113,0)</f>
        <v>0</v>
      </c>
    </row>
    <row r="114" spans="1:21">
      <c r="A114" s="289"/>
      <c r="B114" s="289"/>
      <c r="C114" s="289"/>
      <c r="D114" s="289"/>
      <c r="E114" s="289"/>
      <c r="F114" s="289"/>
      <c r="G114" s="289"/>
      <c r="H114" s="289"/>
      <c r="I114" s="289"/>
      <c r="J114" s="96"/>
      <c r="K114" s="109">
        <f>SUM(K110:K113)</f>
        <v>1447.0302884692478</v>
      </c>
      <c r="L114" s="109"/>
      <c r="M114" s="109"/>
      <c r="N114" s="109"/>
      <c r="O114" s="90"/>
      <c r="P114" s="217"/>
      <c r="R114" s="107">
        <f>SUM(R110:R113)</f>
        <v>1214.4283225601569</v>
      </c>
      <c r="S114" s="107">
        <f>SUM(S110:S113)</f>
        <v>0</v>
      </c>
      <c r="T114" s="107">
        <f>SUM(T110:T113)</f>
        <v>0</v>
      </c>
      <c r="U114" s="110">
        <f>MAX(R114:T114)</f>
        <v>1214.4283225601569</v>
      </c>
    </row>
    <row r="115" spans="1:21">
      <c r="H115" s="89"/>
      <c r="I115" s="89"/>
      <c r="J115" s="89"/>
      <c r="K115" s="111" t="str">
        <f>IF(AND(K114&gt;=$G$6,G119&gt;0),"CUMPLE", "NO CUMPLE ")</f>
        <v>CUMPLE</v>
      </c>
      <c r="L115" s="202"/>
      <c r="M115" s="202"/>
      <c r="N115" s="202"/>
      <c r="R115" s="94"/>
    </row>
    <row r="116" spans="1:21">
      <c r="D116" s="112" t="str">
        <f>VLOOKUP(B108,Directorio!$A$4:$V$23,14,FALSE)</f>
        <v>GN GENERACION DE NEGOCIOS SAS</v>
      </c>
      <c r="E116" s="113">
        <f>VLOOKUP(B108,Directorio!$A$4:$V$23,15,FALSE)</f>
        <v>1</v>
      </c>
      <c r="F116" s="114">
        <f>R114</f>
        <v>1214.4283225601569</v>
      </c>
      <c r="G116" s="138" t="str">
        <f>IF(F116&gt;0,IF(F116=$K$114,IF(E116&gt;=0.51,"Vo.Bo.","No Vo.Bo."),IF(F116=U114,IF(E116&gt;=0.34,"Vo.Bo.","No Vo.Bo."),"")),"")</f>
        <v>Vo.Bo.</v>
      </c>
      <c r="R116" s="94"/>
    </row>
    <row r="117" spans="1:21">
      <c r="D117" s="112">
        <f>VLOOKUP(B108,Directorio!$A$4:$V$23,17,FALSE)</f>
        <v>0</v>
      </c>
      <c r="E117" s="113">
        <f>VLOOKUP(B108,Directorio!$A$4:$V$23,18,FALSE)</f>
        <v>0</v>
      </c>
      <c r="F117" s="114">
        <f>S114</f>
        <v>0</v>
      </c>
      <c r="G117" s="138" t="str">
        <f>IF(F117&gt;0,IF(F117=$K$114,IF(E117&gt;=0.6,"Vo.Bo.","No Vo.Bo."),IF(F117=U114,IF(E117&gt;0.5,"Vo.Bo.","No Vo.Bo."),"")),"")</f>
        <v/>
      </c>
      <c r="R117" s="94"/>
    </row>
    <row r="118" spans="1:21">
      <c r="D118" s="112">
        <f>VLOOKUP(B108,Directorio!$A$4:$V$23,20,FALSE)</f>
        <v>0</v>
      </c>
      <c r="E118" s="113">
        <f>VLOOKUP(B108,Directorio!$A$4:$V$23,21,FALSE)</f>
        <v>0</v>
      </c>
      <c r="F118" s="114">
        <f>T114</f>
        <v>0</v>
      </c>
      <c r="G118" s="138" t="str">
        <f>IF(F118&gt;0,IF(F118=$K$114,IF(E118&gt;=0.6,"Vo.Bo.","No Vo.Bo."),IF(F118=U114,IF(E118&gt;0.5,"Vo.Bo.","No Vo.Bo."),"")),"")</f>
        <v/>
      </c>
      <c r="R118" s="94"/>
    </row>
    <row r="119" spans="1:21" hidden="1">
      <c r="C119" s="115"/>
      <c r="G119" s="116">
        <f>COUNTIF(G116:G118,"Vo.Bo.")</f>
        <v>1</v>
      </c>
      <c r="R119" s="94"/>
    </row>
    <row r="120" spans="1:21" ht="38.25" hidden="1" customHeight="1">
      <c r="A120" s="290" t="s">
        <v>128</v>
      </c>
      <c r="B120" s="291"/>
      <c r="C120" s="291"/>
      <c r="D120" s="291"/>
      <c r="E120" s="291"/>
      <c r="F120" s="291"/>
      <c r="G120" s="291"/>
      <c r="H120" s="291"/>
      <c r="I120" s="291"/>
      <c r="J120" s="291"/>
      <c r="K120" s="291"/>
      <c r="L120" s="291"/>
      <c r="M120" s="291"/>
      <c r="N120" s="291"/>
      <c r="O120" s="292"/>
      <c r="P120" s="185"/>
      <c r="Q120" s="85"/>
      <c r="R120" s="107" t="e">
        <f>IF(C120=#REF!,K120,0)</f>
        <v>#REF!</v>
      </c>
      <c r="S120" s="107" t="e">
        <f>IF(C120=#REF!,K120,0)</f>
        <v>#REF!</v>
      </c>
      <c r="T120" s="107" t="e">
        <f>IF(C120=#REF!,K120,0)</f>
        <v>#REF!</v>
      </c>
    </row>
    <row r="121" spans="1:21" hidden="1">
      <c r="A121" s="178"/>
      <c r="B121" s="177"/>
      <c r="C121" s="101"/>
      <c r="D121" s="148"/>
      <c r="E121" s="102"/>
      <c r="F121" s="91" t="s">
        <v>127</v>
      </c>
      <c r="G121" s="91" t="s">
        <v>127</v>
      </c>
      <c r="H121" s="104"/>
      <c r="I121" s="105">
        <f>IF(E121&gt;0,VLOOKUP(YEAR(E121),SMMLV!$A$6:$B$55,2,FALSE),0)</f>
        <v>0</v>
      </c>
      <c r="J121" s="106"/>
      <c r="K121" s="105">
        <f t="shared" ref="K121:K126" si="17">IF(AND(E121&gt;=$F$6,H121&gt;0),H121/I121*J121,0)</f>
        <v>0</v>
      </c>
      <c r="L121" s="105"/>
      <c r="M121" s="105"/>
      <c r="N121" s="105"/>
      <c r="O121" s="4"/>
      <c r="P121" s="223"/>
      <c r="Q121" s="85"/>
      <c r="R121" s="107" t="e">
        <f>IF(C121=#REF!,K121,0)</f>
        <v>#REF!</v>
      </c>
      <c r="S121" s="107" t="e">
        <f>IF(C121=#REF!,K121,0)</f>
        <v>#REF!</v>
      </c>
      <c r="T121" s="107" t="e">
        <f>IF(C121=#REF!,K121,0)</f>
        <v>#REF!</v>
      </c>
    </row>
    <row r="122" spans="1:21" hidden="1">
      <c r="A122" s="178"/>
      <c r="B122" s="177"/>
      <c r="C122" s="101"/>
      <c r="D122" s="45"/>
      <c r="E122" s="102"/>
      <c r="F122" s="91" t="s">
        <v>127</v>
      </c>
      <c r="G122" s="91" t="s">
        <v>127</v>
      </c>
      <c r="H122" s="104"/>
      <c r="I122" s="105">
        <f>IF(E122&gt;0,VLOOKUP(YEAR(E122),SMMLV!$A$6:$B$55,2,FALSE),0)</f>
        <v>0</v>
      </c>
      <c r="J122" s="106"/>
      <c r="K122" s="105">
        <f t="shared" si="17"/>
        <v>0</v>
      </c>
      <c r="L122" s="105"/>
      <c r="M122" s="105"/>
      <c r="N122" s="105"/>
      <c r="O122" s="4"/>
      <c r="P122" s="223"/>
      <c r="Q122" s="85"/>
      <c r="R122" s="107" t="e">
        <f>IF(C122=#REF!,K122,0)</f>
        <v>#REF!</v>
      </c>
      <c r="S122" s="107" t="e">
        <f>IF(C122=#REF!,K122,0)</f>
        <v>#REF!</v>
      </c>
      <c r="T122" s="107" t="e">
        <f>IF(C122=#REF!,K122,0)</f>
        <v>#REF!</v>
      </c>
    </row>
    <row r="123" spans="1:21" hidden="1">
      <c r="A123" s="178"/>
      <c r="B123" s="177"/>
      <c r="C123" s="101"/>
      <c r="D123" s="45"/>
      <c r="E123" s="102"/>
      <c r="F123" s="91" t="s">
        <v>127</v>
      </c>
      <c r="G123" s="91" t="s">
        <v>127</v>
      </c>
      <c r="H123" s="104"/>
      <c r="I123" s="105">
        <f>IF(E123&gt;0,VLOOKUP(YEAR(E123),SMMLV!$A$9:$B$55,2,FALSE),0)</f>
        <v>0</v>
      </c>
      <c r="J123" s="106"/>
      <c r="K123" s="105">
        <f t="shared" si="17"/>
        <v>0</v>
      </c>
      <c r="L123" s="105"/>
      <c r="M123" s="105"/>
      <c r="N123" s="105"/>
      <c r="O123" s="44"/>
      <c r="P123" s="225"/>
      <c r="Q123" s="85"/>
      <c r="R123" s="107" t="e">
        <f>IF(C123=#REF!,K123,0)</f>
        <v>#REF!</v>
      </c>
      <c r="S123" s="107" t="e">
        <f>IF(C123=#REF!,K123,0)</f>
        <v>#REF!</v>
      </c>
      <c r="T123" s="107" t="e">
        <f>IF(C123=#REF!,K123,0)</f>
        <v>#REF!</v>
      </c>
    </row>
    <row r="124" spans="1:21" hidden="1">
      <c r="A124" s="178"/>
      <c r="B124" s="177"/>
      <c r="C124" s="101"/>
      <c r="D124" s="45"/>
      <c r="E124" s="102"/>
      <c r="F124" s="91"/>
      <c r="G124" s="103"/>
      <c r="H124" s="104"/>
      <c r="I124" s="105">
        <f>IF(E124&gt;0,VLOOKUP(YEAR(E124),SMMLV!$A$9:$B$55,2,FALSE),0)</f>
        <v>0</v>
      </c>
      <c r="J124" s="106"/>
      <c r="K124" s="105">
        <f t="shared" si="17"/>
        <v>0</v>
      </c>
      <c r="L124" s="105"/>
      <c r="M124" s="105"/>
      <c r="N124" s="105"/>
      <c r="O124" s="44"/>
      <c r="P124" s="225"/>
      <c r="Q124" s="85"/>
      <c r="R124" s="107" t="e">
        <f>IF(C124=#REF!,K124,0)</f>
        <v>#REF!</v>
      </c>
      <c r="S124" s="107" t="e">
        <f>IF(C124=#REF!,K124,0)</f>
        <v>#REF!</v>
      </c>
      <c r="T124" s="107" t="e">
        <f>IF(C124=#REF!,K124,0)</f>
        <v>#REF!</v>
      </c>
    </row>
    <row r="125" spans="1:21" hidden="1">
      <c r="A125" s="178"/>
      <c r="B125" s="177"/>
      <c r="C125" s="101"/>
      <c r="D125" s="45"/>
      <c r="E125" s="102"/>
      <c r="F125" s="91"/>
      <c r="G125" s="103"/>
      <c r="H125" s="104"/>
      <c r="I125" s="105">
        <f>IF(E125&gt;0,VLOOKUP(YEAR(E125),SMMLV!$A$9:$B$55,2,FALSE),0)</f>
        <v>0</v>
      </c>
      <c r="J125" s="106"/>
      <c r="K125" s="105">
        <f t="shared" si="17"/>
        <v>0</v>
      </c>
      <c r="L125" s="105"/>
      <c r="M125" s="105"/>
      <c r="N125" s="105"/>
      <c r="O125" s="44"/>
      <c r="P125" s="225"/>
      <c r="Q125" s="85"/>
      <c r="R125" s="107" t="e">
        <f>IF(C125=#REF!,K125,0)</f>
        <v>#REF!</v>
      </c>
      <c r="S125" s="107" t="e">
        <f>IF(C125=#REF!,K125,0)</f>
        <v>#REF!</v>
      </c>
      <c r="T125" s="107" t="e">
        <f>IF(C125=#REF!,K125,0)</f>
        <v>#REF!</v>
      </c>
    </row>
    <row r="126" spans="1:21" hidden="1">
      <c r="A126" s="178"/>
      <c r="B126" s="177"/>
      <c r="C126" s="101"/>
      <c r="D126" s="45"/>
      <c r="E126" s="102"/>
      <c r="F126" s="91"/>
      <c r="G126" s="103"/>
      <c r="H126" s="104"/>
      <c r="I126" s="105">
        <f>IF(E126&gt;0,VLOOKUP(YEAR(E126),SMMLV!$A$9:$B$55,2,FALSE),0)</f>
        <v>0</v>
      </c>
      <c r="J126" s="106"/>
      <c r="K126" s="105">
        <f t="shared" si="17"/>
        <v>0</v>
      </c>
      <c r="L126" s="105"/>
      <c r="M126" s="105"/>
      <c r="N126" s="105"/>
      <c r="O126" s="44"/>
      <c r="P126" s="225"/>
      <c r="Q126" s="85"/>
      <c r="R126" s="107" t="e">
        <f>IF(C126=#REF!,K126,0)</f>
        <v>#REF!</v>
      </c>
      <c r="S126" s="107" t="e">
        <f>IF(C126=#REF!,K126,0)</f>
        <v>#REF!</v>
      </c>
      <c r="T126" s="107" t="e">
        <f>IF(C126=#REF!,K126,0)</f>
        <v>#REF!</v>
      </c>
    </row>
    <row r="127" spans="1:21" hidden="1">
      <c r="A127" s="289"/>
      <c r="B127" s="289"/>
      <c r="C127" s="289"/>
      <c r="D127" s="289"/>
      <c r="E127" s="289"/>
      <c r="F127" s="289"/>
      <c r="G127" s="289"/>
      <c r="H127" s="289"/>
      <c r="I127" s="289"/>
      <c r="J127" s="179"/>
      <c r="K127" s="109">
        <f>SUM(K121:K126)</f>
        <v>0</v>
      </c>
      <c r="L127" s="109"/>
      <c r="M127" s="109"/>
      <c r="N127" s="109"/>
      <c r="O127" s="90"/>
      <c r="P127" s="217"/>
      <c r="R127" s="107" t="e">
        <f>SUM(R110:R126)</f>
        <v>#REF!</v>
      </c>
      <c r="S127" s="107" t="e">
        <f>SUM(S110:S126)</f>
        <v>#REF!</v>
      </c>
      <c r="T127" s="107" t="e">
        <f>SUM(T110:T126)</f>
        <v>#REF!</v>
      </c>
      <c r="U127" s="110" t="e">
        <f>MAX(R127:T127)</f>
        <v>#REF!</v>
      </c>
    </row>
    <row r="128" spans="1:21" hidden="1">
      <c r="H128" s="89"/>
      <c r="I128" s="89"/>
      <c r="J128" s="89"/>
      <c r="K128" s="111" t="str">
        <f>IF(AND(K127&gt;=$G$6,G133&gt;0),"CUMPLE", "NO CUMPLE ")</f>
        <v xml:space="preserve">NO CUMPLE </v>
      </c>
      <c r="L128" s="202"/>
      <c r="M128" s="202"/>
      <c r="N128" s="202"/>
      <c r="R128" s="94"/>
    </row>
    <row r="129" spans="1:21" hidden="1"/>
    <row r="130" spans="1:21" hidden="1">
      <c r="K130" s="157" t="str">
        <f>IF(AND(K127&gt;=$V$10,K127&lt;=$W$10,K127&gt;0),"CUMPLE", "NO CUMPLE ")</f>
        <v xml:space="preserve">NO CUMPLE </v>
      </c>
      <c r="L130" s="157"/>
      <c r="M130" s="157"/>
      <c r="N130" s="157"/>
      <c r="O130" s="158" t="s">
        <v>141</v>
      </c>
      <c r="P130" s="226"/>
    </row>
    <row r="131" spans="1:21" hidden="1">
      <c r="K131" s="161" t="str">
        <f>IF(AND(K127&gt;=$W$10,K127&lt;=$X$10,K127&gt;0),"CUMPLE", "NO CUMPLE ")</f>
        <v xml:space="preserve">NO CUMPLE </v>
      </c>
      <c r="L131" s="161"/>
      <c r="M131" s="161"/>
      <c r="N131" s="161"/>
      <c r="O131" s="159" t="s">
        <v>142</v>
      </c>
      <c r="P131" s="227"/>
    </row>
    <row r="132" spans="1:21" hidden="1">
      <c r="D132" s="115"/>
      <c r="E132" s="174"/>
      <c r="F132" s="175"/>
      <c r="G132" s="138"/>
      <c r="K132" s="183" t="str">
        <f>IF(AND(K128&gt;=$X$10,K128&lt;=$Y$10,K128&gt;0),"CUMPLE", "NO CUMPLE ")</f>
        <v xml:space="preserve">NO CUMPLE </v>
      </c>
      <c r="L132" s="183"/>
      <c r="M132" s="183"/>
      <c r="N132" s="183"/>
      <c r="O132" s="184" t="s">
        <v>143</v>
      </c>
      <c r="P132" s="228"/>
      <c r="R132" s="94"/>
    </row>
    <row r="133" spans="1:21" hidden="1">
      <c r="C133" s="115"/>
      <c r="G133" s="116">
        <f>COUNTIF(G116:G118,"Vo.Bo.")</f>
        <v>1</v>
      </c>
      <c r="K133" s="156" t="str">
        <f>IF(AND(K127&gt;=$Y$10,K127&gt;0),"CUMPLE", "NO CUMPLE ")</f>
        <v xml:space="preserve">NO CUMPLE </v>
      </c>
      <c r="L133" s="156"/>
      <c r="M133" s="156"/>
      <c r="N133" s="156"/>
      <c r="O133" s="160" t="s">
        <v>144</v>
      </c>
      <c r="P133" s="229"/>
      <c r="R133" s="94"/>
    </row>
    <row r="134" spans="1:21">
      <c r="C134" s="115"/>
      <c r="G134" s="116"/>
      <c r="R134" s="94"/>
    </row>
    <row r="135" spans="1:21" ht="22.5" customHeight="1">
      <c r="A135" s="192" t="s">
        <v>6</v>
      </c>
      <c r="B135" s="193">
        <f>B108+1</f>
        <v>5</v>
      </c>
      <c r="C135" s="194" t="s">
        <v>122</v>
      </c>
      <c r="D135" s="295" t="str">
        <f>VLOOKUP(B135,Directorio!$A$4:$V$23,3,FALSE)</f>
        <v>PROMOS LTDA.</v>
      </c>
      <c r="E135" s="296"/>
      <c r="F135" s="296"/>
      <c r="G135" s="297"/>
      <c r="H135" s="298"/>
      <c r="I135" s="293" t="str">
        <f>VLOOKUP(B135,Directorio!$A$4:$V$23,4,FALSE)</f>
        <v>830.018.350-3</v>
      </c>
      <c r="J135" s="294"/>
      <c r="K135" s="294"/>
      <c r="L135" s="294"/>
      <c r="M135" s="294"/>
      <c r="N135" s="294"/>
      <c r="O135" s="294"/>
      <c r="P135" s="219"/>
      <c r="Q135" s="85"/>
      <c r="R135" s="94" t="s">
        <v>69</v>
      </c>
      <c r="S135" s="87" t="s">
        <v>70</v>
      </c>
      <c r="T135" s="87" t="s">
        <v>71</v>
      </c>
    </row>
    <row r="136" spans="1:21" ht="42" customHeight="1">
      <c r="A136" s="97" t="s">
        <v>5</v>
      </c>
      <c r="B136" s="97" t="s">
        <v>27</v>
      </c>
      <c r="C136" s="97" t="s">
        <v>36</v>
      </c>
      <c r="D136" s="97" t="s">
        <v>28</v>
      </c>
      <c r="E136" s="98" t="s">
        <v>29</v>
      </c>
      <c r="F136" s="97" t="s">
        <v>30</v>
      </c>
      <c r="G136" s="97" t="s">
        <v>31</v>
      </c>
      <c r="H136" s="97" t="s">
        <v>32</v>
      </c>
      <c r="I136" s="97" t="s">
        <v>33</v>
      </c>
      <c r="J136" s="97" t="s">
        <v>66</v>
      </c>
      <c r="K136" s="97" t="s">
        <v>34</v>
      </c>
      <c r="L136" s="97" t="s">
        <v>153</v>
      </c>
      <c r="M136" s="97" t="s">
        <v>145</v>
      </c>
      <c r="N136" s="97" t="s">
        <v>154</v>
      </c>
      <c r="O136" s="97" t="s">
        <v>35</v>
      </c>
      <c r="P136" s="217"/>
      <c r="Q136" s="85"/>
      <c r="R136" s="94" t="str">
        <f>D143</f>
        <v>PROMOS LTDA.</v>
      </c>
      <c r="S136" s="87">
        <f>D144</f>
        <v>0</v>
      </c>
      <c r="T136" s="87">
        <f>D145</f>
        <v>0</v>
      </c>
    </row>
    <row r="137" spans="1:21" ht="12.75" customHeight="1">
      <c r="A137" s="299" t="s">
        <v>160</v>
      </c>
      <c r="B137" s="100" t="s">
        <v>218</v>
      </c>
      <c r="C137" s="101" t="s">
        <v>215</v>
      </c>
      <c r="D137" s="45" t="s">
        <v>219</v>
      </c>
      <c r="E137" s="209">
        <v>41213</v>
      </c>
      <c r="F137" s="91" t="s">
        <v>127</v>
      </c>
      <c r="G137" s="103" t="s">
        <v>127</v>
      </c>
      <c r="H137" s="104">
        <v>1550000000</v>
      </c>
      <c r="I137" s="105">
        <f>IF(E137&gt;0,VLOOKUP(YEAR(E137),SMMLV!$A$2:$B$55,2,FALSE),0)</f>
        <v>566700</v>
      </c>
      <c r="J137" s="106">
        <v>1</v>
      </c>
      <c r="K137" s="105">
        <f>IF(AND(E137&gt;=$F$6,H137&gt;0),H137/I137*J137,0)</f>
        <v>2735.1332274572082</v>
      </c>
      <c r="L137" s="211">
        <v>9</v>
      </c>
      <c r="M137" s="239" t="s">
        <v>220</v>
      </c>
      <c r="N137" s="286" t="s">
        <v>162</v>
      </c>
      <c r="O137" s="176"/>
      <c r="P137" s="232"/>
      <c r="Q137" s="85"/>
      <c r="R137" s="107">
        <f t="shared" ref="R137:R140" si="18">IF(C137=$R$136,K137,0)</f>
        <v>2735.1332274572082</v>
      </c>
      <c r="S137" s="107">
        <f t="shared" ref="S137:S140" si="19">IF(C137=$S$136,K137,0)</f>
        <v>0</v>
      </c>
      <c r="T137" s="107">
        <f t="shared" ref="T137:T140" si="20">IF(C137=$T$136,K137,0)</f>
        <v>0</v>
      </c>
    </row>
    <row r="138" spans="1:21" ht="12.75" customHeight="1">
      <c r="A138" s="300"/>
      <c r="B138" s="100" t="s">
        <v>150</v>
      </c>
      <c r="C138" s="101" t="s">
        <v>215</v>
      </c>
      <c r="D138" s="45" t="s">
        <v>221</v>
      </c>
      <c r="E138" s="209">
        <v>43503</v>
      </c>
      <c r="F138" s="91" t="s">
        <v>127</v>
      </c>
      <c r="G138" s="103" t="s">
        <v>127</v>
      </c>
      <c r="H138" s="104">
        <v>832891483</v>
      </c>
      <c r="I138" s="105">
        <f>IF(E138&gt;0,VLOOKUP(YEAR(E138),SMMLV!$A$2:$B$55,2,FALSE),0)</f>
        <v>828116</v>
      </c>
      <c r="J138" s="106">
        <v>1</v>
      </c>
      <c r="K138" s="105">
        <f t="shared" ref="K138:K140" si="21">IF(AND(E138&gt;=$F$6,H138&gt;0),H138/I138*J138,0)</f>
        <v>1005.7666836530148</v>
      </c>
      <c r="L138" s="211">
        <v>15</v>
      </c>
      <c r="M138" s="239" t="s">
        <v>220</v>
      </c>
      <c r="N138" s="287"/>
      <c r="O138" s="176"/>
      <c r="P138" s="232"/>
      <c r="Q138" s="85"/>
      <c r="R138" s="107"/>
      <c r="S138" s="107"/>
      <c r="T138" s="107"/>
    </row>
    <row r="139" spans="1:21" ht="25.5">
      <c r="A139" s="300"/>
      <c r="B139" s="100" t="s">
        <v>222</v>
      </c>
      <c r="C139" s="101" t="s">
        <v>215</v>
      </c>
      <c r="D139" s="45" t="s">
        <v>223</v>
      </c>
      <c r="E139" s="209"/>
      <c r="F139" s="91" t="s">
        <v>127</v>
      </c>
      <c r="G139" s="103" t="s">
        <v>127</v>
      </c>
      <c r="H139" s="104"/>
      <c r="I139" s="105">
        <f>IF(E139&gt;0,VLOOKUP(YEAR(E139),SMMLV!$A$2:$B$55,2,FALSE),0)</f>
        <v>0</v>
      </c>
      <c r="J139" s="106"/>
      <c r="K139" s="105">
        <f t="shared" si="21"/>
        <v>0</v>
      </c>
      <c r="L139" s="211"/>
      <c r="M139" s="239"/>
      <c r="N139" s="287"/>
      <c r="O139" s="188" t="s">
        <v>224</v>
      </c>
      <c r="P139" s="232"/>
      <c r="Q139" s="85"/>
      <c r="R139" s="107"/>
      <c r="S139" s="107"/>
      <c r="T139" s="107"/>
    </row>
    <row r="140" spans="1:21">
      <c r="A140" s="300"/>
      <c r="B140" s="172" t="s">
        <v>225</v>
      </c>
      <c r="C140" s="101" t="s">
        <v>215</v>
      </c>
      <c r="D140" s="45" t="s">
        <v>226</v>
      </c>
      <c r="E140" s="209">
        <v>41274</v>
      </c>
      <c r="F140" s="91" t="s">
        <v>127</v>
      </c>
      <c r="G140" s="103" t="s">
        <v>127</v>
      </c>
      <c r="H140" s="104">
        <v>674465569</v>
      </c>
      <c r="I140" s="105">
        <f>IF(E140&gt;0,VLOOKUP(YEAR(E140),SMMLV!$A$2:$B$55,2,FALSE),0)</f>
        <v>566700</v>
      </c>
      <c r="J140" s="106">
        <v>1</v>
      </c>
      <c r="K140" s="105">
        <f t="shared" si="21"/>
        <v>1190.16334745015</v>
      </c>
      <c r="L140" s="211">
        <v>1</v>
      </c>
      <c r="M140" s="239" t="s">
        <v>227</v>
      </c>
      <c r="N140" s="287"/>
      <c r="O140" s="176"/>
      <c r="P140" s="232"/>
      <c r="Q140" s="85"/>
      <c r="R140" s="107">
        <f t="shared" si="18"/>
        <v>1190.16334745015</v>
      </c>
      <c r="S140" s="107">
        <f t="shared" si="19"/>
        <v>0</v>
      </c>
      <c r="T140" s="107">
        <f t="shared" si="20"/>
        <v>0</v>
      </c>
    </row>
    <row r="141" spans="1:21">
      <c r="A141" s="289"/>
      <c r="B141" s="289"/>
      <c r="C141" s="289"/>
      <c r="D141" s="289"/>
      <c r="E141" s="289"/>
      <c r="F141" s="289"/>
      <c r="G141" s="289"/>
      <c r="H141" s="289"/>
      <c r="I141" s="289"/>
      <c r="J141" s="96"/>
      <c r="K141" s="109">
        <f>SUM(K137:K140)</f>
        <v>4931.0632585603726</v>
      </c>
      <c r="L141" s="109"/>
      <c r="M141" s="109"/>
      <c r="N141" s="109"/>
      <c r="O141" s="90"/>
      <c r="P141" s="217"/>
      <c r="R141" s="107">
        <f>SUM(R137:R140)</f>
        <v>3925.2965749073583</v>
      </c>
      <c r="S141" s="107">
        <f>SUM(S137:S140)</f>
        <v>0</v>
      </c>
      <c r="T141" s="107">
        <f>SUM(T137:T140)</f>
        <v>0</v>
      </c>
      <c r="U141" s="110">
        <f>MAX(R141:T141)</f>
        <v>3925.2965749073583</v>
      </c>
    </row>
    <row r="142" spans="1:21">
      <c r="H142" s="89"/>
      <c r="I142" s="89"/>
      <c r="J142" s="89"/>
      <c r="K142" s="111" t="str">
        <f>IF(AND(K141&gt;=$G$6,G146&gt;0),"CUMPLE", "NO CUMPLE ")</f>
        <v>CUMPLE</v>
      </c>
      <c r="L142" s="203"/>
      <c r="M142" s="203"/>
      <c r="N142" s="203"/>
      <c r="R142" s="94"/>
    </row>
    <row r="143" spans="1:21">
      <c r="D143" s="112" t="str">
        <f>VLOOKUP(B135,Directorio!$A$4:$V$23,14,FALSE)</f>
        <v>PROMOS LTDA.</v>
      </c>
      <c r="E143" s="113">
        <f>VLOOKUP(B135,Directorio!$A$4:$V$23,15,FALSE)</f>
        <v>1</v>
      </c>
      <c r="F143" s="114">
        <f>R141</f>
        <v>3925.2965749073583</v>
      </c>
      <c r="G143" s="138" t="str">
        <f>IF(F143&gt;0,IF(F143=$K$141,IF(E143&gt;=0.51,"Vo.Bo.","No Vo.Bo."),IF(F143=U141,IF(E143&gt;=0.34,"Vo.Bo.","No Vo.Bo."),"")),"")</f>
        <v>Vo.Bo.</v>
      </c>
      <c r="R143" s="94"/>
    </row>
    <row r="144" spans="1:21">
      <c r="D144" s="112">
        <f>VLOOKUP(B135,Directorio!$A$4:$V$23,17,FALSE)</f>
        <v>0</v>
      </c>
      <c r="E144" s="113">
        <f>VLOOKUP(B135,Directorio!$A$4:$V$23,18,FALSE)</f>
        <v>0</v>
      </c>
      <c r="F144" s="114">
        <f>S141</f>
        <v>0</v>
      </c>
      <c r="G144" s="138" t="str">
        <f>IF(F144&gt;0,IF(F144=$K$141,IF(E144&gt;=0.51,"Vo.Bo.","No Vo.Bo."),IF(F144=U141,IF(E144&gt;=0.34,"Vo.Bo.","No Vo.Bo."),"")),"")</f>
        <v/>
      </c>
      <c r="R144" s="94"/>
    </row>
    <row r="145" spans="1:21">
      <c r="D145" s="112">
        <f>VLOOKUP(B135,Directorio!$A$4:$V$23,20,FALSE)</f>
        <v>0</v>
      </c>
      <c r="E145" s="113">
        <f>VLOOKUP(B135,Directorio!$A$4:$V$23,21,FALSE)</f>
        <v>0</v>
      </c>
      <c r="F145" s="114">
        <f>T141</f>
        <v>0</v>
      </c>
      <c r="G145" s="138" t="str">
        <f>IF(F145&gt;0,IF(F145=$K$141,IF(E145&gt;=0.51,"Vo.Bo.","No Vo.Bo."),IF(F145=U141,IF(E145&gt;0.34,"Vo.Bo.","No Vo.Bo."),"")),"")</f>
        <v/>
      </c>
      <c r="H145" s="180"/>
      <c r="R145" s="94"/>
    </row>
    <row r="146" spans="1:21">
      <c r="C146" s="115"/>
      <c r="G146" s="116">
        <v>1</v>
      </c>
      <c r="R146" s="94"/>
    </row>
    <row r="147" spans="1:21" ht="22.5" customHeight="1">
      <c r="A147" s="192" t="s">
        <v>6</v>
      </c>
      <c r="B147" s="193">
        <f>B135+1</f>
        <v>6</v>
      </c>
      <c r="C147" s="194" t="s">
        <v>122</v>
      </c>
      <c r="D147" s="295" t="str">
        <f>VLOOKUP(B147,Directorio!$A$4:$V$23,3,FALSE)</f>
        <v>Signal Marketing SAS</v>
      </c>
      <c r="E147" s="296"/>
      <c r="F147" s="296"/>
      <c r="G147" s="297"/>
      <c r="H147" s="298"/>
      <c r="I147" s="293" t="str">
        <f>VLOOKUP(B147,Directorio!$A$4:$V$23,4,FALSE)</f>
        <v>800.226.923-6</v>
      </c>
      <c r="J147" s="294"/>
      <c r="K147" s="294"/>
      <c r="L147" s="294"/>
      <c r="M147" s="294"/>
      <c r="N147" s="294"/>
      <c r="O147" s="294"/>
      <c r="P147" s="219"/>
      <c r="Q147" s="85"/>
      <c r="R147" s="94" t="s">
        <v>69</v>
      </c>
      <c r="S147" s="87" t="s">
        <v>70</v>
      </c>
      <c r="T147" s="87" t="s">
        <v>71</v>
      </c>
    </row>
    <row r="148" spans="1:21" ht="25.5">
      <c r="A148" s="97" t="s">
        <v>5</v>
      </c>
      <c r="B148" s="97" t="s">
        <v>27</v>
      </c>
      <c r="C148" s="97" t="s">
        <v>36</v>
      </c>
      <c r="D148" s="97" t="s">
        <v>28</v>
      </c>
      <c r="E148" s="98" t="s">
        <v>29</v>
      </c>
      <c r="F148" s="97" t="s">
        <v>30</v>
      </c>
      <c r="G148" s="97" t="s">
        <v>31</v>
      </c>
      <c r="H148" s="97" t="s">
        <v>32</v>
      </c>
      <c r="I148" s="97" t="s">
        <v>33</v>
      </c>
      <c r="J148" s="97" t="s">
        <v>66</v>
      </c>
      <c r="K148" s="97" t="s">
        <v>34</v>
      </c>
      <c r="L148" s="97" t="s">
        <v>153</v>
      </c>
      <c r="M148" s="97" t="s">
        <v>145</v>
      </c>
      <c r="N148" s="97" t="s">
        <v>154</v>
      </c>
      <c r="O148" s="97" t="s">
        <v>35</v>
      </c>
      <c r="P148" s="217"/>
      <c r="Q148" s="85"/>
      <c r="R148" s="94" t="str">
        <f>D155</f>
        <v>Signal Marketing SAS</v>
      </c>
      <c r="S148" s="87">
        <f>D156</f>
        <v>0</v>
      </c>
      <c r="T148" s="87">
        <f>D157</f>
        <v>0</v>
      </c>
    </row>
    <row r="149" spans="1:21" ht="25.5" customHeight="1">
      <c r="A149" s="299" t="s">
        <v>160</v>
      </c>
      <c r="B149" s="100" t="s">
        <v>233</v>
      </c>
      <c r="C149" s="101" t="s">
        <v>228</v>
      </c>
      <c r="D149" s="45" t="s">
        <v>234</v>
      </c>
      <c r="E149" s="209">
        <v>43138</v>
      </c>
      <c r="F149" s="91" t="s">
        <v>127</v>
      </c>
      <c r="G149" s="103" t="s">
        <v>127</v>
      </c>
      <c r="H149" s="104">
        <v>438466890</v>
      </c>
      <c r="I149" s="105">
        <f>IF(E149&gt;0,VLOOKUP(YEAR(E149),SMMLV!$A$2:$B$55,2,FALSE),0)</f>
        <v>781242</v>
      </c>
      <c r="J149" s="106">
        <v>1</v>
      </c>
      <c r="K149" s="105">
        <f>IF(AND(E149&gt;=$F$6,H149&gt;0),H149/I149*J149,0)</f>
        <v>561.24336633207122</v>
      </c>
      <c r="L149" s="211">
        <v>41</v>
      </c>
      <c r="M149" s="168" t="s">
        <v>227</v>
      </c>
      <c r="N149" s="286" t="s">
        <v>162</v>
      </c>
      <c r="O149" s="44"/>
      <c r="P149" s="225"/>
      <c r="Q149" s="85"/>
      <c r="R149" s="107">
        <f t="shared" ref="R149:R152" si="22">IF(C149=$R$148,K149,0)</f>
        <v>561.24336633207122</v>
      </c>
      <c r="S149" s="107">
        <f t="shared" ref="S149:S152" si="23">IF(C149=$S$148,K149,0)</f>
        <v>0</v>
      </c>
      <c r="T149" s="107">
        <f t="shared" ref="T149:T152" si="24">IF(C149=$T$148,K149,0)</f>
        <v>0</v>
      </c>
    </row>
    <row r="150" spans="1:21" ht="25.5">
      <c r="A150" s="300"/>
      <c r="B150" s="99" t="s">
        <v>235</v>
      </c>
      <c r="C150" s="101" t="s">
        <v>228</v>
      </c>
      <c r="D150" s="45" t="s">
        <v>236</v>
      </c>
      <c r="E150" s="209">
        <v>43316</v>
      </c>
      <c r="F150" s="91" t="s">
        <v>127</v>
      </c>
      <c r="G150" s="103" t="s">
        <v>127</v>
      </c>
      <c r="H150" s="104">
        <v>208258000</v>
      </c>
      <c r="I150" s="105">
        <f>IF(E150&gt;0,VLOOKUP(YEAR(E150),SMMLV!$A$2:$B$55,2,FALSE),0)</f>
        <v>781242</v>
      </c>
      <c r="J150" s="106">
        <v>1</v>
      </c>
      <c r="K150" s="105">
        <f t="shared" ref="K150:K152" si="25">IF(AND(E150&gt;=$F$6,H150&gt;0),H150/I150*J150,0)</f>
        <v>266.57296970720978</v>
      </c>
      <c r="L150" s="211">
        <v>45</v>
      </c>
      <c r="M150" s="168" t="s">
        <v>209</v>
      </c>
      <c r="N150" s="287"/>
      <c r="O150" s="44"/>
      <c r="P150" s="225"/>
      <c r="Q150" s="85"/>
      <c r="R150" s="107">
        <f t="shared" si="22"/>
        <v>266.57296970720978</v>
      </c>
      <c r="S150" s="107">
        <f t="shared" si="23"/>
        <v>0</v>
      </c>
      <c r="T150" s="107">
        <f t="shared" si="24"/>
        <v>0</v>
      </c>
    </row>
    <row r="151" spans="1:21" ht="51">
      <c r="A151" s="300"/>
      <c r="B151" s="187" t="s">
        <v>237</v>
      </c>
      <c r="C151" s="101" t="s">
        <v>228</v>
      </c>
      <c r="D151" s="45" t="s">
        <v>238</v>
      </c>
      <c r="E151" s="209">
        <v>43465</v>
      </c>
      <c r="F151" s="91" t="s">
        <v>127</v>
      </c>
      <c r="G151" s="103" t="s">
        <v>127</v>
      </c>
      <c r="H151" s="104">
        <v>174000000</v>
      </c>
      <c r="I151" s="105">
        <f>IF(E151&gt;0,VLOOKUP(YEAR(E151),SMMLV!$A$2:$B$55,2,FALSE),0)</f>
        <v>781242</v>
      </c>
      <c r="J151" s="106">
        <v>1</v>
      </c>
      <c r="K151" s="105">
        <f t="shared" si="25"/>
        <v>222.72228067615413</v>
      </c>
      <c r="L151" s="211">
        <v>47</v>
      </c>
      <c r="M151" s="168" t="s">
        <v>209</v>
      </c>
      <c r="N151" s="287"/>
      <c r="O151" s="44"/>
      <c r="P151" s="225"/>
      <c r="Q151" s="85"/>
      <c r="R151" s="107"/>
      <c r="S151" s="107"/>
      <c r="T151" s="107"/>
    </row>
    <row r="152" spans="1:21" ht="25.5">
      <c r="A152" s="301"/>
      <c r="B152" s="99" t="s">
        <v>239</v>
      </c>
      <c r="C152" s="101" t="s">
        <v>228</v>
      </c>
      <c r="D152" s="45" t="s">
        <v>240</v>
      </c>
      <c r="E152" s="209">
        <v>43539</v>
      </c>
      <c r="F152" s="91" t="s">
        <v>127</v>
      </c>
      <c r="G152" s="103" t="s">
        <v>127</v>
      </c>
      <c r="H152" s="104">
        <v>169443505</v>
      </c>
      <c r="I152" s="105">
        <f>IF(E152&gt;0,VLOOKUP(YEAR(E152),SMMLV!$A$2:$B$55,2,FALSE),0)</f>
        <v>828116</v>
      </c>
      <c r="J152" s="106">
        <v>1</v>
      </c>
      <c r="K152" s="105">
        <f t="shared" si="25"/>
        <v>204.61324862700394</v>
      </c>
      <c r="L152" s="211">
        <v>50</v>
      </c>
      <c r="M152" s="168" t="s">
        <v>209</v>
      </c>
      <c r="N152" s="287"/>
      <c r="O152" s="44"/>
      <c r="P152" s="225"/>
      <c r="Q152" s="85"/>
      <c r="R152" s="107">
        <f t="shared" si="22"/>
        <v>204.61324862700394</v>
      </c>
      <c r="S152" s="107">
        <f t="shared" si="23"/>
        <v>0</v>
      </c>
      <c r="T152" s="107">
        <f t="shared" si="24"/>
        <v>0</v>
      </c>
    </row>
    <row r="153" spans="1:21">
      <c r="A153" s="289"/>
      <c r="B153" s="289"/>
      <c r="C153" s="289"/>
      <c r="D153" s="289"/>
      <c r="E153" s="289"/>
      <c r="F153" s="289"/>
      <c r="G153" s="289"/>
      <c r="H153" s="289"/>
      <c r="I153" s="289"/>
      <c r="J153" s="96"/>
      <c r="K153" s="109">
        <f>SUM(K149:K152)</f>
        <v>1255.1518653424391</v>
      </c>
      <c r="L153" s="109"/>
      <c r="M153" s="109"/>
      <c r="N153" s="109"/>
      <c r="O153" s="90"/>
      <c r="P153" s="217"/>
      <c r="R153" s="107">
        <f>SUM(R149:R152)</f>
        <v>1032.4295846662849</v>
      </c>
      <c r="S153" s="107">
        <f>SUM(S149:S152)</f>
        <v>0</v>
      </c>
      <c r="T153" s="107">
        <f>SUM(T149:T152)</f>
        <v>0</v>
      </c>
      <c r="U153" s="110">
        <f>MAX(R153:T153)</f>
        <v>1032.4295846662849</v>
      </c>
    </row>
    <row r="154" spans="1:21">
      <c r="H154" s="89"/>
      <c r="I154" s="89"/>
      <c r="J154" s="89"/>
      <c r="K154" s="111" t="str">
        <f>IF(AND(K153&gt;=$G$6,G158&gt;0),"CUMPLE", "NO CUMPLE ")</f>
        <v>CUMPLE</v>
      </c>
      <c r="L154" s="202"/>
      <c r="M154" s="202"/>
      <c r="N154" s="202"/>
      <c r="R154" s="94"/>
    </row>
    <row r="155" spans="1:21">
      <c r="D155" s="112" t="str">
        <f>VLOOKUP(B147,Directorio!$A$4:$V$23,14,FALSE)</f>
        <v>Signal Marketing SAS</v>
      </c>
      <c r="E155" s="113">
        <f>VLOOKUP(B147,Directorio!$A$4:$V$23,15,FALSE)</f>
        <v>1</v>
      </c>
      <c r="F155" s="114">
        <f>R153</f>
        <v>1032.4295846662849</v>
      </c>
      <c r="G155" s="237" t="str">
        <f>IF(F155&gt;0,IF(F155=$K$153,IF(E155&gt;=0.6,"Vo.Bo.","No Vo.Bo."),IF(F155=U153,IF(E155&gt;0.5,"Vo.Bo.","No Vo.Bo."))))</f>
        <v>Vo.Bo.</v>
      </c>
      <c r="R155" s="94"/>
    </row>
    <row r="156" spans="1:21">
      <c r="D156" s="112">
        <f>VLOOKUP(B147,Directorio!$A$4:$V$23,17,FALSE)</f>
        <v>0</v>
      </c>
      <c r="E156" s="113">
        <f>VLOOKUP(B147,Directorio!$A$4:$V$23,18,FALSE)</f>
        <v>0</v>
      </c>
      <c r="F156" s="114">
        <f>S153</f>
        <v>0</v>
      </c>
      <c r="G156" s="238" t="b">
        <f>IF(F156&gt;0,IF(F156=$K$153,IF(E156&gt;=0.5,"Vo.Bo.","No Vo.Bo."),IF(F156=U153,IF(E156&gt;0.5,"Vo.Bo.","No Vo.Bo."))))</f>
        <v>0</v>
      </c>
      <c r="R156" s="94"/>
    </row>
    <row r="157" spans="1:21">
      <c r="D157" s="112">
        <f>VLOOKUP(B147,Directorio!$A$4:$V$23,20,FALSE)</f>
        <v>0</v>
      </c>
      <c r="E157" s="113">
        <f>VLOOKUP(B147,Directorio!$A$4:$V$23,21,FALSE)</f>
        <v>0</v>
      </c>
      <c r="F157" s="114">
        <f>T153</f>
        <v>0</v>
      </c>
      <c r="G157" s="138" t="str">
        <f>IF(F157&gt;0,IF(F157=$K$153,IF(E157&gt;=0.6,"Vo.Bo.","No Vo.Bo."),IF(F157=U153,IF(E157&gt;0.5,"Vo.Bo.","No Vo.Bo."),"")),"")</f>
        <v/>
      </c>
      <c r="R157" s="94"/>
    </row>
    <row r="158" spans="1:21" hidden="1">
      <c r="C158" s="115"/>
      <c r="G158" s="116">
        <v>1</v>
      </c>
      <c r="R158" s="94"/>
    </row>
    <row r="159" spans="1:21" ht="38.25" hidden="1" customHeight="1">
      <c r="A159" s="290" t="s">
        <v>128</v>
      </c>
      <c r="B159" s="291"/>
      <c r="C159" s="291"/>
      <c r="D159" s="291"/>
      <c r="E159" s="291"/>
      <c r="F159" s="291"/>
      <c r="G159" s="291"/>
      <c r="H159" s="291"/>
      <c r="I159" s="291"/>
      <c r="J159" s="291"/>
      <c r="K159" s="291"/>
      <c r="L159" s="291"/>
      <c r="M159" s="291"/>
      <c r="N159" s="291"/>
      <c r="O159" s="292"/>
      <c r="P159" s="185"/>
      <c r="Q159" s="85"/>
      <c r="R159" s="107" t="e">
        <f>IF(C159=#REF!,K159,0)</f>
        <v>#REF!</v>
      </c>
      <c r="S159" s="107" t="e">
        <f>IF(C159=#REF!,K159,0)</f>
        <v>#REF!</v>
      </c>
      <c r="T159" s="107" t="e">
        <f>IF(C159=#REF!,K159,0)</f>
        <v>#REF!</v>
      </c>
    </row>
    <row r="160" spans="1:21" ht="15" hidden="1" customHeight="1">
      <c r="A160" s="178"/>
      <c r="B160" s="177"/>
      <c r="C160" s="101"/>
      <c r="D160" s="45"/>
      <c r="E160" s="102"/>
      <c r="F160" s="91" t="s">
        <v>127</v>
      </c>
      <c r="G160" s="103" t="s">
        <v>127</v>
      </c>
      <c r="H160" s="104"/>
      <c r="I160" s="105">
        <f>IF(E160&gt;0,VLOOKUP(YEAR(E160),SMMLV!$A$6:$B$55,2,FALSE),0)</f>
        <v>0</v>
      </c>
      <c r="J160" s="106"/>
      <c r="K160" s="105">
        <f t="shared" ref="K160:K165" si="26">IF(AND(E160&gt;=$F$6,H160&gt;0),H160/I160*J160,0)</f>
        <v>0</v>
      </c>
      <c r="L160" s="105"/>
      <c r="M160" s="105"/>
      <c r="N160" s="105"/>
      <c r="O160" s="4"/>
      <c r="P160" s="223"/>
      <c r="Q160" s="85"/>
      <c r="R160" s="107" t="e">
        <f>IF(C160=#REF!,K160,0)</f>
        <v>#REF!</v>
      </c>
      <c r="S160" s="107" t="e">
        <f>IF(C160=#REF!,K160,0)</f>
        <v>#REF!</v>
      </c>
      <c r="T160" s="107" t="e">
        <f>IF(C160=#REF!,K160,0)</f>
        <v>#REF!</v>
      </c>
    </row>
    <row r="161" spans="1:21" hidden="1">
      <c r="A161" s="178"/>
      <c r="B161" s="177"/>
      <c r="C161" s="101"/>
      <c r="D161" s="45"/>
      <c r="E161" s="102"/>
      <c r="F161" s="91" t="s">
        <v>127</v>
      </c>
      <c r="G161" s="103" t="s">
        <v>127</v>
      </c>
      <c r="H161" s="104"/>
      <c r="I161" s="105">
        <f>IF(E161&gt;0,VLOOKUP(YEAR(E161),SMMLV!$A$6:$B$55,2,FALSE),0)</f>
        <v>0</v>
      </c>
      <c r="J161" s="106"/>
      <c r="K161" s="105">
        <f t="shared" si="26"/>
        <v>0</v>
      </c>
      <c r="L161" s="105"/>
      <c r="M161" s="105"/>
      <c r="N161" s="105"/>
      <c r="O161" s="4"/>
      <c r="P161" s="223"/>
      <c r="Q161" s="85"/>
      <c r="R161" s="107" t="e">
        <f>IF(C161=#REF!,K161,0)</f>
        <v>#REF!</v>
      </c>
      <c r="S161" s="107" t="e">
        <f>IF(C161=#REF!,K161,0)</f>
        <v>#REF!</v>
      </c>
      <c r="T161" s="107" t="e">
        <f>IF(C161=#REF!,K161,0)</f>
        <v>#REF!</v>
      </c>
    </row>
    <row r="162" spans="1:21" hidden="1">
      <c r="A162" s="178"/>
      <c r="B162" s="177"/>
      <c r="C162" s="101"/>
      <c r="D162" s="45"/>
      <c r="E162" s="102"/>
      <c r="F162" s="91" t="s">
        <v>127</v>
      </c>
      <c r="G162" s="103" t="s">
        <v>127</v>
      </c>
      <c r="H162" s="104"/>
      <c r="I162" s="105">
        <f>IF(E162&gt;0,VLOOKUP(YEAR(E162),SMMLV!$A$9:$B$55,2,FALSE),0)</f>
        <v>0</v>
      </c>
      <c r="J162" s="106"/>
      <c r="K162" s="105">
        <f t="shared" si="26"/>
        <v>0</v>
      </c>
      <c r="L162" s="105"/>
      <c r="M162" s="105"/>
      <c r="N162" s="105"/>
      <c r="O162" s="44"/>
      <c r="P162" s="225"/>
      <c r="Q162" s="85"/>
      <c r="R162" s="107" t="e">
        <f>IF(C162=#REF!,K162,0)</f>
        <v>#REF!</v>
      </c>
      <c r="S162" s="107" t="e">
        <f>IF(C162=#REF!,K162,0)</f>
        <v>#REF!</v>
      </c>
      <c r="T162" s="107" t="e">
        <f>IF(C162=#REF!,K162,0)</f>
        <v>#REF!</v>
      </c>
    </row>
    <row r="163" spans="1:21" hidden="1">
      <c r="A163" s="178"/>
      <c r="B163" s="177"/>
      <c r="C163" s="101"/>
      <c r="D163" s="45"/>
      <c r="E163" s="102"/>
      <c r="F163" s="91"/>
      <c r="G163" s="103"/>
      <c r="H163" s="104"/>
      <c r="I163" s="105">
        <f>IF(E163&gt;0,VLOOKUP(YEAR(E163),SMMLV!$A$9:$B$55,2,FALSE),0)</f>
        <v>0</v>
      </c>
      <c r="J163" s="106"/>
      <c r="K163" s="105">
        <f t="shared" si="26"/>
        <v>0</v>
      </c>
      <c r="L163" s="105"/>
      <c r="M163" s="105"/>
      <c r="N163" s="105"/>
      <c r="O163" s="44"/>
      <c r="P163" s="225"/>
      <c r="Q163" s="85"/>
      <c r="R163" s="107" t="e">
        <f>IF(C163=#REF!,K163,0)</f>
        <v>#REF!</v>
      </c>
      <c r="S163" s="107" t="e">
        <f>IF(C163=#REF!,K163,0)</f>
        <v>#REF!</v>
      </c>
      <c r="T163" s="107" t="e">
        <f>IF(C163=#REF!,K163,0)</f>
        <v>#REF!</v>
      </c>
    </row>
    <row r="164" spans="1:21" hidden="1">
      <c r="A164" s="178"/>
      <c r="B164" s="177"/>
      <c r="C164" s="101"/>
      <c r="D164" s="45"/>
      <c r="E164" s="102"/>
      <c r="F164" s="91"/>
      <c r="G164" s="103"/>
      <c r="H164" s="104"/>
      <c r="I164" s="105">
        <f>IF(E164&gt;0,VLOOKUP(YEAR(E164),SMMLV!$A$9:$B$55,2,FALSE),0)</f>
        <v>0</v>
      </c>
      <c r="J164" s="106"/>
      <c r="K164" s="105">
        <f t="shared" si="26"/>
        <v>0</v>
      </c>
      <c r="L164" s="105"/>
      <c r="M164" s="105"/>
      <c r="N164" s="105"/>
      <c r="O164" s="44"/>
      <c r="P164" s="225"/>
      <c r="Q164" s="85"/>
      <c r="R164" s="107" t="e">
        <f>IF(C164=#REF!,K164,0)</f>
        <v>#REF!</v>
      </c>
      <c r="S164" s="107" t="e">
        <f>IF(C164=#REF!,K164,0)</f>
        <v>#REF!</v>
      </c>
      <c r="T164" s="107" t="e">
        <f>IF(C164=#REF!,K164,0)</f>
        <v>#REF!</v>
      </c>
    </row>
    <row r="165" spans="1:21" hidden="1">
      <c r="A165" s="178"/>
      <c r="B165" s="177"/>
      <c r="C165" s="101"/>
      <c r="D165" s="45"/>
      <c r="E165" s="102"/>
      <c r="F165" s="91"/>
      <c r="G165" s="103"/>
      <c r="H165" s="104"/>
      <c r="I165" s="105">
        <f>IF(E165&gt;0,VLOOKUP(YEAR(E165),SMMLV!$A$9:$B$55,2,FALSE),0)</f>
        <v>0</v>
      </c>
      <c r="J165" s="106"/>
      <c r="K165" s="105">
        <f t="shared" si="26"/>
        <v>0</v>
      </c>
      <c r="L165" s="105"/>
      <c r="M165" s="105"/>
      <c r="N165" s="105"/>
      <c r="O165" s="44"/>
      <c r="P165" s="225"/>
      <c r="Q165" s="85"/>
      <c r="R165" s="107" t="e">
        <f>IF(C165=#REF!,K165,0)</f>
        <v>#REF!</v>
      </c>
      <c r="S165" s="107" t="e">
        <f>IF(C165=#REF!,K165,0)</f>
        <v>#REF!</v>
      </c>
      <c r="T165" s="107" t="e">
        <f>IF(C165=#REF!,K165,0)</f>
        <v>#REF!</v>
      </c>
    </row>
    <row r="166" spans="1:21" hidden="1">
      <c r="A166" s="289"/>
      <c r="B166" s="289"/>
      <c r="C166" s="289"/>
      <c r="D166" s="289"/>
      <c r="E166" s="289"/>
      <c r="F166" s="289"/>
      <c r="G166" s="289"/>
      <c r="H166" s="289"/>
      <c r="I166" s="289"/>
      <c r="J166" s="179"/>
      <c r="K166" s="109">
        <f>SUM(K160:K165)</f>
        <v>0</v>
      </c>
      <c r="L166" s="109"/>
      <c r="M166" s="109"/>
      <c r="N166" s="109"/>
      <c r="O166" s="90"/>
      <c r="P166" s="217"/>
      <c r="R166" s="107" t="e">
        <f>SUM(R153:R165)</f>
        <v>#REF!</v>
      </c>
      <c r="S166" s="107" t="e">
        <f>SUM(S153:S165)</f>
        <v>#REF!</v>
      </c>
      <c r="T166" s="107" t="e">
        <f>SUM(T153:T165)</f>
        <v>#REF!</v>
      </c>
      <c r="U166" s="110" t="e">
        <f>MAX(R166:T166)</f>
        <v>#REF!</v>
      </c>
    </row>
    <row r="167" spans="1:21" hidden="1">
      <c r="H167" s="89"/>
      <c r="I167" s="89"/>
      <c r="J167" s="89"/>
      <c r="K167" s="111" t="str">
        <f>IF(AND(K166&gt;=$G$6,G157&gt;0),"CUMPLE", "NO CUMPLE ")</f>
        <v xml:space="preserve">NO CUMPLE </v>
      </c>
      <c r="L167" s="202"/>
      <c r="M167" s="202"/>
      <c r="N167" s="202"/>
      <c r="R167" s="94"/>
    </row>
    <row r="168" spans="1:21" hidden="1">
      <c r="D168" s="85"/>
      <c r="E168" s="85"/>
      <c r="F168" s="85"/>
      <c r="G168" s="85"/>
      <c r="H168" s="85"/>
      <c r="R168" s="94"/>
    </row>
    <row r="169" spans="1:21" hidden="1">
      <c r="D169" s="85"/>
      <c r="E169" s="85"/>
      <c r="F169" s="85"/>
      <c r="G169" s="85"/>
      <c r="H169" s="85"/>
      <c r="K169" s="157" t="str">
        <f>IF(AND(K166&gt;=$V$10,K166&lt;=$W$10,K166&gt;0),"CUMPLE", "NO CUMPLE ")</f>
        <v xml:space="preserve">NO CUMPLE </v>
      </c>
      <c r="L169" s="157"/>
      <c r="M169" s="157"/>
      <c r="N169" s="157"/>
      <c r="O169" s="158" t="s">
        <v>141</v>
      </c>
      <c r="P169" s="226"/>
      <c r="R169" s="94"/>
    </row>
    <row r="170" spans="1:21" hidden="1">
      <c r="D170" s="85"/>
      <c r="E170" s="85"/>
      <c r="F170" s="85"/>
      <c r="G170" s="85"/>
      <c r="H170" s="85"/>
      <c r="K170" s="161" t="str">
        <f>IF(AND(K166&gt;=$W$10,K166&lt;=$X$10,K166&gt;0),"CUMPLE", "NO CUMPLE ")</f>
        <v xml:space="preserve">NO CUMPLE </v>
      </c>
      <c r="L170" s="161"/>
      <c r="M170" s="161"/>
      <c r="N170" s="161"/>
      <c r="O170" s="159" t="s">
        <v>142</v>
      </c>
      <c r="P170" s="227"/>
      <c r="R170" s="94"/>
    </row>
    <row r="171" spans="1:21" hidden="1">
      <c r="C171" s="115"/>
      <c r="D171" s="85"/>
      <c r="E171" s="85"/>
      <c r="F171" s="85"/>
      <c r="G171" s="85"/>
      <c r="H171" s="85"/>
      <c r="K171" s="183" t="str">
        <f>IF(AND(K167&gt;=$X$10,K167&lt;=$Y$10,K167&gt;0),"CUMPLE", "NO CUMPLE ")</f>
        <v xml:space="preserve">NO CUMPLE </v>
      </c>
      <c r="L171" s="183"/>
      <c r="M171" s="183"/>
      <c r="N171" s="183"/>
      <c r="O171" s="184" t="s">
        <v>143</v>
      </c>
      <c r="P171" s="228"/>
      <c r="R171" s="94"/>
    </row>
    <row r="172" spans="1:21" hidden="1">
      <c r="C172" s="115"/>
      <c r="G172" s="116"/>
      <c r="K172" s="156" t="str">
        <f>IF(AND(K166&gt;=$Y$10,K166&gt;0),"CUMPLE", "NO CUMPLE ")</f>
        <v xml:space="preserve">NO CUMPLE </v>
      </c>
      <c r="L172" s="156"/>
      <c r="M172" s="156"/>
      <c r="N172" s="156"/>
      <c r="O172" s="160" t="s">
        <v>144</v>
      </c>
      <c r="P172" s="229"/>
      <c r="R172" s="94"/>
    </row>
    <row r="173" spans="1:21">
      <c r="C173" s="115"/>
      <c r="G173" s="116"/>
      <c r="R173" s="94"/>
    </row>
    <row r="174" spans="1:21" ht="22.5" customHeight="1">
      <c r="A174" s="192" t="s">
        <v>6</v>
      </c>
      <c r="B174" s="193">
        <f>B147+1</f>
        <v>7</v>
      </c>
      <c r="C174" s="194" t="s">
        <v>122</v>
      </c>
      <c r="D174" s="295" t="str">
        <f>VLOOKUP(B174,Directorio!$A$4:$V$23,3,FALSE)</f>
        <v>IMPRIDEAS S.A.S.</v>
      </c>
      <c r="E174" s="296"/>
      <c r="F174" s="296"/>
      <c r="G174" s="297"/>
      <c r="H174" s="298"/>
      <c r="I174" s="293" t="str">
        <f>VLOOKUP(B174,Directorio!$A$4:$V$23,4,FALSE)</f>
        <v>900.305.563-1</v>
      </c>
      <c r="J174" s="294"/>
      <c r="K174" s="294"/>
      <c r="L174" s="294"/>
      <c r="M174" s="294"/>
      <c r="N174" s="294"/>
      <c r="O174" s="294"/>
      <c r="P174" s="219"/>
      <c r="Q174" s="85"/>
      <c r="R174" s="94" t="s">
        <v>69</v>
      </c>
      <c r="S174" s="87" t="s">
        <v>70</v>
      </c>
      <c r="T174" s="87" t="s">
        <v>71</v>
      </c>
    </row>
    <row r="175" spans="1:21" ht="25.5">
      <c r="A175" s="97" t="s">
        <v>5</v>
      </c>
      <c r="B175" s="97" t="s">
        <v>27</v>
      </c>
      <c r="C175" s="97" t="s">
        <v>36</v>
      </c>
      <c r="D175" s="97" t="s">
        <v>28</v>
      </c>
      <c r="E175" s="98" t="s">
        <v>29</v>
      </c>
      <c r="F175" s="97" t="s">
        <v>30</v>
      </c>
      <c r="G175" s="97" t="s">
        <v>31</v>
      </c>
      <c r="H175" s="97" t="s">
        <v>32</v>
      </c>
      <c r="I175" s="97" t="s">
        <v>33</v>
      </c>
      <c r="J175" s="97" t="s">
        <v>66</v>
      </c>
      <c r="K175" s="97" t="s">
        <v>34</v>
      </c>
      <c r="L175" s="97" t="s">
        <v>153</v>
      </c>
      <c r="M175" s="97" t="s">
        <v>145</v>
      </c>
      <c r="N175" s="97" t="s">
        <v>154</v>
      </c>
      <c r="O175" s="97" t="s">
        <v>35</v>
      </c>
      <c r="P175" s="217"/>
      <c r="Q175" s="85"/>
      <c r="R175" s="94" t="str">
        <f>D180</f>
        <v>IMPRIDEAS S.A.S.</v>
      </c>
      <c r="S175" s="87">
        <f>D181</f>
        <v>0</v>
      </c>
      <c r="T175" s="87">
        <f>D182</f>
        <v>0</v>
      </c>
    </row>
    <row r="176" spans="1:21" ht="63.75">
      <c r="A176" s="299" t="s">
        <v>160</v>
      </c>
      <c r="B176" s="100" t="s">
        <v>245</v>
      </c>
      <c r="C176" s="101" t="s">
        <v>241</v>
      </c>
      <c r="D176" s="45" t="s">
        <v>246</v>
      </c>
      <c r="E176" s="209">
        <v>43936</v>
      </c>
      <c r="F176" s="91" t="s">
        <v>127</v>
      </c>
      <c r="G176" s="103" t="s">
        <v>127</v>
      </c>
      <c r="H176" s="104">
        <v>6371161786</v>
      </c>
      <c r="I176" s="105">
        <f>IF(E176&gt;0,VLOOKUP(YEAR(E176),SMMLV!$A$2:$B$55,2,FALSE),0)</f>
        <v>877802</v>
      </c>
      <c r="J176" s="106">
        <v>1</v>
      </c>
      <c r="K176" s="105">
        <f>IF(AND(E176&gt;=$F$6,H176&gt;0),H176/I176*J176,0)</f>
        <v>7258.085292583065</v>
      </c>
      <c r="L176" s="211">
        <v>32</v>
      </c>
      <c r="M176" s="168" t="s">
        <v>209</v>
      </c>
      <c r="N176" s="286" t="s">
        <v>162</v>
      </c>
      <c r="O176" s="44"/>
      <c r="P176" s="225"/>
      <c r="Q176" s="85"/>
      <c r="R176" s="107">
        <f t="shared" ref="R176:R177" si="27">IF(C176=$R$175,K176,0)</f>
        <v>7258.085292583065</v>
      </c>
      <c r="S176" s="107">
        <f t="shared" ref="S176:S177" si="28">IF(C176=$S$175,K176,0)</f>
        <v>0</v>
      </c>
      <c r="T176" s="107">
        <f t="shared" ref="T176:T177" si="29">IF(C176=$T$175,K176,0)</f>
        <v>0</v>
      </c>
    </row>
    <row r="177" spans="1:21" ht="55.5" customHeight="1">
      <c r="A177" s="300"/>
      <c r="B177" s="99" t="s">
        <v>245</v>
      </c>
      <c r="C177" s="101" t="s">
        <v>241</v>
      </c>
      <c r="D177" s="45" t="s">
        <v>246</v>
      </c>
      <c r="E177" s="209">
        <v>44196</v>
      </c>
      <c r="F177" s="91" t="s">
        <v>127</v>
      </c>
      <c r="G177" s="103" t="s">
        <v>127</v>
      </c>
      <c r="H177" s="104">
        <v>2738618143</v>
      </c>
      <c r="I177" s="105">
        <f>IF(E177&gt;0,VLOOKUP(YEAR(E177),SMMLV!$A$2:$B$55,2,FALSE),0)</f>
        <v>877802</v>
      </c>
      <c r="J177" s="106">
        <v>1</v>
      </c>
      <c r="K177" s="105">
        <f t="shared" ref="K177" si="30">IF(AND(E177&gt;=$F$6,H177&gt;0),H177/I177*J177,0)</f>
        <v>3119.8586275720495</v>
      </c>
      <c r="L177" s="211">
        <v>39</v>
      </c>
      <c r="M177" s="168" t="s">
        <v>209</v>
      </c>
      <c r="N177" s="287"/>
      <c r="O177" s="44"/>
      <c r="P177" s="225"/>
      <c r="Q177" s="85"/>
      <c r="R177" s="107">
        <f t="shared" si="27"/>
        <v>3119.8586275720495</v>
      </c>
      <c r="S177" s="107">
        <f t="shared" si="28"/>
        <v>0</v>
      </c>
      <c r="T177" s="107">
        <f t="shared" si="29"/>
        <v>0</v>
      </c>
    </row>
    <row r="178" spans="1:21">
      <c r="A178" s="289"/>
      <c r="B178" s="289"/>
      <c r="C178" s="289"/>
      <c r="D178" s="289"/>
      <c r="E178" s="289"/>
      <c r="F178" s="289"/>
      <c r="G178" s="289"/>
      <c r="H178" s="289"/>
      <c r="I178" s="289"/>
      <c r="J178" s="96"/>
      <c r="K178" s="109">
        <f>SUM(K176:K177)</f>
        <v>10377.943920155114</v>
      </c>
      <c r="L178" s="109"/>
      <c r="M178" s="109"/>
      <c r="N178" s="109"/>
      <c r="O178" s="90"/>
      <c r="P178" s="217"/>
      <c r="R178" s="107">
        <f>SUM(R176:R177)</f>
        <v>10377.943920155114</v>
      </c>
      <c r="S178" s="107">
        <f>SUM(S176:S177)</f>
        <v>0</v>
      </c>
      <c r="T178" s="107">
        <f>SUM(T176:T177)</f>
        <v>0</v>
      </c>
      <c r="U178" s="110">
        <f>MAX(R178:T178)</f>
        <v>10377.943920155114</v>
      </c>
    </row>
    <row r="179" spans="1:21">
      <c r="H179" s="89"/>
      <c r="I179" s="89"/>
      <c r="J179" s="89"/>
      <c r="K179" s="111" t="str">
        <f>IF(AND(K178&gt;=$G$6,G183&gt;0),"CUMPLE", "NO CUMPLE ")</f>
        <v>CUMPLE</v>
      </c>
      <c r="L179" s="202"/>
      <c r="M179" s="202"/>
      <c r="N179" s="202"/>
      <c r="R179" s="94"/>
    </row>
    <row r="180" spans="1:21">
      <c r="D180" s="112" t="str">
        <f>VLOOKUP(B174,Directorio!$A$4:$V$23,14,FALSE)</f>
        <v>IMPRIDEAS S.A.S.</v>
      </c>
      <c r="E180" s="113">
        <f>VLOOKUP(B174,Directorio!$A$4:$V$23,15,FALSE)</f>
        <v>1</v>
      </c>
      <c r="F180" s="114">
        <f>R178</f>
        <v>10377.943920155114</v>
      </c>
      <c r="G180" s="138" t="str">
        <f>IF(F180&gt;0,IF(F180=$K$178,IF(E180&gt;=0.6,"Vo.Bo.","No Vo.Bo."),IF(F180=U178,IF(E180&gt;0.5,"Vo.Bo.","No Vo.Bo."),"")),"")</f>
        <v>Vo.Bo.</v>
      </c>
      <c r="R180" s="94"/>
    </row>
    <row r="181" spans="1:21">
      <c r="D181" s="112">
        <f>VLOOKUP(B174,Directorio!$A$4:$V$23,17,FALSE)</f>
        <v>0</v>
      </c>
      <c r="E181" s="113">
        <f>VLOOKUP(B174,Directorio!$A$4:$V$23,18,FALSE)</f>
        <v>0</v>
      </c>
      <c r="F181" s="114">
        <f>S178</f>
        <v>0</v>
      </c>
      <c r="G181" s="138" t="str">
        <f>IF(F181&gt;0,IF(F181=$K$178,IF(E181&gt;=0.6,"Vo.Bo.","No Vo.Bo."),IF(F181=U178,IF(E181&gt;0.5,"Vo.Bo.","No Vo.Bo."),"")),"")</f>
        <v/>
      </c>
      <c r="R181" s="94"/>
    </row>
    <row r="182" spans="1:21">
      <c r="D182" s="112">
        <f>VLOOKUP(B174,Directorio!$A$4:$V$23,20,FALSE)</f>
        <v>0</v>
      </c>
      <c r="E182" s="113">
        <f>VLOOKUP(B174,Directorio!$A$4:$V$23,21,FALSE)</f>
        <v>0</v>
      </c>
      <c r="F182" s="114">
        <f>T178</f>
        <v>0</v>
      </c>
      <c r="G182" s="138" t="str">
        <f>IF(F182&gt;0,IF(F182=$K$178,IF(E182&gt;=0.6,"Vo.Bo.","No Vo.Bo."),IF(F182=U178,IF(E182&gt;0.5,"Vo.Bo.","No Vo.Bo."),"")),"")</f>
        <v/>
      </c>
      <c r="R182" s="94"/>
    </row>
    <row r="183" spans="1:21" hidden="1">
      <c r="C183" s="115"/>
      <c r="G183" s="116">
        <f>COUNTIF(G180:G182,"Vo.Bo.")</f>
        <v>1</v>
      </c>
      <c r="R183" s="94"/>
    </row>
    <row r="184" spans="1:21" ht="38.25" hidden="1" customHeight="1">
      <c r="A184" s="290" t="s">
        <v>128</v>
      </c>
      <c r="B184" s="291"/>
      <c r="C184" s="291"/>
      <c r="D184" s="291"/>
      <c r="E184" s="291"/>
      <c r="F184" s="291"/>
      <c r="G184" s="291"/>
      <c r="H184" s="291"/>
      <c r="I184" s="291"/>
      <c r="J184" s="291"/>
      <c r="K184" s="291"/>
      <c r="L184" s="291"/>
      <c r="M184" s="291"/>
      <c r="N184" s="291"/>
      <c r="O184" s="292"/>
      <c r="P184" s="185"/>
      <c r="Q184" s="85"/>
      <c r="R184" s="107" t="e">
        <f>IF(C184=#REF!,K184,0)</f>
        <v>#REF!</v>
      </c>
      <c r="S184" s="107" t="e">
        <f>IF(C184=#REF!,K184,0)</f>
        <v>#REF!</v>
      </c>
      <c r="T184" s="107" t="e">
        <f>IF(C184=#REF!,K184,0)</f>
        <v>#REF!</v>
      </c>
    </row>
    <row r="185" spans="1:21" ht="15" hidden="1" customHeight="1">
      <c r="A185" s="178"/>
      <c r="B185" s="177"/>
      <c r="C185" s="101"/>
      <c r="D185" s="45"/>
      <c r="E185" s="102"/>
      <c r="F185" s="91" t="s">
        <v>127</v>
      </c>
      <c r="G185" s="103" t="s">
        <v>127</v>
      </c>
      <c r="H185" s="104"/>
      <c r="I185" s="105">
        <f>IF(E185&gt;0,VLOOKUP(YEAR(E185),SMMLV!$A$6:$B$55,2,FALSE),0)</f>
        <v>0</v>
      </c>
      <c r="J185" s="106"/>
      <c r="K185" s="105">
        <f t="shared" ref="K185:K190" si="31">IF(AND(E185&gt;=$F$6,H185&gt;0),H185/I185*J185,0)</f>
        <v>0</v>
      </c>
      <c r="L185" s="105"/>
      <c r="M185" s="105"/>
      <c r="N185" s="105"/>
      <c r="O185" s="4"/>
      <c r="P185" s="223"/>
      <c r="Q185" s="85"/>
      <c r="R185" s="107" t="e">
        <f>IF(C185=#REF!,K185,0)</f>
        <v>#REF!</v>
      </c>
      <c r="S185" s="107" t="e">
        <f>IF(C185=#REF!,K185,0)</f>
        <v>#REF!</v>
      </c>
      <c r="T185" s="107" t="e">
        <f>IF(C185=#REF!,K185,0)</f>
        <v>#REF!</v>
      </c>
    </row>
    <row r="186" spans="1:21" hidden="1">
      <c r="A186" s="178"/>
      <c r="B186" s="177"/>
      <c r="C186" s="101"/>
      <c r="D186" s="45"/>
      <c r="E186" s="102"/>
      <c r="F186" s="91" t="s">
        <v>127</v>
      </c>
      <c r="G186" s="103" t="s">
        <v>127</v>
      </c>
      <c r="H186" s="104"/>
      <c r="I186" s="105">
        <f>IF(E186&gt;0,VLOOKUP(YEAR(E186),SMMLV!$A$6:$B$55,2,FALSE),0)</f>
        <v>0</v>
      </c>
      <c r="J186" s="106"/>
      <c r="K186" s="105">
        <f t="shared" si="31"/>
        <v>0</v>
      </c>
      <c r="L186" s="105"/>
      <c r="M186" s="105"/>
      <c r="N186" s="105"/>
      <c r="O186" s="4"/>
      <c r="P186" s="223"/>
      <c r="Q186" s="85"/>
      <c r="R186" s="107" t="e">
        <f>IF(C186=#REF!,K186,0)</f>
        <v>#REF!</v>
      </c>
      <c r="S186" s="107" t="e">
        <f>IF(C186=#REF!,K186,0)</f>
        <v>#REF!</v>
      </c>
      <c r="T186" s="107" t="e">
        <f>IF(C186=#REF!,K186,0)</f>
        <v>#REF!</v>
      </c>
    </row>
    <row r="187" spans="1:21" hidden="1">
      <c r="A187" s="178"/>
      <c r="B187" s="177"/>
      <c r="C187" s="101"/>
      <c r="D187" s="45"/>
      <c r="E187" s="102"/>
      <c r="F187" s="91" t="s">
        <v>127</v>
      </c>
      <c r="G187" s="103" t="s">
        <v>127</v>
      </c>
      <c r="H187" s="104"/>
      <c r="I187" s="105">
        <f>IF(E187&gt;0,VLOOKUP(YEAR(E187),SMMLV!$A$9:$B$55,2,FALSE),0)</f>
        <v>0</v>
      </c>
      <c r="J187" s="106"/>
      <c r="K187" s="105">
        <f t="shared" si="31"/>
        <v>0</v>
      </c>
      <c r="L187" s="105"/>
      <c r="M187" s="105"/>
      <c r="N187" s="105"/>
      <c r="O187" s="44"/>
      <c r="P187" s="225"/>
      <c r="Q187" s="85"/>
      <c r="R187" s="107" t="e">
        <f>IF(C187=#REF!,K187,0)</f>
        <v>#REF!</v>
      </c>
      <c r="S187" s="107" t="e">
        <f>IF(C187=#REF!,K187,0)</f>
        <v>#REF!</v>
      </c>
      <c r="T187" s="107" t="e">
        <f>IF(C187=#REF!,K187,0)</f>
        <v>#REF!</v>
      </c>
    </row>
    <row r="188" spans="1:21" hidden="1">
      <c r="A188" s="178"/>
      <c r="B188" s="177"/>
      <c r="C188" s="101"/>
      <c r="D188" s="45"/>
      <c r="E188" s="102"/>
      <c r="F188" s="91"/>
      <c r="G188" s="103"/>
      <c r="H188" s="104"/>
      <c r="I188" s="105">
        <f>IF(E188&gt;0,VLOOKUP(YEAR(E188),SMMLV!$A$9:$B$55,2,FALSE),0)</f>
        <v>0</v>
      </c>
      <c r="J188" s="106"/>
      <c r="K188" s="105">
        <f t="shared" si="31"/>
        <v>0</v>
      </c>
      <c r="L188" s="105"/>
      <c r="M188" s="105"/>
      <c r="N188" s="105"/>
      <c r="O188" s="44"/>
      <c r="P188" s="225"/>
      <c r="Q188" s="85"/>
      <c r="R188" s="107" t="e">
        <f>IF(C188=#REF!,K188,0)</f>
        <v>#REF!</v>
      </c>
      <c r="S188" s="107" t="e">
        <f>IF(C188=#REF!,K188,0)</f>
        <v>#REF!</v>
      </c>
      <c r="T188" s="107" t="e">
        <f>IF(C188=#REF!,K188,0)</f>
        <v>#REF!</v>
      </c>
    </row>
    <row r="189" spans="1:21" hidden="1">
      <c r="A189" s="178"/>
      <c r="B189" s="177"/>
      <c r="C189" s="101"/>
      <c r="D189" s="45"/>
      <c r="E189" s="102"/>
      <c r="F189" s="91"/>
      <c r="G189" s="103"/>
      <c r="H189" s="104"/>
      <c r="I189" s="105">
        <f>IF(E189&gt;0,VLOOKUP(YEAR(E189),SMMLV!$A$9:$B$55,2,FALSE),0)</f>
        <v>0</v>
      </c>
      <c r="J189" s="106"/>
      <c r="K189" s="105">
        <f t="shared" si="31"/>
        <v>0</v>
      </c>
      <c r="L189" s="105"/>
      <c r="M189" s="105"/>
      <c r="N189" s="105"/>
      <c r="O189" s="44"/>
      <c r="P189" s="225"/>
      <c r="Q189" s="85"/>
      <c r="R189" s="107" t="e">
        <f>IF(C189=#REF!,K189,0)</f>
        <v>#REF!</v>
      </c>
      <c r="S189" s="107" t="e">
        <f>IF(C189=#REF!,K189,0)</f>
        <v>#REF!</v>
      </c>
      <c r="T189" s="107" t="e">
        <f>IF(C189=#REF!,K189,0)</f>
        <v>#REF!</v>
      </c>
    </row>
    <row r="190" spans="1:21" hidden="1">
      <c r="A190" s="178"/>
      <c r="B190" s="177"/>
      <c r="C190" s="101"/>
      <c r="D190" s="45"/>
      <c r="E190" s="102"/>
      <c r="F190" s="91"/>
      <c r="G190" s="103"/>
      <c r="H190" s="104"/>
      <c r="I190" s="105">
        <f>IF(E190&gt;0,VLOOKUP(YEAR(E190),SMMLV!$A$9:$B$55,2,FALSE),0)</f>
        <v>0</v>
      </c>
      <c r="J190" s="106"/>
      <c r="K190" s="105">
        <f t="shared" si="31"/>
        <v>0</v>
      </c>
      <c r="L190" s="105"/>
      <c r="M190" s="105"/>
      <c r="N190" s="105"/>
      <c r="O190" s="44"/>
      <c r="P190" s="225"/>
      <c r="Q190" s="85"/>
      <c r="R190" s="107" t="e">
        <f>IF(C190=#REF!,K190,0)</f>
        <v>#REF!</v>
      </c>
      <c r="S190" s="107" t="e">
        <f>IF(C190=#REF!,K190,0)</f>
        <v>#REF!</v>
      </c>
      <c r="T190" s="107" t="e">
        <f>IF(C190=#REF!,K190,0)</f>
        <v>#REF!</v>
      </c>
    </row>
    <row r="191" spans="1:21" hidden="1">
      <c r="A191" s="289"/>
      <c r="B191" s="289"/>
      <c r="C191" s="289"/>
      <c r="D191" s="289"/>
      <c r="E191" s="289"/>
      <c r="F191" s="289"/>
      <c r="G191" s="289"/>
      <c r="H191" s="289"/>
      <c r="I191" s="289"/>
      <c r="J191" s="179"/>
      <c r="K191" s="109">
        <f>SUM(K185:K190)</f>
        <v>0</v>
      </c>
      <c r="L191" s="109"/>
      <c r="M191" s="109"/>
      <c r="N191" s="109"/>
      <c r="O191" s="90"/>
      <c r="P191" s="217"/>
      <c r="R191" s="107" t="e">
        <f>SUM(R178:R190)</f>
        <v>#REF!</v>
      </c>
      <c r="S191" s="107" t="e">
        <f>SUM(S178:S190)</f>
        <v>#REF!</v>
      </c>
      <c r="T191" s="107" t="e">
        <f>SUM(T178:T190)</f>
        <v>#REF!</v>
      </c>
      <c r="U191" s="110" t="e">
        <f>MAX(R191:T191)</f>
        <v>#REF!</v>
      </c>
    </row>
    <row r="192" spans="1:21" hidden="1">
      <c r="H192" s="89"/>
      <c r="I192" s="89"/>
      <c r="J192" s="89"/>
      <c r="K192" s="111" t="str">
        <f>IF(AND(K191&gt;=$G$6,G182&gt;0),"CUMPLE", "NO CUMPLE ")</f>
        <v xml:space="preserve">NO CUMPLE </v>
      </c>
      <c r="L192" s="202"/>
      <c r="M192" s="202"/>
      <c r="N192" s="202"/>
      <c r="R192" s="94"/>
    </row>
    <row r="193" spans="1:20" hidden="1">
      <c r="D193" s="85"/>
      <c r="E193" s="85"/>
      <c r="F193" s="85"/>
      <c r="G193" s="85"/>
      <c r="H193" s="85"/>
      <c r="R193" s="94"/>
    </row>
    <row r="194" spans="1:20" hidden="1">
      <c r="D194" s="85"/>
      <c r="E194" s="85"/>
      <c r="F194" s="85"/>
      <c r="G194" s="85"/>
      <c r="H194" s="85"/>
      <c r="K194" s="157" t="str">
        <f>IF(AND(K191&gt;=$V$10,K191&lt;=$W$10,K191&gt;0),"CUMPLE", "NO CUMPLE ")</f>
        <v xml:space="preserve">NO CUMPLE </v>
      </c>
      <c r="L194" s="157"/>
      <c r="M194" s="157"/>
      <c r="N194" s="157"/>
      <c r="O194" s="158" t="s">
        <v>141</v>
      </c>
      <c r="P194" s="226"/>
      <c r="R194" s="94"/>
    </row>
    <row r="195" spans="1:20" hidden="1">
      <c r="D195" s="85"/>
      <c r="E195" s="85"/>
      <c r="F195" s="85"/>
      <c r="G195" s="85"/>
      <c r="H195" s="85"/>
      <c r="K195" s="161" t="str">
        <f>IF(AND(K191&gt;=$W$10,K191&lt;=$X$10,K191&gt;0),"CUMPLE", "NO CUMPLE ")</f>
        <v xml:space="preserve">NO CUMPLE </v>
      </c>
      <c r="L195" s="161"/>
      <c r="M195" s="161"/>
      <c r="N195" s="161"/>
      <c r="O195" s="159" t="s">
        <v>142</v>
      </c>
      <c r="P195" s="227"/>
      <c r="R195" s="94"/>
    </row>
    <row r="196" spans="1:20" hidden="1">
      <c r="C196" s="115"/>
      <c r="D196" s="85"/>
      <c r="E196" s="85"/>
      <c r="F196" s="85"/>
      <c r="G196" s="85"/>
      <c r="H196" s="85"/>
      <c r="K196" s="183" t="str">
        <f>IF(AND(K192&gt;=$X$10,K192&lt;=$Y$10,K192&gt;0),"CUMPLE", "NO CUMPLE ")</f>
        <v xml:space="preserve">NO CUMPLE </v>
      </c>
      <c r="L196" s="183"/>
      <c r="M196" s="183"/>
      <c r="N196" s="183"/>
      <c r="O196" s="184" t="s">
        <v>143</v>
      </c>
      <c r="P196" s="228"/>
      <c r="R196" s="94"/>
    </row>
    <row r="197" spans="1:20" hidden="1">
      <c r="C197" s="115"/>
      <c r="G197" s="116"/>
      <c r="K197" s="156" t="str">
        <f>IF(AND(K191&gt;=$Y$10,K191&gt;0),"CUMPLE", "NO CUMPLE ")</f>
        <v xml:space="preserve">NO CUMPLE </v>
      </c>
      <c r="L197" s="156"/>
      <c r="M197" s="156"/>
      <c r="N197" s="156"/>
      <c r="O197" s="160" t="s">
        <v>144</v>
      </c>
      <c r="P197" s="229"/>
      <c r="R197" s="94"/>
    </row>
    <row r="198" spans="1:20" hidden="1">
      <c r="C198" s="115"/>
      <c r="G198" s="116"/>
      <c r="R198" s="94"/>
    </row>
    <row r="199" spans="1:20" ht="22.5" hidden="1" customHeight="1">
      <c r="A199" s="145" t="s">
        <v>6</v>
      </c>
      <c r="B199" s="146">
        <f>B174+1</f>
        <v>8</v>
      </c>
      <c r="C199" s="147" t="s">
        <v>122</v>
      </c>
      <c r="D199" s="304" t="e">
        <f>VLOOKUP(B199,Directorio!$A$4:$V$23,3,FALSE)</f>
        <v>#N/A</v>
      </c>
      <c r="E199" s="305"/>
      <c r="F199" s="305"/>
      <c r="G199" s="305"/>
      <c r="H199" s="306"/>
      <c r="I199" s="302" t="e">
        <f>VLOOKUP(B199,Directorio!$A$4:$V$23,4,FALSE)</f>
        <v>#N/A</v>
      </c>
      <c r="J199" s="303"/>
      <c r="K199" s="303"/>
      <c r="L199" s="303"/>
      <c r="M199" s="303"/>
      <c r="N199" s="303"/>
      <c r="O199" s="303"/>
      <c r="P199" s="231"/>
      <c r="Q199" s="85"/>
      <c r="R199" s="94" t="s">
        <v>69</v>
      </c>
      <c r="S199" s="87" t="s">
        <v>70</v>
      </c>
      <c r="T199" s="87" t="s">
        <v>71</v>
      </c>
    </row>
    <row r="200" spans="1:20" ht="25.5" hidden="1">
      <c r="A200" s="97" t="s">
        <v>5</v>
      </c>
      <c r="B200" s="97" t="s">
        <v>27</v>
      </c>
      <c r="C200" s="97" t="s">
        <v>36</v>
      </c>
      <c r="D200" s="97" t="s">
        <v>28</v>
      </c>
      <c r="E200" s="98" t="s">
        <v>29</v>
      </c>
      <c r="F200" s="97" t="s">
        <v>30</v>
      </c>
      <c r="G200" s="97" t="s">
        <v>31</v>
      </c>
      <c r="H200" s="97" t="s">
        <v>32</v>
      </c>
      <c r="I200" s="97" t="s">
        <v>33</v>
      </c>
      <c r="J200" s="97" t="s">
        <v>66</v>
      </c>
      <c r="K200" s="97" t="s">
        <v>34</v>
      </c>
      <c r="L200" s="97"/>
      <c r="M200" s="97"/>
      <c r="N200" s="97"/>
      <c r="O200" s="97" t="s">
        <v>35</v>
      </c>
      <c r="P200" s="217"/>
      <c r="Q200" s="85"/>
      <c r="R200" s="94" t="e">
        <f>D213</f>
        <v>#N/A</v>
      </c>
      <c r="S200" s="87" t="e">
        <f>D214</f>
        <v>#N/A</v>
      </c>
      <c r="T200" s="87" t="e">
        <f>D215</f>
        <v>#N/A</v>
      </c>
    </row>
    <row r="201" spans="1:20" hidden="1">
      <c r="A201" s="99"/>
      <c r="B201" s="100"/>
      <c r="C201" s="101"/>
      <c r="D201" s="45"/>
      <c r="E201" s="102"/>
      <c r="F201" s="91"/>
      <c r="G201" s="103"/>
      <c r="H201" s="104"/>
      <c r="I201" s="105">
        <f>IF(E201&gt;0,VLOOKUP(YEAR(E201),SMMLV!$A$9:$B$55,2,FALSE),0)</f>
        <v>0</v>
      </c>
      <c r="J201" s="106"/>
      <c r="K201" s="105">
        <f>IF(AND(E201&gt;=$F$6,H201&gt;0),H201/I201*J201,0)</f>
        <v>0</v>
      </c>
      <c r="L201" s="105"/>
      <c r="M201" s="105"/>
      <c r="N201" s="105"/>
      <c r="O201" s="44"/>
      <c r="P201" s="225"/>
      <c r="Q201" s="85"/>
      <c r="R201" s="107" t="e">
        <f t="shared" ref="R201:R210" si="32">IF(C201=$R$200,K201,0)</f>
        <v>#N/A</v>
      </c>
      <c r="S201" s="107" t="e">
        <f t="shared" ref="S201:S210" si="33">IF(C201=$S$200,K201,0)</f>
        <v>#N/A</v>
      </c>
      <c r="T201" s="107" t="e">
        <f t="shared" ref="T201:T210" si="34">IF(C201=$T$200,K201,0)</f>
        <v>#N/A</v>
      </c>
    </row>
    <row r="202" spans="1:20" hidden="1">
      <c r="A202" s="108"/>
      <c r="B202" s="99"/>
      <c r="C202" s="101"/>
      <c r="D202" s="45"/>
      <c r="E202" s="102"/>
      <c r="F202" s="91"/>
      <c r="G202" s="103"/>
      <c r="H202" s="104"/>
      <c r="I202" s="105">
        <f>IF(E202&gt;0,VLOOKUP(YEAR(E202),SMMLV!$A$9:$B$55,2,FALSE),0)</f>
        <v>0</v>
      </c>
      <c r="J202" s="106"/>
      <c r="K202" s="105">
        <f t="shared" ref="K202:K210" si="35">IF(AND(E202&gt;=$F$6,H202&gt;0),H202/I202*J202,0)</f>
        <v>0</v>
      </c>
      <c r="L202" s="105"/>
      <c r="M202" s="105"/>
      <c r="N202" s="105"/>
      <c r="O202" s="44"/>
      <c r="P202" s="225"/>
      <c r="Q202" s="85"/>
      <c r="R202" s="107" t="e">
        <f t="shared" si="32"/>
        <v>#N/A</v>
      </c>
      <c r="S202" s="107" t="e">
        <f t="shared" si="33"/>
        <v>#N/A</v>
      </c>
      <c r="T202" s="107" t="e">
        <f t="shared" si="34"/>
        <v>#N/A</v>
      </c>
    </row>
    <row r="203" spans="1:20" hidden="1">
      <c r="A203" s="108"/>
      <c r="B203" s="99"/>
      <c r="C203" s="101"/>
      <c r="D203" s="45"/>
      <c r="E203" s="102"/>
      <c r="F203" s="91"/>
      <c r="G203" s="103"/>
      <c r="H203" s="104"/>
      <c r="I203" s="105">
        <f>IF(E203&gt;0,VLOOKUP(YEAR(E203),SMMLV!$A$9:$B$55,2,FALSE),0)</f>
        <v>0</v>
      </c>
      <c r="J203" s="106"/>
      <c r="K203" s="105">
        <f t="shared" si="35"/>
        <v>0</v>
      </c>
      <c r="L203" s="105"/>
      <c r="M203" s="105"/>
      <c r="N203" s="105"/>
      <c r="O203" s="44"/>
      <c r="P203" s="225"/>
      <c r="Q203" s="85"/>
      <c r="R203" s="107" t="e">
        <f t="shared" si="32"/>
        <v>#N/A</v>
      </c>
      <c r="S203" s="107" t="e">
        <f t="shared" si="33"/>
        <v>#N/A</v>
      </c>
      <c r="T203" s="107" t="e">
        <f t="shared" si="34"/>
        <v>#N/A</v>
      </c>
    </row>
    <row r="204" spans="1:20" hidden="1">
      <c r="A204" s="108"/>
      <c r="B204" s="99"/>
      <c r="C204" s="101"/>
      <c r="D204" s="45"/>
      <c r="E204" s="102"/>
      <c r="F204" s="91"/>
      <c r="G204" s="103"/>
      <c r="H204" s="104"/>
      <c r="I204" s="105">
        <f>IF(E204&gt;0,VLOOKUP(YEAR(E204),SMMLV!$A$9:$B$55,2,FALSE),0)</f>
        <v>0</v>
      </c>
      <c r="J204" s="106"/>
      <c r="K204" s="105">
        <f t="shared" si="35"/>
        <v>0</v>
      </c>
      <c r="L204" s="105"/>
      <c r="M204" s="105"/>
      <c r="N204" s="105"/>
      <c r="O204" s="44"/>
      <c r="P204" s="225"/>
      <c r="Q204" s="85"/>
      <c r="R204" s="107" t="e">
        <f t="shared" si="32"/>
        <v>#N/A</v>
      </c>
      <c r="S204" s="107" t="e">
        <f t="shared" si="33"/>
        <v>#N/A</v>
      </c>
      <c r="T204" s="107" t="e">
        <f t="shared" si="34"/>
        <v>#N/A</v>
      </c>
    </row>
    <row r="205" spans="1:20" hidden="1">
      <c r="A205" s="108"/>
      <c r="B205" s="99"/>
      <c r="C205" s="101"/>
      <c r="D205" s="45"/>
      <c r="E205" s="102"/>
      <c r="F205" s="91"/>
      <c r="G205" s="103"/>
      <c r="H205" s="104"/>
      <c r="I205" s="105">
        <f>IF(E205&gt;0,VLOOKUP(YEAR(E205),SMMLV!$A$9:$B$55,2,FALSE),0)</f>
        <v>0</v>
      </c>
      <c r="J205" s="106"/>
      <c r="K205" s="105">
        <f t="shared" si="35"/>
        <v>0</v>
      </c>
      <c r="L205" s="105"/>
      <c r="M205" s="105"/>
      <c r="N205" s="105"/>
      <c r="O205" s="44"/>
      <c r="P205" s="225"/>
      <c r="Q205" s="85"/>
      <c r="R205" s="107" t="e">
        <f t="shared" si="32"/>
        <v>#N/A</v>
      </c>
      <c r="S205" s="107" t="e">
        <f t="shared" si="33"/>
        <v>#N/A</v>
      </c>
      <c r="T205" s="107" t="e">
        <f t="shared" si="34"/>
        <v>#N/A</v>
      </c>
    </row>
    <row r="206" spans="1:20" hidden="1">
      <c r="A206" s="108"/>
      <c r="B206" s="99"/>
      <c r="C206" s="101"/>
      <c r="D206" s="45"/>
      <c r="E206" s="102"/>
      <c r="F206" s="91"/>
      <c r="G206" s="103"/>
      <c r="H206" s="104"/>
      <c r="I206" s="105">
        <f>IF(E206&gt;0,VLOOKUP(YEAR(E206),SMMLV!$A$9:$B$55,2,FALSE),0)</f>
        <v>0</v>
      </c>
      <c r="J206" s="106"/>
      <c r="K206" s="105">
        <f t="shared" si="35"/>
        <v>0</v>
      </c>
      <c r="L206" s="105"/>
      <c r="M206" s="105"/>
      <c r="N206" s="105"/>
      <c r="O206" s="44"/>
      <c r="P206" s="225"/>
      <c r="Q206" s="85"/>
      <c r="R206" s="107" t="e">
        <f t="shared" si="32"/>
        <v>#N/A</v>
      </c>
      <c r="S206" s="107" t="e">
        <f t="shared" si="33"/>
        <v>#N/A</v>
      </c>
      <c r="T206" s="107" t="e">
        <f t="shared" si="34"/>
        <v>#N/A</v>
      </c>
    </row>
    <row r="207" spans="1:20" hidden="1">
      <c r="A207" s="108"/>
      <c r="B207" s="99"/>
      <c r="C207" s="101"/>
      <c r="D207" s="45"/>
      <c r="E207" s="102"/>
      <c r="F207" s="91"/>
      <c r="G207" s="103"/>
      <c r="H207" s="104"/>
      <c r="I207" s="105">
        <f>IF(E207&gt;0,VLOOKUP(YEAR(E207),SMMLV!$A$9:$B$55,2,FALSE),0)</f>
        <v>0</v>
      </c>
      <c r="J207" s="106"/>
      <c r="K207" s="105">
        <f t="shared" si="35"/>
        <v>0</v>
      </c>
      <c r="L207" s="105"/>
      <c r="M207" s="105"/>
      <c r="N207" s="105"/>
      <c r="O207" s="44"/>
      <c r="P207" s="225"/>
      <c r="Q207" s="85"/>
      <c r="R207" s="107" t="e">
        <f t="shared" si="32"/>
        <v>#N/A</v>
      </c>
      <c r="S207" s="107" t="e">
        <f t="shared" si="33"/>
        <v>#N/A</v>
      </c>
      <c r="T207" s="107" t="e">
        <f t="shared" si="34"/>
        <v>#N/A</v>
      </c>
    </row>
    <row r="208" spans="1:20" hidden="1">
      <c r="A208" s="108"/>
      <c r="B208" s="99"/>
      <c r="C208" s="101"/>
      <c r="D208" s="45"/>
      <c r="E208" s="102"/>
      <c r="F208" s="91"/>
      <c r="G208" s="103"/>
      <c r="H208" s="104"/>
      <c r="I208" s="105">
        <f>IF(E208&gt;0,VLOOKUP(YEAR(E208),SMMLV!$A$9:$B$55,2,FALSE),0)</f>
        <v>0</v>
      </c>
      <c r="J208" s="106"/>
      <c r="K208" s="105">
        <f t="shared" si="35"/>
        <v>0</v>
      </c>
      <c r="L208" s="105"/>
      <c r="M208" s="105"/>
      <c r="N208" s="105"/>
      <c r="O208" s="44"/>
      <c r="P208" s="225"/>
      <c r="Q208" s="85"/>
      <c r="R208" s="107" t="e">
        <f t="shared" si="32"/>
        <v>#N/A</v>
      </c>
      <c r="S208" s="107" t="e">
        <f t="shared" si="33"/>
        <v>#N/A</v>
      </c>
      <c r="T208" s="107" t="e">
        <f t="shared" si="34"/>
        <v>#N/A</v>
      </c>
    </row>
    <row r="209" spans="1:21" hidden="1">
      <c r="A209" s="108"/>
      <c r="B209" s="99"/>
      <c r="C209" s="101"/>
      <c r="D209" s="45"/>
      <c r="E209" s="102"/>
      <c r="F209" s="91"/>
      <c r="G209" s="103"/>
      <c r="H209" s="104"/>
      <c r="I209" s="105">
        <f>IF(E209&gt;0,VLOOKUP(YEAR(E209),SMMLV!$A$9:$B$55,2,FALSE),0)</f>
        <v>0</v>
      </c>
      <c r="J209" s="106"/>
      <c r="K209" s="105">
        <f t="shared" si="35"/>
        <v>0</v>
      </c>
      <c r="L209" s="105"/>
      <c r="M209" s="105"/>
      <c r="N209" s="105"/>
      <c r="O209" s="44"/>
      <c r="P209" s="225"/>
      <c r="Q209" s="85"/>
      <c r="R209" s="107" t="e">
        <f t="shared" si="32"/>
        <v>#N/A</v>
      </c>
      <c r="S209" s="107" t="e">
        <f t="shared" si="33"/>
        <v>#N/A</v>
      </c>
      <c r="T209" s="107" t="e">
        <f t="shared" si="34"/>
        <v>#N/A</v>
      </c>
    </row>
    <row r="210" spans="1:21" hidden="1">
      <c r="A210" s="108"/>
      <c r="B210" s="99"/>
      <c r="C210" s="101"/>
      <c r="D210" s="45"/>
      <c r="E210" s="102"/>
      <c r="F210" s="91"/>
      <c r="G210" s="103"/>
      <c r="H210" s="104"/>
      <c r="I210" s="105">
        <f>IF(E210&gt;0,VLOOKUP(YEAR(E210),SMMLV!$A$9:$B$55,2,FALSE),0)</f>
        <v>0</v>
      </c>
      <c r="J210" s="106"/>
      <c r="K210" s="105">
        <f t="shared" si="35"/>
        <v>0</v>
      </c>
      <c r="L210" s="105"/>
      <c r="M210" s="105"/>
      <c r="N210" s="105"/>
      <c r="O210" s="44"/>
      <c r="P210" s="225"/>
      <c r="Q210" s="85"/>
      <c r="R210" s="107" t="e">
        <f t="shared" si="32"/>
        <v>#N/A</v>
      </c>
      <c r="S210" s="107" t="e">
        <f t="shared" si="33"/>
        <v>#N/A</v>
      </c>
      <c r="T210" s="107" t="e">
        <f t="shared" si="34"/>
        <v>#N/A</v>
      </c>
    </row>
    <row r="211" spans="1:21" hidden="1">
      <c r="A211" s="289"/>
      <c r="B211" s="289"/>
      <c r="C211" s="289"/>
      <c r="D211" s="289"/>
      <c r="E211" s="289"/>
      <c r="F211" s="289"/>
      <c r="G211" s="289"/>
      <c r="H211" s="289"/>
      <c r="I211" s="289"/>
      <c r="J211" s="96"/>
      <c r="K211" s="109">
        <f>SUM(K201:K210)</f>
        <v>0</v>
      </c>
      <c r="L211" s="109"/>
      <c r="M211" s="109"/>
      <c r="N211" s="109"/>
      <c r="O211" s="90"/>
      <c r="P211" s="217"/>
      <c r="R211" s="107" t="e">
        <f>SUM(R201:R210)</f>
        <v>#N/A</v>
      </c>
      <c r="S211" s="107" t="e">
        <f>SUM(S201:S210)</f>
        <v>#N/A</v>
      </c>
      <c r="T211" s="107" t="e">
        <f>SUM(T201:T210)</f>
        <v>#N/A</v>
      </c>
      <c r="U211" s="110" t="e">
        <f>MAX(R211:T211)</f>
        <v>#N/A</v>
      </c>
    </row>
    <row r="212" spans="1:21" hidden="1">
      <c r="H212" s="89"/>
      <c r="I212" s="89"/>
      <c r="J212" s="89"/>
      <c r="K212" s="111" t="str">
        <f>IF(AND(K211&gt;=$G$6,G216&gt;0),"CUMPLE", "NO CUMPLE ")</f>
        <v xml:space="preserve">NO CUMPLE </v>
      </c>
      <c r="L212" s="202"/>
      <c r="M212" s="202"/>
      <c r="N212" s="202"/>
      <c r="R212" s="94"/>
    </row>
    <row r="213" spans="1:21" hidden="1">
      <c r="D213" s="112" t="e">
        <f>VLOOKUP(B199,Directorio!$A$4:$V$23,14,FALSE)</f>
        <v>#N/A</v>
      </c>
      <c r="E213" s="113" t="e">
        <f>VLOOKUP(B199,Directorio!$A$4:$V$23,15,FALSE)</f>
        <v>#N/A</v>
      </c>
      <c r="F213" s="114" t="e">
        <f>R211</f>
        <v>#N/A</v>
      </c>
      <c r="G213" s="138" t="e">
        <f>IF(F213&gt;0,IF(F213=$K$211,IF(E213&gt;0.6,"Vo.Bo.","No Vo.Bo."),IF(F213=U211,IF(E213&gt;0.5,"Vo.Bo.","No Vo.Bo."),"")),"")</f>
        <v>#N/A</v>
      </c>
      <c r="R213" s="94"/>
    </row>
    <row r="214" spans="1:21" hidden="1">
      <c r="D214" s="112" t="e">
        <f>VLOOKUP(B199,Directorio!$A$4:$V$23,17,FALSE)</f>
        <v>#N/A</v>
      </c>
      <c r="E214" s="113" t="e">
        <f>VLOOKUP(B199,Directorio!$A$4:$V$23,18,FALSE)</f>
        <v>#N/A</v>
      </c>
      <c r="F214" s="114" t="e">
        <f>S211</f>
        <v>#N/A</v>
      </c>
      <c r="G214" s="138" t="e">
        <f>IF(F214&gt;0,IF(F214=$K$211,IF(E214&gt;=0.6,"Vo.Bo.","No Vo.Bo."),IF(F214=U211,IF(E214&gt;0.5,"Vo.Bo.","No Vo.Bo."),"")),"")</f>
        <v>#N/A</v>
      </c>
      <c r="R214" s="94"/>
    </row>
    <row r="215" spans="1:21" hidden="1">
      <c r="D215" s="112" t="e">
        <f>VLOOKUP(B199,Directorio!$A$4:$V$23,20,FALSE)</f>
        <v>#N/A</v>
      </c>
      <c r="E215" s="113" t="e">
        <f>VLOOKUP(B199,Directorio!$A$4:$V$23,21,FALSE)</f>
        <v>#N/A</v>
      </c>
      <c r="F215" s="114" t="e">
        <f>T211</f>
        <v>#N/A</v>
      </c>
      <c r="G215" s="138" t="e">
        <f>IF(F215&gt;0,IF(F215=$K$211,IF(E215&gt;=0.6,"Vo.Bo.","No Vo.Bo."),IF(F215=U211,IF(E215&gt;0.5,"Vo.Bo.","No Vo.Bo."),"")),"")</f>
        <v>#N/A</v>
      </c>
      <c r="R215" s="94"/>
    </row>
    <row r="216" spans="1:21" hidden="1">
      <c r="C216" s="115"/>
      <c r="G216" s="116">
        <f>COUNTIF(G213:G215,"Vo.Bo.")</f>
        <v>0</v>
      </c>
      <c r="R216" s="94"/>
    </row>
    <row r="217" spans="1:21" ht="38.25" hidden="1" customHeight="1">
      <c r="A217" s="290" t="s">
        <v>128</v>
      </c>
      <c r="B217" s="291"/>
      <c r="C217" s="291"/>
      <c r="D217" s="291"/>
      <c r="E217" s="291"/>
      <c r="F217" s="291"/>
      <c r="G217" s="291"/>
      <c r="H217" s="291"/>
      <c r="I217" s="291"/>
      <c r="J217" s="291"/>
      <c r="K217" s="291"/>
      <c r="L217" s="291"/>
      <c r="M217" s="291"/>
      <c r="N217" s="291"/>
      <c r="O217" s="292"/>
      <c r="P217" s="185"/>
      <c r="Q217" s="85"/>
      <c r="R217" s="107" t="e">
        <f>IF(C217=#REF!,K217,0)</f>
        <v>#REF!</v>
      </c>
      <c r="S217" s="107" t="e">
        <f>IF(C217=#REF!,K217,0)</f>
        <v>#REF!</v>
      </c>
      <c r="T217" s="107" t="e">
        <f>IF(C217=#REF!,K217,0)</f>
        <v>#REF!</v>
      </c>
    </row>
    <row r="218" spans="1:21" ht="15" hidden="1" customHeight="1">
      <c r="A218" s="178"/>
      <c r="B218" s="177"/>
      <c r="C218" s="101"/>
      <c r="D218" s="45"/>
      <c r="E218" s="102"/>
      <c r="F218" s="91" t="s">
        <v>127</v>
      </c>
      <c r="G218" s="103" t="s">
        <v>127</v>
      </c>
      <c r="H218" s="104"/>
      <c r="I218" s="105">
        <f>IF(E218&gt;0,VLOOKUP(YEAR(E218),SMMLV!$A$6:$B$55,2,FALSE),0)</f>
        <v>0</v>
      </c>
      <c r="J218" s="106"/>
      <c r="K218" s="105">
        <f t="shared" ref="K218:K223" si="36">IF(AND(E218&gt;=$F$6,H218&gt;0),H218/I218*J218,0)</f>
        <v>0</v>
      </c>
      <c r="L218" s="105"/>
      <c r="M218" s="105"/>
      <c r="N218" s="105"/>
      <c r="O218" s="4"/>
      <c r="P218" s="223"/>
      <c r="Q218" s="85"/>
      <c r="R218" s="107" t="e">
        <f>IF(C218=#REF!,K218,0)</f>
        <v>#REF!</v>
      </c>
      <c r="S218" s="107" t="e">
        <f>IF(C218=#REF!,K218,0)</f>
        <v>#REF!</v>
      </c>
      <c r="T218" s="107" t="e">
        <f>IF(C218=#REF!,K218,0)</f>
        <v>#REF!</v>
      </c>
    </row>
    <row r="219" spans="1:21" hidden="1">
      <c r="A219" s="178"/>
      <c r="B219" s="177"/>
      <c r="C219" s="101"/>
      <c r="D219" s="45"/>
      <c r="E219" s="102"/>
      <c r="F219" s="91" t="s">
        <v>127</v>
      </c>
      <c r="G219" s="103" t="s">
        <v>127</v>
      </c>
      <c r="H219" s="104"/>
      <c r="I219" s="105">
        <f>IF(E219&gt;0,VLOOKUP(YEAR(E219),SMMLV!$A$6:$B$55,2,FALSE),0)</f>
        <v>0</v>
      </c>
      <c r="J219" s="106"/>
      <c r="K219" s="105">
        <f t="shared" si="36"/>
        <v>0</v>
      </c>
      <c r="L219" s="105"/>
      <c r="M219" s="105"/>
      <c r="N219" s="105"/>
      <c r="O219" s="4"/>
      <c r="P219" s="223"/>
      <c r="Q219" s="85"/>
      <c r="R219" s="107" t="e">
        <f>IF(C219=#REF!,K219,0)</f>
        <v>#REF!</v>
      </c>
      <c r="S219" s="107" t="e">
        <f>IF(C219=#REF!,K219,0)</f>
        <v>#REF!</v>
      </c>
      <c r="T219" s="107" t="e">
        <f>IF(C219=#REF!,K219,0)</f>
        <v>#REF!</v>
      </c>
    </row>
    <row r="220" spans="1:21" hidden="1">
      <c r="A220" s="178"/>
      <c r="B220" s="177"/>
      <c r="C220" s="101"/>
      <c r="D220" s="45"/>
      <c r="E220" s="102"/>
      <c r="F220" s="91" t="s">
        <v>127</v>
      </c>
      <c r="G220" s="103" t="s">
        <v>127</v>
      </c>
      <c r="H220" s="104"/>
      <c r="I220" s="105">
        <f>IF(E220&gt;0,VLOOKUP(YEAR(E220),SMMLV!$A$9:$B$55,2,FALSE),0)</f>
        <v>0</v>
      </c>
      <c r="J220" s="106"/>
      <c r="K220" s="105">
        <f t="shared" si="36"/>
        <v>0</v>
      </c>
      <c r="L220" s="105"/>
      <c r="M220" s="105"/>
      <c r="N220" s="105"/>
      <c r="O220" s="44"/>
      <c r="P220" s="225"/>
      <c r="Q220" s="85"/>
      <c r="R220" s="107" t="e">
        <f>IF(C220=#REF!,K220,0)</f>
        <v>#REF!</v>
      </c>
      <c r="S220" s="107" t="e">
        <f>IF(C220=#REF!,K220,0)</f>
        <v>#REF!</v>
      </c>
      <c r="T220" s="107" t="e">
        <f>IF(C220=#REF!,K220,0)</f>
        <v>#REF!</v>
      </c>
    </row>
    <row r="221" spans="1:21" hidden="1">
      <c r="A221" s="178"/>
      <c r="B221" s="177"/>
      <c r="C221" s="101"/>
      <c r="D221" s="45"/>
      <c r="E221" s="102"/>
      <c r="F221" s="91"/>
      <c r="G221" s="103"/>
      <c r="H221" s="104"/>
      <c r="I221" s="105">
        <f>IF(E221&gt;0,VLOOKUP(YEAR(E221),SMMLV!$A$9:$B$55,2,FALSE),0)</f>
        <v>0</v>
      </c>
      <c r="J221" s="106"/>
      <c r="K221" s="105">
        <f t="shared" si="36"/>
        <v>0</v>
      </c>
      <c r="L221" s="105"/>
      <c r="M221" s="105"/>
      <c r="N221" s="105"/>
      <c r="O221" s="44"/>
      <c r="P221" s="225"/>
      <c r="Q221" s="85"/>
      <c r="R221" s="107" t="e">
        <f>IF(C221=#REF!,K221,0)</f>
        <v>#REF!</v>
      </c>
      <c r="S221" s="107" t="e">
        <f>IF(C221=#REF!,K221,0)</f>
        <v>#REF!</v>
      </c>
      <c r="T221" s="107" t="e">
        <f>IF(C221=#REF!,K221,0)</f>
        <v>#REF!</v>
      </c>
    </row>
    <row r="222" spans="1:21" hidden="1">
      <c r="A222" s="178"/>
      <c r="B222" s="177"/>
      <c r="C222" s="101"/>
      <c r="D222" s="45"/>
      <c r="E222" s="102"/>
      <c r="F222" s="91"/>
      <c r="G222" s="103"/>
      <c r="H222" s="104"/>
      <c r="I222" s="105">
        <f>IF(E222&gt;0,VLOOKUP(YEAR(E222),SMMLV!$A$9:$B$55,2,FALSE),0)</f>
        <v>0</v>
      </c>
      <c r="J222" s="106"/>
      <c r="K222" s="105">
        <f t="shared" si="36"/>
        <v>0</v>
      </c>
      <c r="L222" s="105"/>
      <c r="M222" s="105"/>
      <c r="N222" s="105"/>
      <c r="O222" s="44"/>
      <c r="P222" s="225"/>
      <c r="Q222" s="85"/>
      <c r="R222" s="107" t="e">
        <f>IF(C222=#REF!,K222,0)</f>
        <v>#REF!</v>
      </c>
      <c r="S222" s="107" t="e">
        <f>IF(C222=#REF!,K222,0)</f>
        <v>#REF!</v>
      </c>
      <c r="T222" s="107" t="e">
        <f>IF(C222=#REF!,K222,0)</f>
        <v>#REF!</v>
      </c>
    </row>
    <row r="223" spans="1:21" hidden="1">
      <c r="A223" s="178"/>
      <c r="B223" s="177"/>
      <c r="C223" s="101"/>
      <c r="D223" s="45"/>
      <c r="E223" s="102"/>
      <c r="F223" s="91"/>
      <c r="G223" s="103"/>
      <c r="H223" s="104"/>
      <c r="I223" s="105">
        <f>IF(E223&gt;0,VLOOKUP(YEAR(E223),SMMLV!$A$9:$B$55,2,FALSE),0)</f>
        <v>0</v>
      </c>
      <c r="J223" s="106"/>
      <c r="K223" s="105">
        <f t="shared" si="36"/>
        <v>0</v>
      </c>
      <c r="L223" s="105"/>
      <c r="M223" s="105"/>
      <c r="N223" s="105"/>
      <c r="O223" s="44"/>
      <c r="P223" s="225"/>
      <c r="Q223" s="85"/>
      <c r="R223" s="107" t="e">
        <f>IF(C223=#REF!,K223,0)</f>
        <v>#REF!</v>
      </c>
      <c r="S223" s="107" t="e">
        <f>IF(C223=#REF!,K223,0)</f>
        <v>#REF!</v>
      </c>
      <c r="T223" s="107" t="e">
        <f>IF(C223=#REF!,K223,0)</f>
        <v>#REF!</v>
      </c>
    </row>
    <row r="224" spans="1:21" hidden="1">
      <c r="A224" s="289"/>
      <c r="B224" s="289"/>
      <c r="C224" s="289"/>
      <c r="D224" s="289"/>
      <c r="E224" s="289"/>
      <c r="F224" s="289"/>
      <c r="G224" s="289"/>
      <c r="H224" s="289"/>
      <c r="I224" s="289"/>
      <c r="J224" s="179"/>
      <c r="K224" s="109">
        <f>SUM(K218:K223)</f>
        <v>0</v>
      </c>
      <c r="L224" s="109"/>
      <c r="M224" s="109"/>
      <c r="N224" s="109"/>
      <c r="O224" s="90"/>
      <c r="P224" s="217"/>
      <c r="R224" s="107" t="e">
        <f>SUM(R204:R223)</f>
        <v>#N/A</v>
      </c>
      <c r="S224" s="107" t="e">
        <f>SUM(S204:S223)</f>
        <v>#N/A</v>
      </c>
      <c r="T224" s="107" t="e">
        <f>SUM(T204:T223)</f>
        <v>#N/A</v>
      </c>
      <c r="U224" s="110" t="e">
        <f>MAX(R224:T224)</f>
        <v>#N/A</v>
      </c>
    </row>
    <row r="225" spans="1:20" hidden="1">
      <c r="H225" s="89"/>
      <c r="I225" s="89"/>
      <c r="J225" s="89"/>
      <c r="K225" s="111" t="e">
        <f>IF(AND(K224&gt;=$G$6,G215&gt;0),"CUMPLE", "NO CUMPLE ")</f>
        <v>#N/A</v>
      </c>
      <c r="L225" s="202"/>
      <c r="M225" s="202"/>
      <c r="N225" s="202"/>
      <c r="R225" s="94"/>
    </row>
    <row r="226" spans="1:20" hidden="1">
      <c r="D226" s="85"/>
      <c r="E226" s="85"/>
      <c r="F226" s="85"/>
      <c r="G226" s="85"/>
      <c r="H226" s="85"/>
      <c r="R226" s="94"/>
    </row>
    <row r="227" spans="1:20" hidden="1">
      <c r="D227" s="85"/>
      <c r="E227" s="85"/>
      <c r="F227" s="85"/>
      <c r="G227" s="85"/>
      <c r="H227" s="85"/>
      <c r="K227" s="157" t="str">
        <f>IF(AND(K224&gt;=$V$10,K224&lt;=$W$10,K224&gt;0),"CUMPLE", "NO CUMPLE ")</f>
        <v xml:space="preserve">NO CUMPLE </v>
      </c>
      <c r="L227" s="157"/>
      <c r="M227" s="157"/>
      <c r="N227" s="157"/>
      <c r="O227" s="158" t="s">
        <v>141</v>
      </c>
      <c r="P227" s="226"/>
      <c r="R227" s="94"/>
    </row>
    <row r="228" spans="1:20" hidden="1">
      <c r="D228" s="85"/>
      <c r="E228" s="85"/>
      <c r="F228" s="85"/>
      <c r="G228" s="85"/>
      <c r="H228" s="85"/>
      <c r="K228" s="161" t="str">
        <f>IF(AND(K224&gt;=$W$10,K224&lt;=$X$10,K224&gt;0),"CUMPLE", "NO CUMPLE ")</f>
        <v xml:space="preserve">NO CUMPLE </v>
      </c>
      <c r="L228" s="161"/>
      <c r="M228" s="161"/>
      <c r="N228" s="161"/>
      <c r="O228" s="159" t="s">
        <v>142</v>
      </c>
      <c r="P228" s="227"/>
      <c r="R228" s="94"/>
    </row>
    <row r="229" spans="1:20" hidden="1">
      <c r="C229" s="115"/>
      <c r="D229" s="85"/>
      <c r="E229" s="85"/>
      <c r="F229" s="85"/>
      <c r="G229" s="85"/>
      <c r="H229" s="85"/>
      <c r="K229" s="183" t="e">
        <f>IF(AND(K225&gt;=$X$10,K225&lt;=$Y$10,K225&gt;0),"CUMPLE", "NO CUMPLE ")</f>
        <v>#N/A</v>
      </c>
      <c r="L229" s="183"/>
      <c r="M229" s="183"/>
      <c r="N229" s="183"/>
      <c r="O229" s="184" t="s">
        <v>143</v>
      </c>
      <c r="P229" s="228"/>
      <c r="R229" s="94"/>
    </row>
    <row r="230" spans="1:20" hidden="1">
      <c r="C230" s="115"/>
      <c r="G230" s="116"/>
      <c r="K230" s="156" t="str">
        <f>IF(AND(K224&gt;=$Y$10,K224&gt;0),"CUMPLE", "NO CUMPLE ")</f>
        <v xml:space="preserve">NO CUMPLE </v>
      </c>
      <c r="L230" s="156"/>
      <c r="M230" s="156"/>
      <c r="N230" s="156"/>
      <c r="O230" s="160" t="s">
        <v>144</v>
      </c>
      <c r="P230" s="229"/>
      <c r="R230" s="94"/>
    </row>
    <row r="231" spans="1:20" hidden="1">
      <c r="C231" s="115"/>
      <c r="G231" s="116"/>
      <c r="R231" s="94"/>
    </row>
    <row r="232" spans="1:20" ht="22.5" hidden="1" customHeight="1">
      <c r="A232" s="145" t="s">
        <v>6</v>
      </c>
      <c r="B232" s="146">
        <f>B199+1</f>
        <v>9</v>
      </c>
      <c r="C232" s="147" t="s">
        <v>122</v>
      </c>
      <c r="D232" s="304" t="e">
        <f>VLOOKUP(B232,Directorio!$A$4:$V$23,3,FALSE)</f>
        <v>#N/A</v>
      </c>
      <c r="E232" s="305"/>
      <c r="F232" s="305"/>
      <c r="G232" s="305"/>
      <c r="H232" s="306"/>
      <c r="I232" s="302" t="e">
        <f>VLOOKUP(B232,Directorio!$A$4:$V$23,4,FALSE)</f>
        <v>#N/A</v>
      </c>
      <c r="J232" s="303"/>
      <c r="K232" s="303"/>
      <c r="L232" s="303"/>
      <c r="M232" s="303"/>
      <c r="N232" s="303"/>
      <c r="O232" s="303"/>
      <c r="P232" s="231"/>
      <c r="Q232" s="85"/>
      <c r="R232" s="94" t="s">
        <v>69</v>
      </c>
      <c r="S232" s="87" t="s">
        <v>70</v>
      </c>
      <c r="T232" s="87" t="s">
        <v>71</v>
      </c>
    </row>
    <row r="233" spans="1:20" ht="25.5" hidden="1">
      <c r="A233" s="97" t="s">
        <v>5</v>
      </c>
      <c r="B233" s="97" t="s">
        <v>27</v>
      </c>
      <c r="C233" s="97" t="s">
        <v>36</v>
      </c>
      <c r="D233" s="97" t="s">
        <v>28</v>
      </c>
      <c r="E233" s="98" t="s">
        <v>29</v>
      </c>
      <c r="F233" s="97" t="s">
        <v>30</v>
      </c>
      <c r="G233" s="97" t="s">
        <v>31</v>
      </c>
      <c r="H233" s="97" t="s">
        <v>32</v>
      </c>
      <c r="I233" s="97" t="s">
        <v>33</v>
      </c>
      <c r="J233" s="97" t="s">
        <v>66</v>
      </c>
      <c r="K233" s="97" t="s">
        <v>34</v>
      </c>
      <c r="L233" s="97"/>
      <c r="M233" s="97"/>
      <c r="N233" s="97"/>
      <c r="O233" s="97" t="s">
        <v>35</v>
      </c>
      <c r="P233" s="217"/>
      <c r="Q233" s="85"/>
      <c r="R233" s="94" t="e">
        <f>D246</f>
        <v>#N/A</v>
      </c>
      <c r="S233" s="87" t="e">
        <f>D247</f>
        <v>#N/A</v>
      </c>
      <c r="T233" s="87" t="e">
        <f>D248</f>
        <v>#N/A</v>
      </c>
    </row>
    <row r="234" spans="1:20" hidden="1">
      <c r="A234" s="99"/>
      <c r="B234" s="100"/>
      <c r="C234" s="101"/>
      <c r="D234" s="45"/>
      <c r="E234" s="102"/>
      <c r="F234" s="91"/>
      <c r="G234" s="103"/>
      <c r="H234" s="104"/>
      <c r="I234" s="105">
        <f>IF(E234&gt;0,VLOOKUP(YEAR(E234),SMMLV!$A$9:$B$55,2,FALSE),0)</f>
        <v>0</v>
      </c>
      <c r="J234" s="106"/>
      <c r="K234" s="105">
        <f>IF(AND(E234&gt;=$F$6,H234&gt;0),H234/I234*J234,0)</f>
        <v>0</v>
      </c>
      <c r="L234" s="105"/>
      <c r="M234" s="105"/>
      <c r="N234" s="105"/>
      <c r="O234" s="44"/>
      <c r="P234" s="225"/>
      <c r="Q234" s="85"/>
      <c r="R234" s="107" t="e">
        <f t="shared" ref="R234:R243" si="37">IF(C234=$R$233,K234,0)</f>
        <v>#N/A</v>
      </c>
      <c r="S234" s="107" t="e">
        <f t="shared" ref="S234:S243" si="38">IF(C234=$S$233,K234,0)</f>
        <v>#N/A</v>
      </c>
      <c r="T234" s="107" t="e">
        <f t="shared" ref="T234:T243" si="39">IF(C234=$T$233,K234,0)</f>
        <v>#N/A</v>
      </c>
    </row>
    <row r="235" spans="1:20" hidden="1">
      <c r="A235" s="108"/>
      <c r="B235" s="99"/>
      <c r="C235" s="101"/>
      <c r="D235" s="45"/>
      <c r="E235" s="102"/>
      <c r="F235" s="91"/>
      <c r="G235" s="103"/>
      <c r="H235" s="104"/>
      <c r="I235" s="105">
        <f>IF(E235&gt;0,VLOOKUP(YEAR(E235),SMMLV!$A$9:$B$55,2,FALSE),0)</f>
        <v>0</v>
      </c>
      <c r="J235" s="106"/>
      <c r="K235" s="105">
        <f t="shared" ref="K235:K243" si="40">IF(AND(E235&gt;=$F$6,H235&gt;0),H235/I235*J235,0)</f>
        <v>0</v>
      </c>
      <c r="L235" s="105"/>
      <c r="M235" s="105"/>
      <c r="N235" s="105"/>
      <c r="O235" s="44"/>
      <c r="P235" s="225"/>
      <c r="Q235" s="85"/>
      <c r="R235" s="107" t="e">
        <f t="shared" si="37"/>
        <v>#N/A</v>
      </c>
      <c r="S235" s="107" t="e">
        <f t="shared" si="38"/>
        <v>#N/A</v>
      </c>
      <c r="T235" s="107" t="e">
        <f t="shared" si="39"/>
        <v>#N/A</v>
      </c>
    </row>
    <row r="236" spans="1:20" hidden="1">
      <c r="A236" s="108"/>
      <c r="B236" s="99"/>
      <c r="C236" s="101"/>
      <c r="D236" s="45"/>
      <c r="E236" s="102"/>
      <c r="F236" s="91"/>
      <c r="G236" s="103"/>
      <c r="H236" s="104"/>
      <c r="I236" s="105">
        <f>IF(E236&gt;0,VLOOKUP(YEAR(E236),SMMLV!$A$9:$B$55,2,FALSE),0)</f>
        <v>0</v>
      </c>
      <c r="J236" s="106"/>
      <c r="K236" s="105">
        <f t="shared" si="40"/>
        <v>0</v>
      </c>
      <c r="L236" s="105"/>
      <c r="M236" s="105"/>
      <c r="N236" s="105"/>
      <c r="O236" s="44"/>
      <c r="P236" s="225"/>
      <c r="Q236" s="85"/>
      <c r="R236" s="107" t="e">
        <f t="shared" si="37"/>
        <v>#N/A</v>
      </c>
      <c r="S236" s="107" t="e">
        <f t="shared" si="38"/>
        <v>#N/A</v>
      </c>
      <c r="T236" s="107" t="e">
        <f t="shared" si="39"/>
        <v>#N/A</v>
      </c>
    </row>
    <row r="237" spans="1:20" hidden="1">
      <c r="A237" s="108"/>
      <c r="B237" s="99"/>
      <c r="C237" s="101"/>
      <c r="D237" s="45"/>
      <c r="E237" s="102"/>
      <c r="F237" s="91"/>
      <c r="G237" s="103"/>
      <c r="H237" s="104"/>
      <c r="I237" s="105">
        <f>IF(E237&gt;0,VLOOKUP(YEAR(E237),SMMLV!$A$9:$B$55,2,FALSE),0)</f>
        <v>0</v>
      </c>
      <c r="J237" s="106"/>
      <c r="K237" s="105">
        <f t="shared" si="40"/>
        <v>0</v>
      </c>
      <c r="L237" s="105"/>
      <c r="M237" s="105"/>
      <c r="N237" s="105"/>
      <c r="O237" s="44"/>
      <c r="P237" s="225"/>
      <c r="Q237" s="85"/>
      <c r="R237" s="107" t="e">
        <f t="shared" si="37"/>
        <v>#N/A</v>
      </c>
      <c r="S237" s="107" t="e">
        <f t="shared" si="38"/>
        <v>#N/A</v>
      </c>
      <c r="T237" s="107" t="e">
        <f t="shared" si="39"/>
        <v>#N/A</v>
      </c>
    </row>
    <row r="238" spans="1:20" hidden="1">
      <c r="A238" s="108"/>
      <c r="B238" s="99"/>
      <c r="C238" s="101"/>
      <c r="D238" s="45"/>
      <c r="E238" s="102"/>
      <c r="F238" s="91"/>
      <c r="G238" s="103"/>
      <c r="H238" s="104"/>
      <c r="I238" s="105">
        <f>IF(E238&gt;0,VLOOKUP(YEAR(E238),SMMLV!$A$9:$B$55,2,FALSE),0)</f>
        <v>0</v>
      </c>
      <c r="J238" s="106"/>
      <c r="K238" s="105">
        <f t="shared" si="40"/>
        <v>0</v>
      </c>
      <c r="L238" s="105"/>
      <c r="M238" s="105"/>
      <c r="N238" s="105"/>
      <c r="O238" s="44"/>
      <c r="P238" s="225"/>
      <c r="Q238" s="85"/>
      <c r="R238" s="107" t="e">
        <f t="shared" si="37"/>
        <v>#N/A</v>
      </c>
      <c r="S238" s="107" t="e">
        <f t="shared" si="38"/>
        <v>#N/A</v>
      </c>
      <c r="T238" s="107" t="e">
        <f t="shared" si="39"/>
        <v>#N/A</v>
      </c>
    </row>
    <row r="239" spans="1:20" hidden="1">
      <c r="A239" s="108"/>
      <c r="B239" s="99"/>
      <c r="C239" s="101"/>
      <c r="D239" s="45"/>
      <c r="E239" s="102"/>
      <c r="F239" s="91"/>
      <c r="G239" s="103"/>
      <c r="H239" s="104"/>
      <c r="I239" s="105">
        <f>IF(E239&gt;0,VLOOKUP(YEAR(E239),SMMLV!$A$9:$B$55,2,FALSE),0)</f>
        <v>0</v>
      </c>
      <c r="J239" s="106"/>
      <c r="K239" s="105">
        <f t="shared" si="40"/>
        <v>0</v>
      </c>
      <c r="L239" s="105"/>
      <c r="M239" s="105"/>
      <c r="N239" s="105"/>
      <c r="O239" s="44"/>
      <c r="P239" s="225"/>
      <c r="Q239" s="85"/>
      <c r="R239" s="107" t="e">
        <f t="shared" si="37"/>
        <v>#N/A</v>
      </c>
      <c r="S239" s="107" t="e">
        <f t="shared" si="38"/>
        <v>#N/A</v>
      </c>
      <c r="T239" s="107" t="e">
        <f t="shared" si="39"/>
        <v>#N/A</v>
      </c>
    </row>
    <row r="240" spans="1:20" hidden="1">
      <c r="A240" s="108"/>
      <c r="B240" s="99"/>
      <c r="C240" s="101"/>
      <c r="D240" s="45"/>
      <c r="E240" s="102"/>
      <c r="F240" s="91"/>
      <c r="G240" s="103"/>
      <c r="H240" s="104"/>
      <c r="I240" s="105">
        <f>IF(E240&gt;0,VLOOKUP(YEAR(E240),SMMLV!$A$9:$B$55,2,FALSE),0)</f>
        <v>0</v>
      </c>
      <c r="J240" s="106"/>
      <c r="K240" s="105">
        <f t="shared" si="40"/>
        <v>0</v>
      </c>
      <c r="L240" s="105"/>
      <c r="M240" s="105"/>
      <c r="N240" s="105"/>
      <c r="O240" s="44"/>
      <c r="P240" s="225"/>
      <c r="Q240" s="85"/>
      <c r="R240" s="107" t="e">
        <f t="shared" si="37"/>
        <v>#N/A</v>
      </c>
      <c r="S240" s="107" t="e">
        <f t="shared" si="38"/>
        <v>#N/A</v>
      </c>
      <c r="T240" s="107" t="e">
        <f t="shared" si="39"/>
        <v>#N/A</v>
      </c>
    </row>
    <row r="241" spans="1:21" hidden="1">
      <c r="A241" s="108"/>
      <c r="B241" s="99"/>
      <c r="C241" s="101"/>
      <c r="D241" s="45"/>
      <c r="E241" s="102"/>
      <c r="F241" s="91"/>
      <c r="G241" s="103"/>
      <c r="H241" s="104"/>
      <c r="I241" s="105">
        <f>IF(E241&gt;0,VLOOKUP(YEAR(E241),SMMLV!$A$9:$B$55,2,FALSE),0)</f>
        <v>0</v>
      </c>
      <c r="J241" s="106"/>
      <c r="K241" s="105">
        <f t="shared" si="40"/>
        <v>0</v>
      </c>
      <c r="L241" s="105"/>
      <c r="M241" s="105"/>
      <c r="N241" s="105"/>
      <c r="O241" s="44"/>
      <c r="P241" s="225"/>
      <c r="Q241" s="85"/>
      <c r="R241" s="107" t="e">
        <f t="shared" si="37"/>
        <v>#N/A</v>
      </c>
      <c r="S241" s="107" t="e">
        <f t="shared" si="38"/>
        <v>#N/A</v>
      </c>
      <c r="T241" s="107" t="e">
        <f t="shared" si="39"/>
        <v>#N/A</v>
      </c>
    </row>
    <row r="242" spans="1:21" hidden="1">
      <c r="A242" s="108"/>
      <c r="B242" s="99"/>
      <c r="C242" s="101"/>
      <c r="D242" s="45"/>
      <c r="E242" s="102"/>
      <c r="F242" s="91"/>
      <c r="G242" s="103"/>
      <c r="H242" s="104"/>
      <c r="I242" s="105">
        <f>IF(E242&gt;0,VLOOKUP(YEAR(E242),SMMLV!$A$9:$B$55,2,FALSE),0)</f>
        <v>0</v>
      </c>
      <c r="J242" s="106"/>
      <c r="K242" s="105">
        <f t="shared" si="40"/>
        <v>0</v>
      </c>
      <c r="L242" s="105"/>
      <c r="M242" s="105"/>
      <c r="N242" s="105"/>
      <c r="O242" s="44"/>
      <c r="P242" s="225"/>
      <c r="Q242" s="85"/>
      <c r="R242" s="107" t="e">
        <f t="shared" si="37"/>
        <v>#N/A</v>
      </c>
      <c r="S242" s="107" t="e">
        <f t="shared" si="38"/>
        <v>#N/A</v>
      </c>
      <c r="T242" s="107" t="e">
        <f t="shared" si="39"/>
        <v>#N/A</v>
      </c>
    </row>
    <row r="243" spans="1:21" hidden="1">
      <c r="A243" s="108"/>
      <c r="B243" s="99"/>
      <c r="C243" s="101"/>
      <c r="D243" s="45"/>
      <c r="E243" s="102"/>
      <c r="F243" s="91"/>
      <c r="G243" s="103"/>
      <c r="H243" s="104"/>
      <c r="I243" s="105">
        <f>IF(E243&gt;0,VLOOKUP(YEAR(E243),SMMLV!$A$9:$B$55,2,FALSE),0)</f>
        <v>0</v>
      </c>
      <c r="J243" s="106"/>
      <c r="K243" s="105">
        <f t="shared" si="40"/>
        <v>0</v>
      </c>
      <c r="L243" s="105"/>
      <c r="M243" s="105"/>
      <c r="N243" s="105"/>
      <c r="O243" s="44"/>
      <c r="P243" s="225"/>
      <c r="Q243" s="85"/>
      <c r="R243" s="107" t="e">
        <f t="shared" si="37"/>
        <v>#N/A</v>
      </c>
      <c r="S243" s="107" t="e">
        <f t="shared" si="38"/>
        <v>#N/A</v>
      </c>
      <c r="T243" s="107" t="e">
        <f t="shared" si="39"/>
        <v>#N/A</v>
      </c>
    </row>
    <row r="244" spans="1:21" hidden="1">
      <c r="A244" s="289"/>
      <c r="B244" s="289"/>
      <c r="C244" s="289"/>
      <c r="D244" s="289"/>
      <c r="E244" s="289"/>
      <c r="F244" s="289"/>
      <c r="G244" s="289"/>
      <c r="H244" s="289"/>
      <c r="I244" s="289"/>
      <c r="J244" s="96"/>
      <c r="K244" s="109">
        <f>SUM(K234:K243)</f>
        <v>0</v>
      </c>
      <c r="L244" s="109"/>
      <c r="M244" s="109"/>
      <c r="N244" s="109"/>
      <c r="O244" s="90"/>
      <c r="P244" s="217"/>
      <c r="R244" s="107" t="e">
        <f>SUM(R234:R243)</f>
        <v>#N/A</v>
      </c>
      <c r="S244" s="107" t="e">
        <f>SUM(S234:S243)</f>
        <v>#N/A</v>
      </c>
      <c r="T244" s="107" t="e">
        <f>SUM(T234:T243)</f>
        <v>#N/A</v>
      </c>
      <c r="U244" s="110" t="e">
        <f>MAX(R244:T244)</f>
        <v>#N/A</v>
      </c>
    </row>
    <row r="245" spans="1:21" hidden="1">
      <c r="H245" s="89"/>
      <c r="I245" s="89"/>
      <c r="J245" s="89"/>
      <c r="K245" s="111" t="str">
        <f>IF(AND(K244&gt;=$G$6,G249&gt;0),"CUMPLE", "NO CUMPLE ")</f>
        <v xml:space="preserve">NO CUMPLE </v>
      </c>
      <c r="L245" s="202"/>
      <c r="M245" s="202"/>
      <c r="N245" s="202"/>
      <c r="R245" s="94"/>
    </row>
    <row r="246" spans="1:21" hidden="1">
      <c r="D246" s="112" t="e">
        <f>VLOOKUP(B232,Directorio!$A$4:$V$23,14,FALSE)</f>
        <v>#N/A</v>
      </c>
      <c r="E246" s="113" t="e">
        <f>VLOOKUP(B232,Directorio!$A$4:$V$23,15,FALSE)</f>
        <v>#N/A</v>
      </c>
      <c r="F246" s="114" t="e">
        <f>R244</f>
        <v>#N/A</v>
      </c>
      <c r="G246" s="138" t="e">
        <f>IF(F246&gt;0,IF(F246=$K$244,IF(E246&gt;0.6,"Vo.Bo.","No Vo.Bo."),IF(F246=U244,IF(E246&gt;0.5,"Vo.Bo.","No Vo.Bo."),"")),"")</f>
        <v>#N/A</v>
      </c>
      <c r="R246" s="94"/>
    </row>
    <row r="247" spans="1:21" hidden="1">
      <c r="D247" s="112" t="e">
        <f>VLOOKUP(B232,Directorio!$A$4:$V$23,17,FALSE)</f>
        <v>#N/A</v>
      </c>
      <c r="E247" s="113" t="e">
        <f>VLOOKUP(B232,Directorio!$A$4:$V$23,18,FALSE)</f>
        <v>#N/A</v>
      </c>
      <c r="F247" s="114" t="e">
        <f>S244</f>
        <v>#N/A</v>
      </c>
      <c r="G247" s="138" t="e">
        <f>IF(F247&gt;0,IF(F247=$K$244,IF(E247&gt;=0.6,"Vo.Bo.","No Vo.Bo."),IF(F247=U244,IF(E247&gt;0.5,"Vo.Bo.","No Vo.Bo."),"")),"")</f>
        <v>#N/A</v>
      </c>
      <c r="R247" s="94"/>
    </row>
    <row r="248" spans="1:21" hidden="1">
      <c r="D248" s="112" t="e">
        <f>VLOOKUP(B232,Directorio!$A$4:$V$23,20,FALSE)</f>
        <v>#N/A</v>
      </c>
      <c r="E248" s="113" t="e">
        <f>VLOOKUP(B232,Directorio!$A$4:$V$23,21,FALSE)</f>
        <v>#N/A</v>
      </c>
      <c r="F248" s="114" t="e">
        <f>T244</f>
        <v>#N/A</v>
      </c>
      <c r="G248" s="138" t="e">
        <f>IF(F248&gt;0,IF(F248=$K$244,IF(E248&gt;=0.6,"Vo.Bo.","No Vo.Bo."),IF(F248=U244,IF(E248&gt;0.5,"Vo.Bo.","No Vo.Bo."),"")),"")</f>
        <v>#N/A</v>
      </c>
      <c r="R248" s="94"/>
    </row>
    <row r="249" spans="1:21" hidden="1">
      <c r="C249" s="115"/>
      <c r="G249" s="116">
        <f>COUNTIF(G246:G248,"Vo.Bo.")</f>
        <v>0</v>
      </c>
      <c r="R249" s="94"/>
    </row>
    <row r="250" spans="1:21" ht="38.25" hidden="1" customHeight="1">
      <c r="A250" s="290" t="s">
        <v>128</v>
      </c>
      <c r="B250" s="291"/>
      <c r="C250" s="291"/>
      <c r="D250" s="291"/>
      <c r="E250" s="291"/>
      <c r="F250" s="291"/>
      <c r="G250" s="291"/>
      <c r="H250" s="291"/>
      <c r="I250" s="291"/>
      <c r="J250" s="291"/>
      <c r="K250" s="291"/>
      <c r="L250" s="291"/>
      <c r="M250" s="291"/>
      <c r="N250" s="291"/>
      <c r="O250" s="292"/>
      <c r="P250" s="185"/>
      <c r="Q250" s="85"/>
      <c r="R250" s="107" t="e">
        <f>IF(C250=#REF!,K250,0)</f>
        <v>#REF!</v>
      </c>
      <c r="S250" s="107" t="e">
        <f>IF(C250=#REF!,K250,0)</f>
        <v>#REF!</v>
      </c>
      <c r="T250" s="107" t="e">
        <f>IF(C250=#REF!,K250,0)</f>
        <v>#REF!</v>
      </c>
    </row>
    <row r="251" spans="1:21" ht="15" hidden="1" customHeight="1">
      <c r="A251" s="178"/>
      <c r="B251" s="177"/>
      <c r="C251" s="101"/>
      <c r="D251" s="45"/>
      <c r="E251" s="102"/>
      <c r="F251" s="91" t="s">
        <v>127</v>
      </c>
      <c r="G251" s="103" t="s">
        <v>127</v>
      </c>
      <c r="H251" s="104"/>
      <c r="I251" s="105">
        <f>IF(E251&gt;0,VLOOKUP(YEAR(E251),SMMLV!$A$6:$B$55,2,FALSE),0)</f>
        <v>0</v>
      </c>
      <c r="J251" s="106"/>
      <c r="K251" s="105">
        <f t="shared" ref="K251:K256" si="41">IF(AND(E251&gt;=$F$6,H251&gt;0),H251/I251*J251,0)</f>
        <v>0</v>
      </c>
      <c r="L251" s="105"/>
      <c r="M251" s="105"/>
      <c r="N251" s="105"/>
      <c r="O251" s="4"/>
      <c r="P251" s="223"/>
      <c r="Q251" s="85"/>
      <c r="R251" s="107" t="e">
        <f>IF(C251=#REF!,K251,0)</f>
        <v>#REF!</v>
      </c>
      <c r="S251" s="107" t="e">
        <f>IF(C251=#REF!,K251,0)</f>
        <v>#REF!</v>
      </c>
      <c r="T251" s="107" t="e">
        <f>IF(C251=#REF!,K251,0)</f>
        <v>#REF!</v>
      </c>
    </row>
    <row r="252" spans="1:21" hidden="1">
      <c r="A252" s="178"/>
      <c r="B252" s="177"/>
      <c r="C252" s="101"/>
      <c r="D252" s="45"/>
      <c r="E252" s="102"/>
      <c r="F252" s="91" t="s">
        <v>127</v>
      </c>
      <c r="G252" s="103" t="s">
        <v>127</v>
      </c>
      <c r="H252" s="104"/>
      <c r="I252" s="105">
        <f>IF(E252&gt;0,VLOOKUP(YEAR(E252),SMMLV!$A$6:$B$55,2,FALSE),0)</f>
        <v>0</v>
      </c>
      <c r="J252" s="106"/>
      <c r="K252" s="105">
        <f t="shared" si="41"/>
        <v>0</v>
      </c>
      <c r="L252" s="105"/>
      <c r="M252" s="105"/>
      <c r="N252" s="105"/>
      <c r="O252" s="4"/>
      <c r="P252" s="223"/>
      <c r="Q252" s="85"/>
      <c r="R252" s="107" t="e">
        <f>IF(C252=#REF!,K252,0)</f>
        <v>#REF!</v>
      </c>
      <c r="S252" s="107" t="e">
        <f>IF(C252=#REF!,K252,0)</f>
        <v>#REF!</v>
      </c>
      <c r="T252" s="107" t="e">
        <f>IF(C252=#REF!,K252,0)</f>
        <v>#REF!</v>
      </c>
    </row>
    <row r="253" spans="1:21" hidden="1">
      <c r="A253" s="178"/>
      <c r="B253" s="177"/>
      <c r="C253" s="101"/>
      <c r="D253" s="45"/>
      <c r="E253" s="102"/>
      <c r="F253" s="91" t="s">
        <v>127</v>
      </c>
      <c r="G253" s="103" t="s">
        <v>127</v>
      </c>
      <c r="H253" s="104"/>
      <c r="I253" s="105">
        <f>IF(E253&gt;0,VLOOKUP(YEAR(E253),SMMLV!$A$9:$B$55,2,FALSE),0)</f>
        <v>0</v>
      </c>
      <c r="J253" s="106"/>
      <c r="K253" s="105">
        <f t="shared" si="41"/>
        <v>0</v>
      </c>
      <c r="L253" s="105"/>
      <c r="M253" s="105"/>
      <c r="N253" s="105"/>
      <c r="O253" s="44"/>
      <c r="P253" s="225"/>
      <c r="Q253" s="85"/>
      <c r="R253" s="107" t="e">
        <f>IF(C253=#REF!,K253,0)</f>
        <v>#REF!</v>
      </c>
      <c r="S253" s="107" t="e">
        <f>IF(C253=#REF!,K253,0)</f>
        <v>#REF!</v>
      </c>
      <c r="T253" s="107" t="e">
        <f>IF(C253=#REF!,K253,0)</f>
        <v>#REF!</v>
      </c>
    </row>
    <row r="254" spans="1:21" hidden="1">
      <c r="A254" s="178"/>
      <c r="B254" s="177"/>
      <c r="C254" s="101"/>
      <c r="D254" s="45"/>
      <c r="E254" s="102"/>
      <c r="F254" s="91"/>
      <c r="G254" s="103"/>
      <c r="H254" s="104"/>
      <c r="I254" s="105">
        <f>IF(E254&gt;0,VLOOKUP(YEAR(E254),SMMLV!$A$9:$B$55,2,FALSE),0)</f>
        <v>0</v>
      </c>
      <c r="J254" s="106"/>
      <c r="K254" s="105">
        <f t="shared" si="41"/>
        <v>0</v>
      </c>
      <c r="L254" s="105"/>
      <c r="M254" s="105"/>
      <c r="N254" s="105"/>
      <c r="O254" s="44"/>
      <c r="P254" s="225"/>
      <c r="Q254" s="85"/>
      <c r="R254" s="107" t="e">
        <f>IF(C254=#REF!,K254,0)</f>
        <v>#REF!</v>
      </c>
      <c r="S254" s="107" t="e">
        <f>IF(C254=#REF!,K254,0)</f>
        <v>#REF!</v>
      </c>
      <c r="T254" s="107" t="e">
        <f>IF(C254=#REF!,K254,0)</f>
        <v>#REF!</v>
      </c>
    </row>
    <row r="255" spans="1:21" hidden="1">
      <c r="A255" s="178"/>
      <c r="B255" s="177"/>
      <c r="C255" s="101"/>
      <c r="D255" s="45"/>
      <c r="E255" s="102"/>
      <c r="F255" s="91"/>
      <c r="G255" s="103"/>
      <c r="H255" s="104"/>
      <c r="I255" s="105">
        <f>IF(E255&gt;0,VLOOKUP(YEAR(E255),SMMLV!$A$9:$B$55,2,FALSE),0)</f>
        <v>0</v>
      </c>
      <c r="J255" s="106"/>
      <c r="K255" s="105">
        <f t="shared" si="41"/>
        <v>0</v>
      </c>
      <c r="L255" s="105"/>
      <c r="M255" s="105"/>
      <c r="N255" s="105"/>
      <c r="O255" s="44"/>
      <c r="P255" s="225"/>
      <c r="Q255" s="85"/>
      <c r="R255" s="107" t="e">
        <f>IF(C255=#REF!,K255,0)</f>
        <v>#REF!</v>
      </c>
      <c r="S255" s="107" t="e">
        <f>IF(C255=#REF!,K255,0)</f>
        <v>#REF!</v>
      </c>
      <c r="T255" s="107" t="e">
        <f>IF(C255=#REF!,K255,0)</f>
        <v>#REF!</v>
      </c>
    </row>
    <row r="256" spans="1:21" hidden="1">
      <c r="A256" s="178"/>
      <c r="B256" s="177"/>
      <c r="C256" s="101"/>
      <c r="D256" s="45"/>
      <c r="E256" s="102"/>
      <c r="F256" s="91"/>
      <c r="G256" s="103"/>
      <c r="H256" s="104"/>
      <c r="I256" s="105">
        <f>IF(E256&gt;0,VLOOKUP(YEAR(E256),SMMLV!$A$9:$B$55,2,FALSE),0)</f>
        <v>0</v>
      </c>
      <c r="J256" s="106"/>
      <c r="K256" s="105">
        <f t="shared" si="41"/>
        <v>0</v>
      </c>
      <c r="L256" s="105"/>
      <c r="M256" s="105"/>
      <c r="N256" s="105"/>
      <c r="O256" s="44"/>
      <c r="P256" s="225"/>
      <c r="Q256" s="85"/>
      <c r="R256" s="107" t="e">
        <f>IF(C256=#REF!,K256,0)</f>
        <v>#REF!</v>
      </c>
      <c r="S256" s="107" t="e">
        <f>IF(C256=#REF!,K256,0)</f>
        <v>#REF!</v>
      </c>
      <c r="T256" s="107" t="e">
        <f>IF(C256=#REF!,K256,0)</f>
        <v>#REF!</v>
      </c>
    </row>
    <row r="257" spans="1:21" hidden="1">
      <c r="A257" s="289"/>
      <c r="B257" s="289"/>
      <c r="C257" s="289"/>
      <c r="D257" s="289"/>
      <c r="E257" s="289"/>
      <c r="F257" s="289"/>
      <c r="G257" s="289"/>
      <c r="H257" s="289"/>
      <c r="I257" s="289"/>
      <c r="J257" s="179"/>
      <c r="K257" s="109">
        <f>SUM(K251:K256)</f>
        <v>0</v>
      </c>
      <c r="L257" s="109"/>
      <c r="M257" s="109"/>
      <c r="N257" s="109"/>
      <c r="O257" s="90"/>
      <c r="P257" s="217"/>
      <c r="R257" s="107" t="e">
        <f>SUM(R237:R256)</f>
        <v>#N/A</v>
      </c>
      <c r="S257" s="107" t="e">
        <f>SUM(S237:S256)</f>
        <v>#N/A</v>
      </c>
      <c r="T257" s="107" t="e">
        <f>SUM(T237:T256)</f>
        <v>#N/A</v>
      </c>
      <c r="U257" s="110" t="e">
        <f>MAX(R257:T257)</f>
        <v>#N/A</v>
      </c>
    </row>
    <row r="258" spans="1:21" hidden="1">
      <c r="H258" s="89"/>
      <c r="I258" s="89"/>
      <c r="J258" s="89"/>
      <c r="K258" s="111" t="e">
        <f>IF(AND(K257&gt;=$G$6,G248&gt;0),"CUMPLE", "NO CUMPLE ")</f>
        <v>#N/A</v>
      </c>
      <c r="L258" s="202"/>
      <c r="M258" s="202"/>
      <c r="N258" s="202"/>
      <c r="R258" s="94"/>
    </row>
    <row r="259" spans="1:21" hidden="1">
      <c r="D259" s="85"/>
      <c r="E259" s="85"/>
      <c r="F259" s="85"/>
      <c r="G259" s="85"/>
      <c r="H259" s="85"/>
      <c r="R259" s="94"/>
    </row>
    <row r="260" spans="1:21" hidden="1">
      <c r="D260" s="85"/>
      <c r="E260" s="85"/>
      <c r="F260" s="85"/>
      <c r="G260" s="85"/>
      <c r="H260" s="85"/>
      <c r="K260" s="157" t="str">
        <f>IF(AND(K257&gt;=$V$10,K257&lt;=$W$10,K257&gt;0),"CUMPLE", "NO CUMPLE ")</f>
        <v xml:space="preserve">NO CUMPLE </v>
      </c>
      <c r="L260" s="157"/>
      <c r="M260" s="157"/>
      <c r="N260" s="157"/>
      <c r="O260" s="158" t="s">
        <v>141</v>
      </c>
      <c r="P260" s="226"/>
      <c r="R260" s="94"/>
    </row>
    <row r="261" spans="1:21" hidden="1">
      <c r="D261" s="85"/>
      <c r="E261" s="85"/>
      <c r="F261" s="85"/>
      <c r="G261" s="85"/>
      <c r="H261" s="85"/>
      <c r="K261" s="161" t="str">
        <f>IF(AND(K257&gt;=$W$10,K257&lt;=$X$10,K257&gt;0),"CUMPLE", "NO CUMPLE ")</f>
        <v xml:space="preserve">NO CUMPLE </v>
      </c>
      <c r="L261" s="161"/>
      <c r="M261" s="161"/>
      <c r="N261" s="161"/>
      <c r="O261" s="159" t="s">
        <v>142</v>
      </c>
      <c r="P261" s="227"/>
      <c r="R261" s="94"/>
    </row>
    <row r="262" spans="1:21" hidden="1">
      <c r="C262" s="115"/>
      <c r="D262" s="85"/>
      <c r="E262" s="85"/>
      <c r="F262" s="85"/>
      <c r="G262" s="85"/>
      <c r="H262" s="85"/>
      <c r="K262" s="183" t="e">
        <f>IF(AND(K258&gt;=$X$10,K258&lt;=$Y$10,K258&gt;0),"CUMPLE", "NO CUMPLE ")</f>
        <v>#N/A</v>
      </c>
      <c r="L262" s="183"/>
      <c r="M262" s="183"/>
      <c r="N262" s="183"/>
      <c r="O262" s="184" t="s">
        <v>143</v>
      </c>
      <c r="P262" s="228"/>
      <c r="R262" s="94"/>
    </row>
    <row r="263" spans="1:21" hidden="1">
      <c r="C263" s="115"/>
      <c r="G263" s="116"/>
      <c r="K263" s="156" t="str">
        <f>IF(AND(K257&gt;=$Y$10,K257&gt;0),"CUMPLE", "NO CUMPLE ")</f>
        <v xml:space="preserve">NO CUMPLE </v>
      </c>
      <c r="L263" s="156"/>
      <c r="M263" s="156"/>
      <c r="N263" s="156"/>
      <c r="O263" s="160" t="s">
        <v>144</v>
      </c>
      <c r="P263" s="229"/>
      <c r="R263" s="94"/>
    </row>
    <row r="264" spans="1:21" hidden="1">
      <c r="C264" s="115"/>
      <c r="G264" s="116"/>
      <c r="R264" s="94"/>
    </row>
    <row r="265" spans="1:21" ht="22.5" hidden="1" customHeight="1">
      <c r="A265" s="145" t="s">
        <v>6</v>
      </c>
      <c r="B265" s="146">
        <f>B232+1</f>
        <v>10</v>
      </c>
      <c r="C265" s="147" t="s">
        <v>122</v>
      </c>
      <c r="D265" s="304" t="e">
        <f>VLOOKUP(B265,Directorio!$A$4:$V$23,3,FALSE)</f>
        <v>#N/A</v>
      </c>
      <c r="E265" s="305"/>
      <c r="F265" s="305"/>
      <c r="G265" s="305"/>
      <c r="H265" s="306"/>
      <c r="I265" s="302" t="e">
        <f>VLOOKUP(B265,Directorio!$A$4:$V$23,4,FALSE)</f>
        <v>#N/A</v>
      </c>
      <c r="J265" s="303"/>
      <c r="K265" s="303"/>
      <c r="L265" s="303"/>
      <c r="M265" s="303"/>
      <c r="N265" s="303"/>
      <c r="O265" s="303"/>
      <c r="P265" s="231"/>
      <c r="Q265" s="85"/>
      <c r="R265" s="94" t="s">
        <v>69</v>
      </c>
      <c r="S265" s="87" t="s">
        <v>70</v>
      </c>
      <c r="T265" s="87" t="s">
        <v>71</v>
      </c>
    </row>
    <row r="266" spans="1:21" ht="40.5" hidden="1" customHeight="1">
      <c r="A266" s="97" t="s">
        <v>5</v>
      </c>
      <c r="B266" s="97" t="s">
        <v>27</v>
      </c>
      <c r="C266" s="97" t="s">
        <v>36</v>
      </c>
      <c r="D266" s="97" t="s">
        <v>28</v>
      </c>
      <c r="E266" s="98" t="s">
        <v>29</v>
      </c>
      <c r="F266" s="97" t="s">
        <v>30</v>
      </c>
      <c r="G266" s="97" t="s">
        <v>31</v>
      </c>
      <c r="H266" s="97" t="s">
        <v>32</v>
      </c>
      <c r="I266" s="97" t="s">
        <v>33</v>
      </c>
      <c r="J266" s="97" t="s">
        <v>66</v>
      </c>
      <c r="K266" s="97" t="s">
        <v>34</v>
      </c>
      <c r="L266" s="97"/>
      <c r="M266" s="97"/>
      <c r="N266" s="97"/>
      <c r="O266" s="97" t="s">
        <v>35</v>
      </c>
      <c r="P266" s="217"/>
      <c r="Q266" s="85"/>
      <c r="R266" s="94" t="e">
        <f>D279</f>
        <v>#N/A</v>
      </c>
      <c r="S266" s="87" t="e">
        <f>D280</f>
        <v>#N/A</v>
      </c>
      <c r="T266" s="87" t="e">
        <f>D281</f>
        <v>#N/A</v>
      </c>
    </row>
    <row r="267" spans="1:21" hidden="1">
      <c r="A267" s="99"/>
      <c r="B267" s="100"/>
      <c r="C267" s="101"/>
      <c r="D267" s="45"/>
      <c r="E267" s="102"/>
      <c r="F267" s="91"/>
      <c r="G267" s="103"/>
      <c r="H267" s="104"/>
      <c r="I267" s="105">
        <f>IF(E267&gt;0,VLOOKUP(YEAR(E267),SMMLV!$A$9:$B$55,2,FALSE),0)</f>
        <v>0</v>
      </c>
      <c r="J267" s="106"/>
      <c r="K267" s="105">
        <f>IF(AND(E267&gt;=$F$6,H267&gt;0),H267/I267*J267,0)</f>
        <v>0</v>
      </c>
      <c r="L267" s="105"/>
      <c r="M267" s="105"/>
      <c r="N267" s="105"/>
      <c r="O267" s="44"/>
      <c r="P267" s="225"/>
      <c r="Q267" s="85"/>
      <c r="R267" s="107" t="e">
        <f t="shared" ref="R267:R276" si="42">IF(C267=$R$266,K267,0)</f>
        <v>#N/A</v>
      </c>
      <c r="S267" s="107" t="e">
        <f t="shared" ref="S267:S276" si="43">IF(C267=$S$266,K267,0)</f>
        <v>#N/A</v>
      </c>
      <c r="T267" s="107" t="e">
        <f t="shared" ref="T267:T276" si="44">IF(C267=$T$266,K267,0)</f>
        <v>#N/A</v>
      </c>
    </row>
    <row r="268" spans="1:21" hidden="1">
      <c r="A268" s="108"/>
      <c r="B268" s="99"/>
      <c r="C268" s="101"/>
      <c r="D268" s="45"/>
      <c r="E268" s="102"/>
      <c r="F268" s="91"/>
      <c r="G268" s="103"/>
      <c r="H268" s="104"/>
      <c r="I268" s="105">
        <f>IF(E268&gt;0,VLOOKUP(YEAR(E268),SMMLV!$A$9:$B$55,2,FALSE),0)</f>
        <v>0</v>
      </c>
      <c r="J268" s="106"/>
      <c r="K268" s="105">
        <f t="shared" ref="K268:K276" si="45">IF(AND(E268&gt;=$F$6,H268&gt;0),H268/I268*J268,0)</f>
        <v>0</v>
      </c>
      <c r="L268" s="105"/>
      <c r="M268" s="105"/>
      <c r="N268" s="105"/>
      <c r="O268" s="44"/>
      <c r="P268" s="225"/>
      <c r="Q268" s="85"/>
      <c r="R268" s="107" t="e">
        <f t="shared" si="42"/>
        <v>#N/A</v>
      </c>
      <c r="S268" s="107" t="e">
        <f t="shared" si="43"/>
        <v>#N/A</v>
      </c>
      <c r="T268" s="107" t="e">
        <f t="shared" si="44"/>
        <v>#N/A</v>
      </c>
    </row>
    <row r="269" spans="1:21" hidden="1">
      <c r="A269" s="108"/>
      <c r="B269" s="99"/>
      <c r="C269" s="101"/>
      <c r="D269" s="45"/>
      <c r="E269" s="102"/>
      <c r="F269" s="91"/>
      <c r="G269" s="103"/>
      <c r="H269" s="104"/>
      <c r="I269" s="105">
        <f>IF(E269&gt;0,VLOOKUP(YEAR(E269),SMMLV!$A$9:$B$55,2,FALSE),0)</f>
        <v>0</v>
      </c>
      <c r="J269" s="106"/>
      <c r="K269" s="105">
        <f t="shared" si="45"/>
        <v>0</v>
      </c>
      <c r="L269" s="105"/>
      <c r="M269" s="105"/>
      <c r="N269" s="105"/>
      <c r="O269" s="44"/>
      <c r="P269" s="225"/>
      <c r="Q269" s="85"/>
      <c r="R269" s="107" t="e">
        <f t="shared" si="42"/>
        <v>#N/A</v>
      </c>
      <c r="S269" s="107" t="e">
        <f t="shared" si="43"/>
        <v>#N/A</v>
      </c>
      <c r="T269" s="107" t="e">
        <f t="shared" si="44"/>
        <v>#N/A</v>
      </c>
    </row>
    <row r="270" spans="1:21" hidden="1">
      <c r="A270" s="108"/>
      <c r="B270" s="99"/>
      <c r="C270" s="101"/>
      <c r="D270" s="45"/>
      <c r="E270" s="102"/>
      <c r="F270" s="91"/>
      <c r="G270" s="103"/>
      <c r="H270" s="104"/>
      <c r="I270" s="105">
        <f>IF(E270&gt;0,VLOOKUP(YEAR(E270),SMMLV!$A$9:$B$55,2,FALSE),0)</f>
        <v>0</v>
      </c>
      <c r="J270" s="106"/>
      <c r="K270" s="105">
        <f t="shared" si="45"/>
        <v>0</v>
      </c>
      <c r="L270" s="105"/>
      <c r="M270" s="105"/>
      <c r="N270" s="105"/>
      <c r="O270" s="44"/>
      <c r="P270" s="225"/>
      <c r="Q270" s="85"/>
      <c r="R270" s="107" t="e">
        <f t="shared" si="42"/>
        <v>#N/A</v>
      </c>
      <c r="S270" s="107" t="e">
        <f t="shared" si="43"/>
        <v>#N/A</v>
      </c>
      <c r="T270" s="107" t="e">
        <f t="shared" si="44"/>
        <v>#N/A</v>
      </c>
    </row>
    <row r="271" spans="1:21" hidden="1">
      <c r="A271" s="108"/>
      <c r="B271" s="99"/>
      <c r="C271" s="101"/>
      <c r="D271" s="45"/>
      <c r="E271" s="102"/>
      <c r="F271" s="91"/>
      <c r="G271" s="103"/>
      <c r="H271" s="104"/>
      <c r="I271" s="105">
        <f>IF(E271&gt;0,VLOOKUP(YEAR(E271),SMMLV!$A$9:$B$55,2,FALSE),0)</f>
        <v>0</v>
      </c>
      <c r="J271" s="106"/>
      <c r="K271" s="105">
        <f t="shared" si="45"/>
        <v>0</v>
      </c>
      <c r="L271" s="105"/>
      <c r="M271" s="105"/>
      <c r="N271" s="105"/>
      <c r="O271" s="44"/>
      <c r="P271" s="225"/>
      <c r="Q271" s="85"/>
      <c r="R271" s="107" t="e">
        <f t="shared" si="42"/>
        <v>#N/A</v>
      </c>
      <c r="S271" s="107" t="e">
        <f t="shared" si="43"/>
        <v>#N/A</v>
      </c>
      <c r="T271" s="107" t="e">
        <f t="shared" si="44"/>
        <v>#N/A</v>
      </c>
    </row>
    <row r="272" spans="1:21" hidden="1">
      <c r="A272" s="108"/>
      <c r="B272" s="99"/>
      <c r="C272" s="101"/>
      <c r="D272" s="45"/>
      <c r="E272" s="102"/>
      <c r="F272" s="91"/>
      <c r="G272" s="103"/>
      <c r="H272" s="104"/>
      <c r="I272" s="105">
        <f>IF(E272&gt;0,VLOOKUP(YEAR(E272),SMMLV!$A$9:$B$55,2,FALSE),0)</f>
        <v>0</v>
      </c>
      <c r="J272" s="106"/>
      <c r="K272" s="105">
        <f t="shared" si="45"/>
        <v>0</v>
      </c>
      <c r="L272" s="105"/>
      <c r="M272" s="105"/>
      <c r="N272" s="105"/>
      <c r="O272" s="44"/>
      <c r="P272" s="225"/>
      <c r="Q272" s="85"/>
      <c r="R272" s="107" t="e">
        <f t="shared" si="42"/>
        <v>#N/A</v>
      </c>
      <c r="S272" s="107" t="e">
        <f t="shared" si="43"/>
        <v>#N/A</v>
      </c>
      <c r="T272" s="107" t="e">
        <f t="shared" si="44"/>
        <v>#N/A</v>
      </c>
    </row>
    <row r="273" spans="1:21" hidden="1">
      <c r="A273" s="108"/>
      <c r="B273" s="99"/>
      <c r="C273" s="101"/>
      <c r="D273" s="45"/>
      <c r="E273" s="102"/>
      <c r="F273" s="91"/>
      <c r="G273" s="103"/>
      <c r="H273" s="104"/>
      <c r="I273" s="105">
        <f>IF(E273&gt;0,VLOOKUP(YEAR(E273),SMMLV!$A$9:$B$55,2,FALSE),0)</f>
        <v>0</v>
      </c>
      <c r="J273" s="106"/>
      <c r="K273" s="105">
        <f t="shared" si="45"/>
        <v>0</v>
      </c>
      <c r="L273" s="105"/>
      <c r="M273" s="105"/>
      <c r="N273" s="105"/>
      <c r="O273" s="44"/>
      <c r="P273" s="225"/>
      <c r="Q273" s="85"/>
      <c r="R273" s="107" t="e">
        <f t="shared" si="42"/>
        <v>#N/A</v>
      </c>
      <c r="S273" s="107" t="e">
        <f t="shared" si="43"/>
        <v>#N/A</v>
      </c>
      <c r="T273" s="107" t="e">
        <f t="shared" si="44"/>
        <v>#N/A</v>
      </c>
    </row>
    <row r="274" spans="1:21" hidden="1">
      <c r="A274" s="108"/>
      <c r="B274" s="99"/>
      <c r="C274" s="101"/>
      <c r="D274" s="45"/>
      <c r="E274" s="102"/>
      <c r="F274" s="91"/>
      <c r="G274" s="103"/>
      <c r="H274" s="104"/>
      <c r="I274" s="105">
        <f>IF(E274&gt;0,VLOOKUP(YEAR(E274),SMMLV!$A$9:$B$55,2,FALSE),0)</f>
        <v>0</v>
      </c>
      <c r="J274" s="106"/>
      <c r="K274" s="105">
        <f t="shared" si="45"/>
        <v>0</v>
      </c>
      <c r="L274" s="105"/>
      <c r="M274" s="105"/>
      <c r="N274" s="105"/>
      <c r="O274" s="44"/>
      <c r="P274" s="225"/>
      <c r="Q274" s="85"/>
      <c r="R274" s="107" t="e">
        <f t="shared" si="42"/>
        <v>#N/A</v>
      </c>
      <c r="S274" s="107" t="e">
        <f t="shared" si="43"/>
        <v>#N/A</v>
      </c>
      <c r="T274" s="107" t="e">
        <f t="shared" si="44"/>
        <v>#N/A</v>
      </c>
    </row>
    <row r="275" spans="1:21" hidden="1">
      <c r="A275" s="108"/>
      <c r="B275" s="99"/>
      <c r="C275" s="101"/>
      <c r="D275" s="45"/>
      <c r="E275" s="102"/>
      <c r="F275" s="91"/>
      <c r="G275" s="103"/>
      <c r="H275" s="104"/>
      <c r="I275" s="105">
        <f>IF(E275&gt;0,VLOOKUP(YEAR(E275),SMMLV!$A$9:$B$55,2,FALSE),0)</f>
        <v>0</v>
      </c>
      <c r="J275" s="106"/>
      <c r="K275" s="105">
        <f t="shared" si="45"/>
        <v>0</v>
      </c>
      <c r="L275" s="105"/>
      <c r="M275" s="105"/>
      <c r="N275" s="105"/>
      <c r="O275" s="44"/>
      <c r="P275" s="225"/>
      <c r="Q275" s="85"/>
      <c r="R275" s="107" t="e">
        <f t="shared" si="42"/>
        <v>#N/A</v>
      </c>
      <c r="S275" s="107" t="e">
        <f t="shared" si="43"/>
        <v>#N/A</v>
      </c>
      <c r="T275" s="107" t="e">
        <f t="shared" si="44"/>
        <v>#N/A</v>
      </c>
    </row>
    <row r="276" spans="1:21" hidden="1">
      <c r="A276" s="108"/>
      <c r="B276" s="99"/>
      <c r="C276" s="101"/>
      <c r="D276" s="45"/>
      <c r="E276" s="102"/>
      <c r="F276" s="91"/>
      <c r="G276" s="103"/>
      <c r="H276" s="104"/>
      <c r="I276" s="105">
        <f>IF(E276&gt;0,VLOOKUP(YEAR(E276),SMMLV!$A$9:$B$55,2,FALSE),0)</f>
        <v>0</v>
      </c>
      <c r="J276" s="106"/>
      <c r="K276" s="105">
        <f t="shared" si="45"/>
        <v>0</v>
      </c>
      <c r="L276" s="105"/>
      <c r="M276" s="105"/>
      <c r="N276" s="105"/>
      <c r="O276" s="44"/>
      <c r="P276" s="225"/>
      <c r="Q276" s="85"/>
      <c r="R276" s="107" t="e">
        <f t="shared" si="42"/>
        <v>#N/A</v>
      </c>
      <c r="S276" s="107" t="e">
        <f t="shared" si="43"/>
        <v>#N/A</v>
      </c>
      <c r="T276" s="107" t="e">
        <f t="shared" si="44"/>
        <v>#N/A</v>
      </c>
    </row>
    <row r="277" spans="1:21" hidden="1">
      <c r="A277" s="289"/>
      <c r="B277" s="289"/>
      <c r="C277" s="289"/>
      <c r="D277" s="289"/>
      <c r="E277" s="289"/>
      <c r="F277" s="289"/>
      <c r="G277" s="289"/>
      <c r="H277" s="289"/>
      <c r="I277" s="289"/>
      <c r="J277" s="96"/>
      <c r="K277" s="109">
        <f>SUM(K267:K276)</f>
        <v>0</v>
      </c>
      <c r="L277" s="109"/>
      <c r="M277" s="109"/>
      <c r="N277" s="109"/>
      <c r="O277" s="90"/>
      <c r="P277" s="217"/>
      <c r="R277" s="107" t="e">
        <f>SUM(R267:R276)</f>
        <v>#N/A</v>
      </c>
      <c r="S277" s="107" t="e">
        <f>SUM(S267:S276)</f>
        <v>#N/A</v>
      </c>
      <c r="T277" s="107" t="e">
        <f>SUM(T267:T276)</f>
        <v>#N/A</v>
      </c>
      <c r="U277" s="110" t="e">
        <f>MAX(R277:T277)</f>
        <v>#N/A</v>
      </c>
    </row>
    <row r="278" spans="1:21" hidden="1">
      <c r="H278" s="89"/>
      <c r="I278" s="89"/>
      <c r="J278" s="89"/>
      <c r="K278" s="111" t="str">
        <f>IF(AND(K277&gt;=$G$6,G282&gt;0),"CUMPLE", "NO CUMPLE ")</f>
        <v xml:space="preserve">NO CUMPLE </v>
      </c>
      <c r="L278" s="202"/>
      <c r="M278" s="202"/>
      <c r="N278" s="202"/>
      <c r="R278" s="94"/>
    </row>
    <row r="279" spans="1:21" hidden="1">
      <c r="D279" s="112" t="e">
        <f>VLOOKUP(B265,Directorio!$A$4:$V$23,14,FALSE)</f>
        <v>#N/A</v>
      </c>
      <c r="E279" s="113" t="e">
        <f>VLOOKUP(B265,Directorio!$A$4:$V$23,15,FALSE)</f>
        <v>#N/A</v>
      </c>
      <c r="F279" s="114" t="e">
        <f>R277</f>
        <v>#N/A</v>
      </c>
      <c r="G279" s="138" t="e">
        <f>IF(F279&gt;0,IF(F279=$K$277,IF(E279&gt;=0.6,"Vo.Bo.","No Vo.Bo."),IF(F279=U277,IF(E279&gt;0.5,"Vo.Bo.","No Vo.Bo."),"")),"")</f>
        <v>#N/A</v>
      </c>
      <c r="R279" s="94"/>
    </row>
    <row r="280" spans="1:21" hidden="1">
      <c r="D280" s="112" t="e">
        <f>VLOOKUP(B265,Directorio!$A$4:$V$23,17,FALSE)</f>
        <v>#N/A</v>
      </c>
      <c r="E280" s="113" t="e">
        <f>VLOOKUP(B265,Directorio!$A$4:$V$23,18,FALSE)</f>
        <v>#N/A</v>
      </c>
      <c r="F280" s="114" t="e">
        <f>S277</f>
        <v>#N/A</v>
      </c>
      <c r="G280" s="138" t="e">
        <f>IF(F280&gt;0,IF(F280=$K$277,IF(E280&gt;=0.6,"Vo.Bo.","No Vo.Bo."),IF(F280=U277,IF(E280&gt;0.5,"Vo.Bo.","No Vo.Bo."),"")),"")</f>
        <v>#N/A</v>
      </c>
      <c r="R280" s="94"/>
    </row>
    <row r="281" spans="1:21" hidden="1">
      <c r="D281" s="112" t="e">
        <f>VLOOKUP(B265,Directorio!$A$4:$V$23,20,FALSE)</f>
        <v>#N/A</v>
      </c>
      <c r="E281" s="113" t="e">
        <f>VLOOKUP(B265,Directorio!$A$4:$V$23,21,FALSE)</f>
        <v>#N/A</v>
      </c>
      <c r="F281" s="114" t="e">
        <f>T277</f>
        <v>#N/A</v>
      </c>
      <c r="G281" s="138" t="e">
        <f>IF(F281&gt;0,IF(F281=$K$277,IF(E281&gt;=0.6,"Vo.Bo.","No Vo.Bo."),IF(F281=U277,IF(E281&gt;0.5,"Vo.Bo.","No Vo.Bo."),"")),"")</f>
        <v>#N/A</v>
      </c>
      <c r="R281" s="94"/>
    </row>
    <row r="282" spans="1:21" hidden="1">
      <c r="C282" s="115"/>
      <c r="G282" s="116">
        <f>COUNTIF(G279:G281,"Vo.Bo.")</f>
        <v>0</v>
      </c>
      <c r="R282" s="94"/>
    </row>
    <row r="283" spans="1:21" ht="22.5" hidden="1" customHeight="1">
      <c r="A283" s="145" t="s">
        <v>6</v>
      </c>
      <c r="B283" s="146">
        <f>B265+1</f>
        <v>11</v>
      </c>
      <c r="C283" s="147" t="s">
        <v>122</v>
      </c>
      <c r="D283" s="304" t="e">
        <f>VLOOKUP(B283,Directorio!$A$4:$V$23,3,FALSE)</f>
        <v>#N/A</v>
      </c>
      <c r="E283" s="305"/>
      <c r="F283" s="305"/>
      <c r="G283" s="305"/>
      <c r="H283" s="306"/>
      <c r="I283" s="302" t="e">
        <f>VLOOKUP(B283,Directorio!$A$4:$V$23,4,FALSE)</f>
        <v>#N/A</v>
      </c>
      <c r="J283" s="303"/>
      <c r="K283" s="303"/>
      <c r="L283" s="303"/>
      <c r="M283" s="303"/>
      <c r="N283" s="303"/>
      <c r="O283" s="303"/>
      <c r="P283" s="231"/>
      <c r="Q283" s="85"/>
      <c r="R283" s="94" t="s">
        <v>69</v>
      </c>
      <c r="S283" s="87" t="s">
        <v>70</v>
      </c>
      <c r="T283" s="87" t="s">
        <v>71</v>
      </c>
    </row>
    <row r="284" spans="1:21" ht="50.25" hidden="1" customHeight="1">
      <c r="A284" s="97" t="s">
        <v>5</v>
      </c>
      <c r="B284" s="97" t="s">
        <v>27</v>
      </c>
      <c r="C284" s="97" t="s">
        <v>36</v>
      </c>
      <c r="D284" s="97" t="s">
        <v>28</v>
      </c>
      <c r="E284" s="98" t="s">
        <v>29</v>
      </c>
      <c r="F284" s="97" t="s">
        <v>30</v>
      </c>
      <c r="G284" s="97" t="s">
        <v>31</v>
      </c>
      <c r="H284" s="97" t="s">
        <v>32</v>
      </c>
      <c r="I284" s="97" t="s">
        <v>33</v>
      </c>
      <c r="J284" s="97" t="s">
        <v>66</v>
      </c>
      <c r="K284" s="97" t="s">
        <v>34</v>
      </c>
      <c r="L284" s="97"/>
      <c r="M284" s="97"/>
      <c r="N284" s="97"/>
      <c r="O284" s="97" t="s">
        <v>35</v>
      </c>
      <c r="P284" s="217"/>
      <c r="Q284" s="85"/>
      <c r="R284" s="94" t="e">
        <f>D297</f>
        <v>#N/A</v>
      </c>
      <c r="S284" s="87" t="e">
        <f>D298</f>
        <v>#N/A</v>
      </c>
      <c r="T284" s="87" t="e">
        <f>D299</f>
        <v>#N/A</v>
      </c>
    </row>
    <row r="285" spans="1:21" hidden="1">
      <c r="A285" s="99"/>
      <c r="B285" s="100"/>
      <c r="C285" s="101"/>
      <c r="D285" s="45"/>
      <c r="E285" s="102"/>
      <c r="F285" s="91"/>
      <c r="G285" s="103"/>
      <c r="H285" s="104"/>
      <c r="I285" s="105">
        <f>IF(E285&gt;0,VLOOKUP(YEAR(E285),SMMLV!$A$9:$B$55,2,FALSE),0)</f>
        <v>0</v>
      </c>
      <c r="J285" s="106"/>
      <c r="K285" s="105">
        <f>IF(AND(E285&gt;=$F$6,H285&gt;0),H285/I285*J285,0)</f>
        <v>0</v>
      </c>
      <c r="L285" s="105"/>
      <c r="M285" s="105"/>
      <c r="N285" s="105"/>
      <c r="O285" s="44"/>
      <c r="P285" s="225"/>
      <c r="Q285" s="85"/>
      <c r="R285" s="107" t="e">
        <f t="shared" ref="R285:R294" si="46">IF(C285=$R$284,K285,0)</f>
        <v>#N/A</v>
      </c>
      <c r="S285" s="107" t="e">
        <f t="shared" ref="S285:S294" si="47">IF(C285=$S$284,K285,0)</f>
        <v>#N/A</v>
      </c>
      <c r="T285" s="107" t="e">
        <f t="shared" ref="T285:T294" si="48">IF(C285=$T$284,K285,0)</f>
        <v>#N/A</v>
      </c>
    </row>
    <row r="286" spans="1:21" hidden="1">
      <c r="A286" s="108"/>
      <c r="B286" s="99"/>
      <c r="C286" s="101"/>
      <c r="D286" s="45"/>
      <c r="E286" s="102"/>
      <c r="F286" s="91"/>
      <c r="G286" s="103"/>
      <c r="H286" s="104"/>
      <c r="I286" s="105">
        <f>IF(E286&gt;0,VLOOKUP(YEAR(E286),SMMLV!$A$9:$B$55,2,FALSE),0)</f>
        <v>0</v>
      </c>
      <c r="J286" s="106"/>
      <c r="K286" s="105">
        <f t="shared" ref="K286:K294" si="49">IF(AND(E286&gt;=$F$6,H286&gt;0),H286/I286*J286,0)</f>
        <v>0</v>
      </c>
      <c r="L286" s="105"/>
      <c r="M286" s="105"/>
      <c r="N286" s="105"/>
      <c r="O286" s="44"/>
      <c r="P286" s="225"/>
      <c r="Q286" s="85"/>
      <c r="R286" s="107" t="e">
        <f t="shared" si="46"/>
        <v>#N/A</v>
      </c>
      <c r="S286" s="107" t="e">
        <f t="shared" si="47"/>
        <v>#N/A</v>
      </c>
      <c r="T286" s="107" t="e">
        <f t="shared" si="48"/>
        <v>#N/A</v>
      </c>
    </row>
    <row r="287" spans="1:21" hidden="1">
      <c r="A287" s="108"/>
      <c r="B287" s="99"/>
      <c r="C287" s="101"/>
      <c r="D287" s="45"/>
      <c r="E287" s="102"/>
      <c r="F287" s="91"/>
      <c r="G287" s="103"/>
      <c r="H287" s="104"/>
      <c r="I287" s="105">
        <f>IF(E287&gt;0,VLOOKUP(YEAR(E287),SMMLV!$A$9:$B$55,2,FALSE),0)</f>
        <v>0</v>
      </c>
      <c r="J287" s="106"/>
      <c r="K287" s="105">
        <f t="shared" si="49"/>
        <v>0</v>
      </c>
      <c r="L287" s="105"/>
      <c r="M287" s="105"/>
      <c r="N287" s="105"/>
      <c r="O287" s="44"/>
      <c r="P287" s="225"/>
      <c r="Q287" s="85"/>
      <c r="R287" s="107" t="e">
        <f t="shared" si="46"/>
        <v>#N/A</v>
      </c>
      <c r="S287" s="107" t="e">
        <f t="shared" si="47"/>
        <v>#N/A</v>
      </c>
      <c r="T287" s="107" t="e">
        <f t="shared" si="48"/>
        <v>#N/A</v>
      </c>
    </row>
    <row r="288" spans="1:21" hidden="1">
      <c r="A288" s="108"/>
      <c r="B288" s="99"/>
      <c r="C288" s="101"/>
      <c r="D288" s="45"/>
      <c r="E288" s="102"/>
      <c r="F288" s="91"/>
      <c r="G288" s="103"/>
      <c r="H288" s="104"/>
      <c r="I288" s="105">
        <f>IF(E288&gt;0,VLOOKUP(YEAR(E288),SMMLV!$A$9:$B$55,2,FALSE),0)</f>
        <v>0</v>
      </c>
      <c r="J288" s="106"/>
      <c r="K288" s="105">
        <f t="shared" si="49"/>
        <v>0</v>
      </c>
      <c r="L288" s="105"/>
      <c r="M288" s="105"/>
      <c r="N288" s="105"/>
      <c r="O288" s="44"/>
      <c r="P288" s="225"/>
      <c r="Q288" s="85"/>
      <c r="R288" s="107" t="e">
        <f t="shared" si="46"/>
        <v>#N/A</v>
      </c>
      <c r="S288" s="107" t="e">
        <f t="shared" si="47"/>
        <v>#N/A</v>
      </c>
      <c r="T288" s="107" t="e">
        <f t="shared" si="48"/>
        <v>#N/A</v>
      </c>
    </row>
    <row r="289" spans="1:21" hidden="1">
      <c r="A289" s="108"/>
      <c r="B289" s="99"/>
      <c r="C289" s="101"/>
      <c r="D289" s="45"/>
      <c r="E289" s="102"/>
      <c r="F289" s="91"/>
      <c r="G289" s="103"/>
      <c r="H289" s="104"/>
      <c r="I289" s="105">
        <f>IF(E289&gt;0,VLOOKUP(YEAR(E289),SMMLV!$A$9:$B$55,2,FALSE),0)</f>
        <v>0</v>
      </c>
      <c r="J289" s="106"/>
      <c r="K289" s="105">
        <f t="shared" si="49"/>
        <v>0</v>
      </c>
      <c r="L289" s="105"/>
      <c r="M289" s="105"/>
      <c r="N289" s="105"/>
      <c r="O289" s="44"/>
      <c r="P289" s="225"/>
      <c r="Q289" s="85"/>
      <c r="R289" s="107" t="e">
        <f t="shared" si="46"/>
        <v>#N/A</v>
      </c>
      <c r="S289" s="107" t="e">
        <f t="shared" si="47"/>
        <v>#N/A</v>
      </c>
      <c r="T289" s="107" t="e">
        <f t="shared" si="48"/>
        <v>#N/A</v>
      </c>
    </row>
    <row r="290" spans="1:21" hidden="1">
      <c r="A290" s="108"/>
      <c r="B290" s="99"/>
      <c r="C290" s="101"/>
      <c r="D290" s="45"/>
      <c r="E290" s="102"/>
      <c r="F290" s="91"/>
      <c r="G290" s="103"/>
      <c r="H290" s="104"/>
      <c r="I290" s="105">
        <f>IF(E290&gt;0,VLOOKUP(YEAR(E290),SMMLV!$A$9:$B$55,2,FALSE),0)</f>
        <v>0</v>
      </c>
      <c r="J290" s="106"/>
      <c r="K290" s="105">
        <f t="shared" si="49"/>
        <v>0</v>
      </c>
      <c r="L290" s="105"/>
      <c r="M290" s="105"/>
      <c r="N290" s="105"/>
      <c r="O290" s="44"/>
      <c r="P290" s="225"/>
      <c r="Q290" s="85"/>
      <c r="R290" s="107" t="e">
        <f t="shared" si="46"/>
        <v>#N/A</v>
      </c>
      <c r="S290" s="107" t="e">
        <f t="shared" si="47"/>
        <v>#N/A</v>
      </c>
      <c r="T290" s="107" t="e">
        <f t="shared" si="48"/>
        <v>#N/A</v>
      </c>
    </row>
    <row r="291" spans="1:21" hidden="1">
      <c r="A291" s="108"/>
      <c r="B291" s="99"/>
      <c r="C291" s="101"/>
      <c r="D291" s="45"/>
      <c r="E291" s="102"/>
      <c r="F291" s="91"/>
      <c r="G291" s="103"/>
      <c r="H291" s="104"/>
      <c r="I291" s="105">
        <f>IF(E291&gt;0,VLOOKUP(YEAR(E291),SMMLV!$A$9:$B$55,2,FALSE),0)</f>
        <v>0</v>
      </c>
      <c r="J291" s="106"/>
      <c r="K291" s="105">
        <f t="shared" si="49"/>
        <v>0</v>
      </c>
      <c r="L291" s="105"/>
      <c r="M291" s="105"/>
      <c r="N291" s="105"/>
      <c r="O291" s="44"/>
      <c r="P291" s="225"/>
      <c r="Q291" s="85"/>
      <c r="R291" s="107" t="e">
        <f t="shared" si="46"/>
        <v>#N/A</v>
      </c>
      <c r="S291" s="107" t="e">
        <f t="shared" si="47"/>
        <v>#N/A</v>
      </c>
      <c r="T291" s="107" t="e">
        <f t="shared" si="48"/>
        <v>#N/A</v>
      </c>
    </row>
    <row r="292" spans="1:21" hidden="1">
      <c r="A292" s="108"/>
      <c r="B292" s="99"/>
      <c r="C292" s="101"/>
      <c r="D292" s="45"/>
      <c r="E292" s="102"/>
      <c r="F292" s="91"/>
      <c r="G292" s="103"/>
      <c r="H292" s="104"/>
      <c r="I292" s="105">
        <f>IF(E292&gt;0,VLOOKUP(YEAR(E292),SMMLV!$A$9:$B$55,2,FALSE),0)</f>
        <v>0</v>
      </c>
      <c r="J292" s="106"/>
      <c r="K292" s="105">
        <f t="shared" si="49"/>
        <v>0</v>
      </c>
      <c r="L292" s="105"/>
      <c r="M292" s="105"/>
      <c r="N292" s="105"/>
      <c r="O292" s="44"/>
      <c r="P292" s="225"/>
      <c r="Q292" s="85"/>
      <c r="R292" s="107" t="e">
        <f t="shared" si="46"/>
        <v>#N/A</v>
      </c>
      <c r="S292" s="107" t="e">
        <f t="shared" si="47"/>
        <v>#N/A</v>
      </c>
      <c r="T292" s="107" t="e">
        <f t="shared" si="48"/>
        <v>#N/A</v>
      </c>
    </row>
    <row r="293" spans="1:21" hidden="1">
      <c r="A293" s="108"/>
      <c r="B293" s="99"/>
      <c r="C293" s="101"/>
      <c r="D293" s="45"/>
      <c r="E293" s="102"/>
      <c r="F293" s="91"/>
      <c r="G293" s="103"/>
      <c r="H293" s="104"/>
      <c r="I293" s="105">
        <f>IF(E293&gt;0,VLOOKUP(YEAR(E293),SMMLV!$A$9:$B$55,2,FALSE),0)</f>
        <v>0</v>
      </c>
      <c r="J293" s="106"/>
      <c r="K293" s="105">
        <f t="shared" si="49"/>
        <v>0</v>
      </c>
      <c r="L293" s="105"/>
      <c r="M293" s="105"/>
      <c r="N293" s="105"/>
      <c r="O293" s="44"/>
      <c r="P293" s="225"/>
      <c r="Q293" s="85"/>
      <c r="R293" s="107" t="e">
        <f t="shared" si="46"/>
        <v>#N/A</v>
      </c>
      <c r="S293" s="107" t="e">
        <f t="shared" si="47"/>
        <v>#N/A</v>
      </c>
      <c r="T293" s="107" t="e">
        <f t="shared" si="48"/>
        <v>#N/A</v>
      </c>
    </row>
    <row r="294" spans="1:21" hidden="1">
      <c r="A294" s="108"/>
      <c r="B294" s="99"/>
      <c r="C294" s="101"/>
      <c r="D294" s="45"/>
      <c r="E294" s="102"/>
      <c r="F294" s="91"/>
      <c r="G294" s="103"/>
      <c r="H294" s="104"/>
      <c r="I294" s="105">
        <f>IF(E294&gt;0,VLOOKUP(YEAR(E294),SMMLV!$A$9:$B$55,2,FALSE),0)</f>
        <v>0</v>
      </c>
      <c r="J294" s="106"/>
      <c r="K294" s="105">
        <f t="shared" si="49"/>
        <v>0</v>
      </c>
      <c r="L294" s="105"/>
      <c r="M294" s="105"/>
      <c r="N294" s="105"/>
      <c r="O294" s="44"/>
      <c r="P294" s="225"/>
      <c r="Q294" s="85"/>
      <c r="R294" s="107" t="e">
        <f t="shared" si="46"/>
        <v>#N/A</v>
      </c>
      <c r="S294" s="107" t="e">
        <f t="shared" si="47"/>
        <v>#N/A</v>
      </c>
      <c r="T294" s="107" t="e">
        <f t="shared" si="48"/>
        <v>#N/A</v>
      </c>
    </row>
    <row r="295" spans="1:21" hidden="1">
      <c r="A295" s="289"/>
      <c r="B295" s="289"/>
      <c r="C295" s="289"/>
      <c r="D295" s="289"/>
      <c r="E295" s="289"/>
      <c r="F295" s="289"/>
      <c r="G295" s="289"/>
      <c r="H295" s="289"/>
      <c r="I295" s="289"/>
      <c r="J295" s="96"/>
      <c r="K295" s="109">
        <f>SUM(K285:K294)</f>
        <v>0</v>
      </c>
      <c r="L295" s="109"/>
      <c r="M295" s="109"/>
      <c r="N295" s="109"/>
      <c r="O295" s="90"/>
      <c r="P295" s="217"/>
      <c r="R295" s="107" t="e">
        <f>SUM(R285:R294)</f>
        <v>#N/A</v>
      </c>
      <c r="S295" s="107" t="e">
        <f>SUM(S285:S294)</f>
        <v>#N/A</v>
      </c>
      <c r="T295" s="107" t="e">
        <f>SUM(T285:T294)</f>
        <v>#N/A</v>
      </c>
      <c r="U295" s="110" t="e">
        <f>MAX(R295:T295)</f>
        <v>#N/A</v>
      </c>
    </row>
    <row r="296" spans="1:21" hidden="1">
      <c r="H296" s="89"/>
      <c r="I296" s="89"/>
      <c r="J296" s="89"/>
      <c r="K296" s="111" t="str">
        <f>IF(AND(K295&gt;=$G$6,G300&gt;0),"CUMPLE", "NO CUMPLE ")</f>
        <v xml:space="preserve">NO CUMPLE </v>
      </c>
      <c r="L296" s="202"/>
      <c r="M296" s="202"/>
      <c r="N296" s="202"/>
      <c r="R296" s="94"/>
    </row>
    <row r="297" spans="1:21" hidden="1">
      <c r="D297" s="112" t="e">
        <f>VLOOKUP(B283,Directorio!$A$4:$V$23,14,FALSE)</f>
        <v>#N/A</v>
      </c>
      <c r="E297" s="113" t="e">
        <f>VLOOKUP(B283,Directorio!$A$4:$V$23,15,FALSE)</f>
        <v>#N/A</v>
      </c>
      <c r="F297" s="114" t="e">
        <f>R295</f>
        <v>#N/A</v>
      </c>
      <c r="G297" s="138" t="e">
        <f>IF(F297&gt;0,IF(F297=$K$295,IF(E297&gt;0.6,"Vo.Bo.","No Vo.Bo."),IF(F297=U295,IF(E297&gt;0.5,"Vo.Bo.","No Vo.Bo."),"")),"")</f>
        <v>#N/A</v>
      </c>
      <c r="R297" s="94"/>
    </row>
    <row r="298" spans="1:21" hidden="1">
      <c r="D298" s="112" t="e">
        <f>VLOOKUP(B283,Directorio!$A$4:$V$23,17,FALSE)</f>
        <v>#N/A</v>
      </c>
      <c r="E298" s="113" t="e">
        <f>VLOOKUP(B283,Directorio!$A$4:$V$23,18,FALSE)</f>
        <v>#N/A</v>
      </c>
      <c r="F298" s="114" t="e">
        <f>S295</f>
        <v>#N/A</v>
      </c>
      <c r="G298" s="138" t="e">
        <f>IF(F298&gt;0,IF(F298=$K$295,IF(E298&gt;=0.6,"Vo.Bo.","No Vo.Bo."),IF(F298=U295,IF(E298&gt;0.5,"Vo.Bo.","No Vo.Bo."),"")),"")</f>
        <v>#N/A</v>
      </c>
      <c r="R298" s="94"/>
    </row>
    <row r="299" spans="1:21" hidden="1">
      <c r="D299" s="112" t="e">
        <f>VLOOKUP(B283,Directorio!$A$4:$V$23,20,FALSE)</f>
        <v>#N/A</v>
      </c>
      <c r="E299" s="113" t="e">
        <f>VLOOKUP(B283,Directorio!$A$4:$V$23,21,FALSE)</f>
        <v>#N/A</v>
      </c>
      <c r="F299" s="114" t="e">
        <f>T295</f>
        <v>#N/A</v>
      </c>
      <c r="G299" s="138" t="e">
        <f>IF(F299&gt;0,IF(F299=$K$295,IF(E299&gt;=0.6,"Vo.Bo.","No Vo.Bo."),IF(F299=U295,IF(E299&gt;0.5,"Vo.Bo.","No Vo.Bo."),"")),"")</f>
        <v>#N/A</v>
      </c>
      <c r="R299" s="94"/>
    </row>
    <row r="300" spans="1:21" hidden="1">
      <c r="C300" s="115"/>
      <c r="G300" s="116">
        <f>COUNTIF(G297:G299,"Vo.Bo.")</f>
        <v>0</v>
      </c>
      <c r="R300" s="94"/>
    </row>
    <row r="301" spans="1:21" ht="22.5" hidden="1" customHeight="1">
      <c r="A301" s="145" t="s">
        <v>6</v>
      </c>
      <c r="B301" s="146">
        <f>B283+1</f>
        <v>12</v>
      </c>
      <c r="C301" s="147" t="s">
        <v>122</v>
      </c>
      <c r="D301" s="304" t="e">
        <f>VLOOKUP(B301,Directorio!$A$4:$V$23,3,FALSE)</f>
        <v>#N/A</v>
      </c>
      <c r="E301" s="305"/>
      <c r="F301" s="305"/>
      <c r="G301" s="305"/>
      <c r="H301" s="306"/>
      <c r="I301" s="302" t="e">
        <f>VLOOKUP(B301,Directorio!$A$4:$V$23,4,FALSE)</f>
        <v>#N/A</v>
      </c>
      <c r="J301" s="303"/>
      <c r="K301" s="303"/>
      <c r="L301" s="303"/>
      <c r="M301" s="303"/>
      <c r="N301" s="303"/>
      <c r="O301" s="303"/>
      <c r="P301" s="231"/>
      <c r="Q301" s="85"/>
      <c r="R301" s="94" t="s">
        <v>69</v>
      </c>
      <c r="S301" s="87" t="s">
        <v>70</v>
      </c>
      <c r="T301" s="87" t="s">
        <v>71</v>
      </c>
    </row>
    <row r="302" spans="1:21" ht="25.5" hidden="1">
      <c r="A302" s="97" t="s">
        <v>5</v>
      </c>
      <c r="B302" s="97" t="s">
        <v>27</v>
      </c>
      <c r="C302" s="97" t="s">
        <v>36</v>
      </c>
      <c r="D302" s="97" t="s">
        <v>28</v>
      </c>
      <c r="E302" s="98" t="s">
        <v>29</v>
      </c>
      <c r="F302" s="97" t="s">
        <v>30</v>
      </c>
      <c r="G302" s="97" t="s">
        <v>31</v>
      </c>
      <c r="H302" s="97" t="s">
        <v>32</v>
      </c>
      <c r="I302" s="97" t="s">
        <v>33</v>
      </c>
      <c r="J302" s="97" t="s">
        <v>66</v>
      </c>
      <c r="K302" s="97" t="s">
        <v>34</v>
      </c>
      <c r="L302" s="97"/>
      <c r="M302" s="97"/>
      <c r="N302" s="97"/>
      <c r="O302" s="97" t="s">
        <v>35</v>
      </c>
      <c r="P302" s="217"/>
      <c r="Q302" s="85"/>
      <c r="R302" s="94" t="e">
        <f>D315</f>
        <v>#N/A</v>
      </c>
      <c r="S302" s="87" t="e">
        <f>D316</f>
        <v>#N/A</v>
      </c>
      <c r="T302" s="87" t="e">
        <f>D317</f>
        <v>#N/A</v>
      </c>
    </row>
    <row r="303" spans="1:21" hidden="1">
      <c r="A303" s="99"/>
      <c r="B303" s="100"/>
      <c r="C303" s="101"/>
      <c r="D303" s="45"/>
      <c r="E303" s="102"/>
      <c r="F303" s="91"/>
      <c r="G303" s="103"/>
      <c r="H303" s="104"/>
      <c r="I303" s="105">
        <f>IF(E303&gt;0,VLOOKUP(YEAR(E303),SMMLV!$A$9:$B$55,2,FALSE),0)</f>
        <v>0</v>
      </c>
      <c r="J303" s="106"/>
      <c r="K303" s="105">
        <f>IF(AND(E303&gt;=$F$6,H303&gt;0),H303/I303*J303,0)</f>
        <v>0</v>
      </c>
      <c r="L303" s="105"/>
      <c r="M303" s="105"/>
      <c r="N303" s="105"/>
      <c r="O303" s="44"/>
      <c r="P303" s="225"/>
      <c r="Q303" s="85"/>
      <c r="R303" s="107" t="e">
        <f t="shared" ref="R303:R312" si="50">IF(C303=$R$302,K303,0)</f>
        <v>#N/A</v>
      </c>
      <c r="S303" s="107" t="e">
        <f t="shared" ref="S303:S312" si="51">IF(C303=$S$302,K303,0)</f>
        <v>#N/A</v>
      </c>
      <c r="T303" s="107" t="e">
        <f t="shared" ref="T303:T312" si="52">IF(C303=$T$302,K303,0)</f>
        <v>#N/A</v>
      </c>
    </row>
    <row r="304" spans="1:21" hidden="1">
      <c r="A304" s="108"/>
      <c r="B304" s="99"/>
      <c r="C304" s="101"/>
      <c r="D304" s="45"/>
      <c r="E304" s="102"/>
      <c r="F304" s="91"/>
      <c r="G304" s="103"/>
      <c r="H304" s="104"/>
      <c r="I304" s="105">
        <f>IF(E304&gt;0,VLOOKUP(YEAR(E304),SMMLV!$A$9:$B$55,2,FALSE),0)</f>
        <v>0</v>
      </c>
      <c r="J304" s="106"/>
      <c r="K304" s="105">
        <f t="shared" ref="K304:K312" si="53">IF(AND(E304&gt;=$F$6,H304&gt;0),H304/I304*J304,0)</f>
        <v>0</v>
      </c>
      <c r="L304" s="105"/>
      <c r="M304" s="105"/>
      <c r="N304" s="105"/>
      <c r="O304" s="44"/>
      <c r="P304" s="225"/>
      <c r="Q304" s="85"/>
      <c r="R304" s="107" t="e">
        <f t="shared" si="50"/>
        <v>#N/A</v>
      </c>
      <c r="S304" s="107" t="e">
        <f t="shared" si="51"/>
        <v>#N/A</v>
      </c>
      <c r="T304" s="107" t="e">
        <f t="shared" si="52"/>
        <v>#N/A</v>
      </c>
    </row>
    <row r="305" spans="1:21" hidden="1">
      <c r="A305" s="108"/>
      <c r="B305" s="99"/>
      <c r="C305" s="101"/>
      <c r="D305" s="45"/>
      <c r="E305" s="102"/>
      <c r="F305" s="91"/>
      <c r="G305" s="103"/>
      <c r="H305" s="104"/>
      <c r="I305" s="105">
        <f>IF(E305&gt;0,VLOOKUP(YEAR(E305),SMMLV!$A$9:$B$55,2,FALSE),0)</f>
        <v>0</v>
      </c>
      <c r="J305" s="106"/>
      <c r="K305" s="105">
        <f t="shared" si="53"/>
        <v>0</v>
      </c>
      <c r="L305" s="105"/>
      <c r="M305" s="105"/>
      <c r="N305" s="105"/>
      <c r="O305" s="44"/>
      <c r="P305" s="225"/>
      <c r="Q305" s="85"/>
      <c r="R305" s="107" t="e">
        <f t="shared" si="50"/>
        <v>#N/A</v>
      </c>
      <c r="S305" s="107" t="e">
        <f t="shared" si="51"/>
        <v>#N/A</v>
      </c>
      <c r="T305" s="107" t="e">
        <f t="shared" si="52"/>
        <v>#N/A</v>
      </c>
    </row>
    <row r="306" spans="1:21" hidden="1">
      <c r="A306" s="108"/>
      <c r="B306" s="99"/>
      <c r="C306" s="101"/>
      <c r="D306" s="45"/>
      <c r="E306" s="102"/>
      <c r="F306" s="91"/>
      <c r="G306" s="103"/>
      <c r="H306" s="104"/>
      <c r="I306" s="105">
        <f>IF(E306&gt;0,VLOOKUP(YEAR(E306),SMMLV!$A$9:$B$55,2,FALSE),0)</f>
        <v>0</v>
      </c>
      <c r="J306" s="106"/>
      <c r="K306" s="105">
        <f t="shared" si="53"/>
        <v>0</v>
      </c>
      <c r="L306" s="105"/>
      <c r="M306" s="105"/>
      <c r="N306" s="105"/>
      <c r="O306" s="44"/>
      <c r="P306" s="225"/>
      <c r="Q306" s="85"/>
      <c r="R306" s="107" t="e">
        <f t="shared" si="50"/>
        <v>#N/A</v>
      </c>
      <c r="S306" s="107" t="e">
        <f t="shared" si="51"/>
        <v>#N/A</v>
      </c>
      <c r="T306" s="107" t="e">
        <f t="shared" si="52"/>
        <v>#N/A</v>
      </c>
    </row>
    <row r="307" spans="1:21" hidden="1">
      <c r="A307" s="108"/>
      <c r="B307" s="99"/>
      <c r="C307" s="101"/>
      <c r="D307" s="45"/>
      <c r="E307" s="102"/>
      <c r="F307" s="91"/>
      <c r="G307" s="103"/>
      <c r="H307" s="104"/>
      <c r="I307" s="105">
        <f>IF(E307&gt;0,VLOOKUP(YEAR(E307),SMMLV!$A$9:$B$55,2,FALSE),0)</f>
        <v>0</v>
      </c>
      <c r="J307" s="106"/>
      <c r="K307" s="105">
        <f t="shared" si="53"/>
        <v>0</v>
      </c>
      <c r="L307" s="105"/>
      <c r="M307" s="105"/>
      <c r="N307" s="105"/>
      <c r="O307" s="44"/>
      <c r="P307" s="225"/>
      <c r="Q307" s="85"/>
      <c r="R307" s="107" t="e">
        <f t="shared" si="50"/>
        <v>#N/A</v>
      </c>
      <c r="S307" s="107" t="e">
        <f t="shared" si="51"/>
        <v>#N/A</v>
      </c>
      <c r="T307" s="107" t="e">
        <f t="shared" si="52"/>
        <v>#N/A</v>
      </c>
    </row>
    <row r="308" spans="1:21" hidden="1">
      <c r="A308" s="108"/>
      <c r="B308" s="99"/>
      <c r="C308" s="101"/>
      <c r="D308" s="45"/>
      <c r="E308" s="102"/>
      <c r="F308" s="91"/>
      <c r="G308" s="103"/>
      <c r="H308" s="104"/>
      <c r="I308" s="105">
        <f>IF(E308&gt;0,VLOOKUP(YEAR(E308),SMMLV!$A$9:$B$55,2,FALSE),0)</f>
        <v>0</v>
      </c>
      <c r="J308" s="106"/>
      <c r="K308" s="105">
        <f t="shared" si="53"/>
        <v>0</v>
      </c>
      <c r="L308" s="105"/>
      <c r="M308" s="105"/>
      <c r="N308" s="105"/>
      <c r="O308" s="44"/>
      <c r="P308" s="225"/>
      <c r="Q308" s="85"/>
      <c r="R308" s="107" t="e">
        <f t="shared" si="50"/>
        <v>#N/A</v>
      </c>
      <c r="S308" s="107" t="e">
        <f t="shared" si="51"/>
        <v>#N/A</v>
      </c>
      <c r="T308" s="107" t="e">
        <f t="shared" si="52"/>
        <v>#N/A</v>
      </c>
    </row>
    <row r="309" spans="1:21" hidden="1">
      <c r="A309" s="108"/>
      <c r="B309" s="99"/>
      <c r="C309" s="101"/>
      <c r="D309" s="45"/>
      <c r="E309" s="102"/>
      <c r="F309" s="91"/>
      <c r="G309" s="103"/>
      <c r="H309" s="104"/>
      <c r="I309" s="105">
        <f>IF(E309&gt;0,VLOOKUP(YEAR(E309),SMMLV!$A$9:$B$55,2,FALSE),0)</f>
        <v>0</v>
      </c>
      <c r="J309" s="106"/>
      <c r="K309" s="105">
        <f t="shared" si="53"/>
        <v>0</v>
      </c>
      <c r="L309" s="105"/>
      <c r="M309" s="105"/>
      <c r="N309" s="105"/>
      <c r="O309" s="44"/>
      <c r="P309" s="225"/>
      <c r="Q309" s="85"/>
      <c r="R309" s="107" t="e">
        <f t="shared" si="50"/>
        <v>#N/A</v>
      </c>
      <c r="S309" s="107" t="e">
        <f t="shared" si="51"/>
        <v>#N/A</v>
      </c>
      <c r="T309" s="107" t="e">
        <f t="shared" si="52"/>
        <v>#N/A</v>
      </c>
    </row>
    <row r="310" spans="1:21" hidden="1">
      <c r="A310" s="108"/>
      <c r="B310" s="99"/>
      <c r="C310" s="101"/>
      <c r="D310" s="45"/>
      <c r="E310" s="102"/>
      <c r="F310" s="91"/>
      <c r="G310" s="103"/>
      <c r="H310" s="104"/>
      <c r="I310" s="105">
        <f>IF(E310&gt;0,VLOOKUP(YEAR(E310),SMMLV!$A$9:$B$55,2,FALSE),0)</f>
        <v>0</v>
      </c>
      <c r="J310" s="106"/>
      <c r="K310" s="105">
        <f t="shared" si="53"/>
        <v>0</v>
      </c>
      <c r="L310" s="105"/>
      <c r="M310" s="105"/>
      <c r="N310" s="105"/>
      <c r="O310" s="44"/>
      <c r="P310" s="225"/>
      <c r="Q310" s="85"/>
      <c r="R310" s="107" t="e">
        <f t="shared" si="50"/>
        <v>#N/A</v>
      </c>
      <c r="S310" s="107" t="e">
        <f t="shared" si="51"/>
        <v>#N/A</v>
      </c>
      <c r="T310" s="107" t="e">
        <f t="shared" si="52"/>
        <v>#N/A</v>
      </c>
    </row>
    <row r="311" spans="1:21" hidden="1">
      <c r="A311" s="108"/>
      <c r="B311" s="99"/>
      <c r="C311" s="101"/>
      <c r="D311" s="45"/>
      <c r="E311" s="102"/>
      <c r="F311" s="91"/>
      <c r="G311" s="103"/>
      <c r="H311" s="104"/>
      <c r="I311" s="105">
        <f>IF(E311&gt;0,VLOOKUP(YEAR(E311),SMMLV!$A$9:$B$55,2,FALSE),0)</f>
        <v>0</v>
      </c>
      <c r="J311" s="106"/>
      <c r="K311" s="105">
        <f t="shared" si="53"/>
        <v>0</v>
      </c>
      <c r="L311" s="105"/>
      <c r="M311" s="105"/>
      <c r="N311" s="105"/>
      <c r="O311" s="44"/>
      <c r="P311" s="225"/>
      <c r="Q311" s="85"/>
      <c r="R311" s="107" t="e">
        <f t="shared" si="50"/>
        <v>#N/A</v>
      </c>
      <c r="S311" s="107" t="e">
        <f t="shared" si="51"/>
        <v>#N/A</v>
      </c>
      <c r="T311" s="107" t="e">
        <f t="shared" si="52"/>
        <v>#N/A</v>
      </c>
    </row>
    <row r="312" spans="1:21" hidden="1">
      <c r="A312" s="108"/>
      <c r="B312" s="99"/>
      <c r="C312" s="101"/>
      <c r="D312" s="45"/>
      <c r="E312" s="102"/>
      <c r="F312" s="91"/>
      <c r="G312" s="103"/>
      <c r="H312" s="104"/>
      <c r="I312" s="105">
        <f>IF(E312&gt;0,VLOOKUP(YEAR(E312),SMMLV!$A$9:$B$55,2,FALSE),0)</f>
        <v>0</v>
      </c>
      <c r="J312" s="106"/>
      <c r="K312" s="105">
        <f t="shared" si="53"/>
        <v>0</v>
      </c>
      <c r="L312" s="105"/>
      <c r="M312" s="105"/>
      <c r="N312" s="105"/>
      <c r="O312" s="44"/>
      <c r="P312" s="225"/>
      <c r="Q312" s="85"/>
      <c r="R312" s="107" t="e">
        <f t="shared" si="50"/>
        <v>#N/A</v>
      </c>
      <c r="S312" s="107" t="e">
        <f t="shared" si="51"/>
        <v>#N/A</v>
      </c>
      <c r="T312" s="107" t="e">
        <f t="shared" si="52"/>
        <v>#N/A</v>
      </c>
    </row>
    <row r="313" spans="1:21" hidden="1">
      <c r="A313" s="289"/>
      <c r="B313" s="289"/>
      <c r="C313" s="289"/>
      <c r="D313" s="289"/>
      <c r="E313" s="289"/>
      <c r="F313" s="289"/>
      <c r="G313" s="289"/>
      <c r="H313" s="289"/>
      <c r="I313" s="289"/>
      <c r="J313" s="96"/>
      <c r="K313" s="109">
        <f>SUM(K303:K312)</f>
        <v>0</v>
      </c>
      <c r="L313" s="109"/>
      <c r="M313" s="109"/>
      <c r="N313" s="109"/>
      <c r="O313" s="90"/>
      <c r="P313" s="217"/>
      <c r="R313" s="107" t="e">
        <f>SUM(R303:R312)</f>
        <v>#N/A</v>
      </c>
      <c r="S313" s="107" t="e">
        <f>SUM(S303:S312)</f>
        <v>#N/A</v>
      </c>
      <c r="T313" s="107" t="e">
        <f>SUM(T303:T312)</f>
        <v>#N/A</v>
      </c>
      <c r="U313" s="110" t="e">
        <f>MAX(R313:T313)</f>
        <v>#N/A</v>
      </c>
    </row>
    <row r="314" spans="1:21" hidden="1">
      <c r="H314" s="89"/>
      <c r="I314" s="89"/>
      <c r="J314" s="89"/>
      <c r="K314" s="111" t="str">
        <f>IF(AND(K313&gt;=$G$6,G318&gt;0),"CUMPLE", "NO CUMPLE ")</f>
        <v xml:space="preserve">NO CUMPLE </v>
      </c>
      <c r="L314" s="202"/>
      <c r="M314" s="202"/>
      <c r="N314" s="202"/>
      <c r="R314" s="94"/>
    </row>
    <row r="315" spans="1:21" hidden="1">
      <c r="D315" s="112" t="e">
        <f>VLOOKUP(B301,Directorio!$A$4:$V$23,14,FALSE)</f>
        <v>#N/A</v>
      </c>
      <c r="E315" s="113" t="e">
        <f>VLOOKUP(B301,Directorio!$A$4:$V$23,15,FALSE)</f>
        <v>#N/A</v>
      </c>
      <c r="F315" s="114" t="e">
        <f>R313</f>
        <v>#N/A</v>
      </c>
      <c r="G315" s="138" t="e">
        <f>IF(F315&gt;0,IF(F315=K313,IF(E315&gt;0.6,"Vo.Bo.","No Vo.Bo."),IF(F315=U313,IF(E315&gt;0.5,"Vo.Bo.","No Vo.Bo."),"")),"")</f>
        <v>#N/A</v>
      </c>
      <c r="R315" s="94"/>
    </row>
    <row r="316" spans="1:21" hidden="1">
      <c r="D316" s="112" t="e">
        <f>VLOOKUP(B301,Directorio!$A$4:$V$23,17,FALSE)</f>
        <v>#N/A</v>
      </c>
      <c r="E316" s="113" t="e">
        <f>VLOOKUP(B301,Directorio!$A$4:$V$23,18,FALSE)</f>
        <v>#N/A</v>
      </c>
      <c r="F316" s="114" t="e">
        <f>S313</f>
        <v>#N/A</v>
      </c>
      <c r="G316" s="138" t="e">
        <f>IF(F316&gt;0,IF(F316=K313,IF(E316&gt;=0.6,"Vo.Bo.","No Vo.Bo."),IF(F316=U313,IF(E316&gt;0.5,"Vo.Bo.","No Vo.Bo."),"")),"")</f>
        <v>#N/A</v>
      </c>
      <c r="R316" s="94"/>
    </row>
    <row r="317" spans="1:21" hidden="1">
      <c r="D317" s="112" t="e">
        <f>VLOOKUP(B301,Directorio!$A$4:$V$23,20,FALSE)</f>
        <v>#N/A</v>
      </c>
      <c r="E317" s="113" t="e">
        <f>VLOOKUP(B301,Directorio!$A$4:$V$23,21,FALSE)</f>
        <v>#N/A</v>
      </c>
      <c r="F317" s="114" t="e">
        <f>T313</f>
        <v>#N/A</v>
      </c>
      <c r="G317" s="138" t="e">
        <f>IF(F317&gt;0,IF(F317=K315,IF(E317&gt;=0.6,"Vo.Bo.","No Vo.Bo."),IF(F317=U313,IF(E317&gt;0.5,"Vo.Bo.","No Vo.Bo."),"")),"")</f>
        <v>#N/A</v>
      </c>
      <c r="R317" s="94"/>
    </row>
    <row r="318" spans="1:21" hidden="1">
      <c r="C318" s="115"/>
      <c r="G318" s="116">
        <f>COUNTIF(G315:G317,"Vo.Bo.")</f>
        <v>0</v>
      </c>
      <c r="R318" s="94"/>
    </row>
    <row r="319" spans="1:21" ht="22.5" hidden="1" customHeight="1">
      <c r="A319" s="145" t="s">
        <v>6</v>
      </c>
      <c r="B319" s="146">
        <f>B301+1</f>
        <v>13</v>
      </c>
      <c r="C319" s="147" t="s">
        <v>122</v>
      </c>
      <c r="D319" s="304" t="e">
        <f>VLOOKUP(B319,Directorio!$A$4:$V$23,3,FALSE)</f>
        <v>#N/A</v>
      </c>
      <c r="E319" s="305"/>
      <c r="F319" s="305"/>
      <c r="G319" s="305"/>
      <c r="H319" s="306"/>
      <c r="I319" s="302" t="e">
        <f>VLOOKUP(B319,Directorio!$A$4:$V$23,4,FALSE)</f>
        <v>#N/A</v>
      </c>
      <c r="J319" s="303"/>
      <c r="K319" s="303"/>
      <c r="L319" s="303"/>
      <c r="M319" s="303"/>
      <c r="N319" s="303"/>
      <c r="O319" s="303"/>
      <c r="P319" s="231"/>
      <c r="Q319" s="85"/>
      <c r="R319" s="94" t="s">
        <v>69</v>
      </c>
      <c r="S319" s="87" t="s">
        <v>70</v>
      </c>
      <c r="T319" s="87" t="s">
        <v>71</v>
      </c>
    </row>
    <row r="320" spans="1:21" ht="52.5" hidden="1" customHeight="1">
      <c r="A320" s="97" t="s">
        <v>5</v>
      </c>
      <c r="B320" s="97" t="s">
        <v>27</v>
      </c>
      <c r="C320" s="97" t="s">
        <v>36</v>
      </c>
      <c r="D320" s="97" t="s">
        <v>28</v>
      </c>
      <c r="E320" s="98" t="s">
        <v>29</v>
      </c>
      <c r="F320" s="97" t="s">
        <v>30</v>
      </c>
      <c r="G320" s="97" t="s">
        <v>31</v>
      </c>
      <c r="H320" s="97" t="s">
        <v>32</v>
      </c>
      <c r="I320" s="97" t="s">
        <v>33</v>
      </c>
      <c r="J320" s="97" t="s">
        <v>66</v>
      </c>
      <c r="K320" s="97" t="s">
        <v>34</v>
      </c>
      <c r="L320" s="97"/>
      <c r="M320" s="97"/>
      <c r="N320" s="97"/>
      <c r="O320" s="97" t="s">
        <v>35</v>
      </c>
      <c r="P320" s="217"/>
      <c r="Q320" s="85"/>
      <c r="R320" s="94" t="e">
        <f>D333</f>
        <v>#N/A</v>
      </c>
      <c r="S320" s="87" t="e">
        <f>D334</f>
        <v>#N/A</v>
      </c>
      <c r="T320" s="87" t="e">
        <f>D335</f>
        <v>#N/A</v>
      </c>
    </row>
    <row r="321" spans="1:21" hidden="1">
      <c r="A321" s="99"/>
      <c r="B321" s="100"/>
      <c r="C321" s="101"/>
      <c r="D321" s="45"/>
      <c r="E321" s="102"/>
      <c r="F321" s="91"/>
      <c r="G321" s="103"/>
      <c r="H321" s="104"/>
      <c r="I321" s="105">
        <f>IF(E321&gt;0,VLOOKUP(YEAR(E321),SMMLV!$A$9:$B$55,2,FALSE),0)</f>
        <v>0</v>
      </c>
      <c r="J321" s="106"/>
      <c r="K321" s="105">
        <f>IF(AND(E321&gt;=$F$6,H321&gt;0),H321/I321*J321,0)</f>
        <v>0</v>
      </c>
      <c r="L321" s="105"/>
      <c r="M321" s="105"/>
      <c r="N321" s="105"/>
      <c r="O321" s="44"/>
      <c r="P321" s="225"/>
      <c r="Q321" s="85"/>
      <c r="R321" s="107" t="e">
        <f t="shared" ref="R321:R330" si="54">IF(C321=$R$320,K321,0)</f>
        <v>#N/A</v>
      </c>
      <c r="S321" s="107" t="e">
        <f t="shared" ref="S321:S330" si="55">IF(D321=$R$320,O321,0)</f>
        <v>#N/A</v>
      </c>
      <c r="T321" s="107" t="e">
        <f t="shared" ref="T321:T330" si="56">IF(E321=$R$320,Q321,0)</f>
        <v>#N/A</v>
      </c>
    </row>
    <row r="322" spans="1:21" hidden="1">
      <c r="A322" s="108"/>
      <c r="B322" s="99"/>
      <c r="C322" s="101"/>
      <c r="D322" s="45"/>
      <c r="E322" s="102"/>
      <c r="F322" s="91"/>
      <c r="G322" s="103"/>
      <c r="H322" s="104"/>
      <c r="I322" s="105">
        <f>IF(E322&gt;0,VLOOKUP(YEAR(E322),SMMLV!$A$9:$B$55,2,FALSE),0)</f>
        <v>0</v>
      </c>
      <c r="J322" s="106"/>
      <c r="K322" s="105">
        <f t="shared" ref="K322:K330" si="57">IF(AND(E322&gt;=$F$6,H322&gt;0),H322/I322*J322,0)</f>
        <v>0</v>
      </c>
      <c r="L322" s="105"/>
      <c r="M322" s="105"/>
      <c r="N322" s="105"/>
      <c r="O322" s="44"/>
      <c r="P322" s="225"/>
      <c r="Q322" s="85"/>
      <c r="R322" s="107" t="e">
        <f t="shared" si="54"/>
        <v>#N/A</v>
      </c>
      <c r="S322" s="107" t="e">
        <f t="shared" si="55"/>
        <v>#N/A</v>
      </c>
      <c r="T322" s="107" t="e">
        <f t="shared" si="56"/>
        <v>#N/A</v>
      </c>
    </row>
    <row r="323" spans="1:21" hidden="1">
      <c r="A323" s="108"/>
      <c r="B323" s="99"/>
      <c r="C323" s="101"/>
      <c r="D323" s="45"/>
      <c r="E323" s="102"/>
      <c r="F323" s="91"/>
      <c r="G323" s="103"/>
      <c r="H323" s="104"/>
      <c r="I323" s="105">
        <f>IF(E323&gt;0,VLOOKUP(YEAR(E323),SMMLV!$A$9:$B$55,2,FALSE),0)</f>
        <v>0</v>
      </c>
      <c r="J323" s="106"/>
      <c r="K323" s="105">
        <f t="shared" si="57"/>
        <v>0</v>
      </c>
      <c r="L323" s="105"/>
      <c r="M323" s="105"/>
      <c r="N323" s="105"/>
      <c r="O323" s="44"/>
      <c r="P323" s="225"/>
      <c r="Q323" s="85"/>
      <c r="R323" s="107" t="e">
        <f t="shared" si="54"/>
        <v>#N/A</v>
      </c>
      <c r="S323" s="107" t="e">
        <f t="shared" si="55"/>
        <v>#N/A</v>
      </c>
      <c r="T323" s="107" t="e">
        <f t="shared" si="56"/>
        <v>#N/A</v>
      </c>
    </row>
    <row r="324" spans="1:21" hidden="1">
      <c r="A324" s="108"/>
      <c r="B324" s="99"/>
      <c r="C324" s="101"/>
      <c r="D324" s="45"/>
      <c r="E324" s="102"/>
      <c r="F324" s="91"/>
      <c r="G324" s="103"/>
      <c r="H324" s="104"/>
      <c r="I324" s="105">
        <f>IF(E324&gt;0,VLOOKUP(YEAR(E324),SMMLV!$A$9:$B$55,2,FALSE),0)</f>
        <v>0</v>
      </c>
      <c r="J324" s="106"/>
      <c r="K324" s="105">
        <f t="shared" si="57"/>
        <v>0</v>
      </c>
      <c r="L324" s="105"/>
      <c r="M324" s="105"/>
      <c r="N324" s="105"/>
      <c r="O324" s="44"/>
      <c r="P324" s="225"/>
      <c r="Q324" s="85"/>
      <c r="R324" s="107" t="e">
        <f t="shared" si="54"/>
        <v>#N/A</v>
      </c>
      <c r="S324" s="107" t="e">
        <f t="shared" si="55"/>
        <v>#N/A</v>
      </c>
      <c r="T324" s="107" t="e">
        <f t="shared" si="56"/>
        <v>#N/A</v>
      </c>
    </row>
    <row r="325" spans="1:21" hidden="1">
      <c r="A325" s="108"/>
      <c r="B325" s="99"/>
      <c r="C325" s="101"/>
      <c r="D325" s="45"/>
      <c r="E325" s="102"/>
      <c r="F325" s="91"/>
      <c r="G325" s="103"/>
      <c r="H325" s="104"/>
      <c r="I325" s="105">
        <f>IF(E325&gt;0,VLOOKUP(YEAR(E325),SMMLV!$A$9:$B$55,2,FALSE),0)</f>
        <v>0</v>
      </c>
      <c r="J325" s="106"/>
      <c r="K325" s="105">
        <f t="shared" si="57"/>
        <v>0</v>
      </c>
      <c r="L325" s="105"/>
      <c r="M325" s="105"/>
      <c r="N325" s="105"/>
      <c r="O325" s="44"/>
      <c r="P325" s="225"/>
      <c r="Q325" s="85"/>
      <c r="R325" s="107" t="e">
        <f t="shared" si="54"/>
        <v>#N/A</v>
      </c>
      <c r="S325" s="107" t="e">
        <f t="shared" si="55"/>
        <v>#N/A</v>
      </c>
      <c r="T325" s="107" t="e">
        <f t="shared" si="56"/>
        <v>#N/A</v>
      </c>
    </row>
    <row r="326" spans="1:21" hidden="1">
      <c r="A326" s="108"/>
      <c r="B326" s="99"/>
      <c r="C326" s="101"/>
      <c r="D326" s="45"/>
      <c r="E326" s="102"/>
      <c r="F326" s="91"/>
      <c r="G326" s="103"/>
      <c r="H326" s="104"/>
      <c r="I326" s="105">
        <f>IF(E326&gt;0,VLOOKUP(YEAR(E326),SMMLV!$A$9:$B$55,2,FALSE),0)</f>
        <v>0</v>
      </c>
      <c r="J326" s="106"/>
      <c r="K326" s="105">
        <f t="shared" si="57"/>
        <v>0</v>
      </c>
      <c r="L326" s="105"/>
      <c r="M326" s="105"/>
      <c r="N326" s="105"/>
      <c r="O326" s="44"/>
      <c r="P326" s="225"/>
      <c r="Q326" s="85"/>
      <c r="R326" s="107" t="e">
        <f t="shared" si="54"/>
        <v>#N/A</v>
      </c>
      <c r="S326" s="107" t="e">
        <f t="shared" si="55"/>
        <v>#N/A</v>
      </c>
      <c r="T326" s="107" t="e">
        <f t="shared" si="56"/>
        <v>#N/A</v>
      </c>
    </row>
    <row r="327" spans="1:21" hidden="1">
      <c r="A327" s="108"/>
      <c r="B327" s="99"/>
      <c r="C327" s="101"/>
      <c r="D327" s="45"/>
      <c r="E327" s="102"/>
      <c r="F327" s="91"/>
      <c r="G327" s="103"/>
      <c r="H327" s="104"/>
      <c r="I327" s="105">
        <f>IF(E327&gt;0,VLOOKUP(YEAR(E327),SMMLV!$A$9:$B$55,2,FALSE),0)</f>
        <v>0</v>
      </c>
      <c r="J327" s="106"/>
      <c r="K327" s="105">
        <f t="shared" si="57"/>
        <v>0</v>
      </c>
      <c r="L327" s="105"/>
      <c r="M327" s="105"/>
      <c r="N327" s="105"/>
      <c r="O327" s="44"/>
      <c r="P327" s="225"/>
      <c r="Q327" s="85"/>
      <c r="R327" s="107" t="e">
        <f t="shared" si="54"/>
        <v>#N/A</v>
      </c>
      <c r="S327" s="107" t="e">
        <f t="shared" si="55"/>
        <v>#N/A</v>
      </c>
      <c r="T327" s="107" t="e">
        <f t="shared" si="56"/>
        <v>#N/A</v>
      </c>
    </row>
    <row r="328" spans="1:21" hidden="1">
      <c r="A328" s="108"/>
      <c r="B328" s="99"/>
      <c r="C328" s="101"/>
      <c r="D328" s="45"/>
      <c r="E328" s="102"/>
      <c r="F328" s="91"/>
      <c r="G328" s="103"/>
      <c r="H328" s="104"/>
      <c r="I328" s="105">
        <f>IF(E328&gt;0,VLOOKUP(YEAR(E328),SMMLV!$A$9:$B$55,2,FALSE),0)</f>
        <v>0</v>
      </c>
      <c r="J328" s="106"/>
      <c r="K328" s="105">
        <f t="shared" si="57"/>
        <v>0</v>
      </c>
      <c r="L328" s="105"/>
      <c r="M328" s="105"/>
      <c r="N328" s="105"/>
      <c r="O328" s="44"/>
      <c r="P328" s="225"/>
      <c r="Q328" s="85"/>
      <c r="R328" s="107" t="e">
        <f t="shared" si="54"/>
        <v>#N/A</v>
      </c>
      <c r="S328" s="107" t="e">
        <f t="shared" si="55"/>
        <v>#N/A</v>
      </c>
      <c r="T328" s="107" t="e">
        <f t="shared" si="56"/>
        <v>#N/A</v>
      </c>
    </row>
    <row r="329" spans="1:21" hidden="1">
      <c r="A329" s="108"/>
      <c r="B329" s="99"/>
      <c r="C329" s="101"/>
      <c r="D329" s="45"/>
      <c r="E329" s="102"/>
      <c r="F329" s="91"/>
      <c r="G329" s="103"/>
      <c r="H329" s="104"/>
      <c r="I329" s="105">
        <f>IF(E329&gt;0,VLOOKUP(YEAR(E329),SMMLV!$A$9:$B$55,2,FALSE),0)</f>
        <v>0</v>
      </c>
      <c r="J329" s="106"/>
      <c r="K329" s="105">
        <f t="shared" si="57"/>
        <v>0</v>
      </c>
      <c r="L329" s="105"/>
      <c r="M329" s="105"/>
      <c r="N329" s="105"/>
      <c r="O329" s="44"/>
      <c r="P329" s="225"/>
      <c r="Q329" s="85"/>
      <c r="R329" s="107" t="e">
        <f t="shared" si="54"/>
        <v>#N/A</v>
      </c>
      <c r="S329" s="107" t="e">
        <f t="shared" si="55"/>
        <v>#N/A</v>
      </c>
      <c r="T329" s="107" t="e">
        <f t="shared" si="56"/>
        <v>#N/A</v>
      </c>
    </row>
    <row r="330" spans="1:21" hidden="1">
      <c r="A330" s="108"/>
      <c r="B330" s="99"/>
      <c r="C330" s="101"/>
      <c r="D330" s="45"/>
      <c r="E330" s="102"/>
      <c r="F330" s="91"/>
      <c r="G330" s="103"/>
      <c r="H330" s="104"/>
      <c r="I330" s="105">
        <f>IF(E330&gt;0,VLOOKUP(YEAR(E330),SMMLV!$A$9:$B$55,2,FALSE),0)</f>
        <v>0</v>
      </c>
      <c r="J330" s="106"/>
      <c r="K330" s="105">
        <f t="shared" si="57"/>
        <v>0</v>
      </c>
      <c r="L330" s="105"/>
      <c r="M330" s="105"/>
      <c r="N330" s="105"/>
      <c r="O330" s="44"/>
      <c r="P330" s="225"/>
      <c r="Q330" s="85"/>
      <c r="R330" s="107" t="e">
        <f t="shared" si="54"/>
        <v>#N/A</v>
      </c>
      <c r="S330" s="107" t="e">
        <f t="shared" si="55"/>
        <v>#N/A</v>
      </c>
      <c r="T330" s="107" t="e">
        <f t="shared" si="56"/>
        <v>#N/A</v>
      </c>
    </row>
    <row r="331" spans="1:21" hidden="1">
      <c r="A331" s="289"/>
      <c r="B331" s="289"/>
      <c r="C331" s="289"/>
      <c r="D331" s="289"/>
      <c r="E331" s="289"/>
      <c r="F331" s="289"/>
      <c r="G331" s="289"/>
      <c r="H331" s="289"/>
      <c r="I331" s="289"/>
      <c r="J331" s="96"/>
      <c r="K331" s="109">
        <f>SUM(K321:K330)</f>
        <v>0</v>
      </c>
      <c r="L331" s="109"/>
      <c r="M331" s="109"/>
      <c r="N331" s="109"/>
      <c r="O331" s="90"/>
      <c r="P331" s="217"/>
      <c r="R331" s="107" t="e">
        <f>SUM(R321:R330)</f>
        <v>#N/A</v>
      </c>
      <c r="S331" s="107" t="e">
        <f>SUM(S321:S330)</f>
        <v>#N/A</v>
      </c>
      <c r="T331" s="107" t="e">
        <f>SUM(T321:T330)</f>
        <v>#N/A</v>
      </c>
      <c r="U331" s="110" t="e">
        <f>MAX(R331:T331)</f>
        <v>#N/A</v>
      </c>
    </row>
    <row r="332" spans="1:21" hidden="1">
      <c r="H332" s="89"/>
      <c r="I332" s="89"/>
      <c r="J332" s="89"/>
      <c r="K332" s="111" t="str">
        <f>IF(AND(K331&gt;=$G$6,G336&gt;0),"CUMPLE", "NO CUMPLE ")</f>
        <v xml:space="preserve">NO CUMPLE </v>
      </c>
      <c r="L332" s="202"/>
      <c r="M332" s="202"/>
      <c r="N332" s="202"/>
      <c r="R332" s="94"/>
    </row>
    <row r="333" spans="1:21" hidden="1">
      <c r="D333" s="112" t="e">
        <f>VLOOKUP(B319,Directorio!$A$4:$V$23,14,FALSE)</f>
        <v>#N/A</v>
      </c>
      <c r="E333" s="113" t="e">
        <f>VLOOKUP(B319,Directorio!$A$4:$V$23,15,FALSE)</f>
        <v>#N/A</v>
      </c>
      <c r="F333" s="114" t="e">
        <f>R331</f>
        <v>#N/A</v>
      </c>
      <c r="G333" s="138" t="e">
        <f>IF(F333&gt;0,IF(F333=$K$331,IF(E333&gt;=0.6,"Vo.Bo.","No Vo.Bo."),IF(F333=U331,IF(E333&gt;0.5,"Vo.Bo.","No Vo.Bo."),"")),"")</f>
        <v>#N/A</v>
      </c>
      <c r="R333" s="94"/>
    </row>
    <row r="334" spans="1:21" hidden="1">
      <c r="D334" s="112" t="e">
        <f>VLOOKUP(B319,Directorio!$A$4:$V$23,17,FALSE)</f>
        <v>#N/A</v>
      </c>
      <c r="E334" s="113" t="e">
        <f>VLOOKUP(B319,Directorio!$A$4:$V$23,18,FALSE)</f>
        <v>#N/A</v>
      </c>
      <c r="F334" s="114" t="e">
        <f>S331</f>
        <v>#N/A</v>
      </c>
      <c r="G334" s="138" t="e">
        <f>IF(F334&gt;0,IF(F334=$K$331,IF(E334&gt;=0.6,"Vo.Bo.","No Vo.Bo."),IF(F334=U331,IF(E334&gt;0.5,"Vo.Bo.","No Vo.Bo."),"")),"")</f>
        <v>#N/A</v>
      </c>
      <c r="R334" s="94"/>
    </row>
    <row r="335" spans="1:21" hidden="1">
      <c r="D335" s="112" t="e">
        <f>VLOOKUP(B319,Directorio!$A$4:$V$23,20,FALSE)</f>
        <v>#N/A</v>
      </c>
      <c r="E335" s="113" t="e">
        <f>VLOOKUP(B319,Directorio!$A$4:$V$23,21,FALSE)</f>
        <v>#N/A</v>
      </c>
      <c r="F335" s="114" t="e">
        <f>T331</f>
        <v>#N/A</v>
      </c>
      <c r="G335" s="138" t="e">
        <f>IF(F335&gt;0,IF(F335=$K$331,IF(E335&gt;=0.6,"Vo.Bo.","No Vo.Bo."),IF(F335=U331,IF(E335&gt;0.5,"Vo.Bo.","No Vo.Bo."),"")),"")</f>
        <v>#N/A</v>
      </c>
      <c r="R335" s="94"/>
    </row>
    <row r="336" spans="1:21" hidden="1">
      <c r="C336" s="115"/>
      <c r="G336" s="116">
        <f>COUNTIF(G333:G335,"Vo.Bo.")</f>
        <v>0</v>
      </c>
      <c r="R336" s="94"/>
    </row>
    <row r="337" spans="1:21" ht="22.5" hidden="1" customHeight="1">
      <c r="A337" s="145" t="s">
        <v>6</v>
      </c>
      <c r="B337" s="146">
        <f>B319+1</f>
        <v>14</v>
      </c>
      <c r="C337" s="147" t="s">
        <v>122</v>
      </c>
      <c r="D337" s="304" t="e">
        <f>VLOOKUP(B337,Directorio!$A$4:$V$23,3,FALSE)</f>
        <v>#N/A</v>
      </c>
      <c r="E337" s="305"/>
      <c r="F337" s="305"/>
      <c r="G337" s="305"/>
      <c r="H337" s="306"/>
      <c r="I337" s="302" t="e">
        <f>VLOOKUP(B337,Directorio!$A$4:$V$23,4,FALSE)</f>
        <v>#N/A</v>
      </c>
      <c r="J337" s="303"/>
      <c r="K337" s="303"/>
      <c r="L337" s="303"/>
      <c r="M337" s="303"/>
      <c r="N337" s="303"/>
      <c r="O337" s="303"/>
      <c r="P337" s="231"/>
      <c r="Q337" s="85"/>
      <c r="R337" s="94" t="s">
        <v>69</v>
      </c>
      <c r="S337" s="87" t="s">
        <v>70</v>
      </c>
      <c r="T337" s="87" t="s">
        <v>71</v>
      </c>
    </row>
    <row r="338" spans="1:21" ht="40.5" hidden="1" customHeight="1">
      <c r="A338" s="97" t="s">
        <v>5</v>
      </c>
      <c r="B338" s="97" t="s">
        <v>27</v>
      </c>
      <c r="C338" s="97" t="s">
        <v>36</v>
      </c>
      <c r="D338" s="97" t="s">
        <v>28</v>
      </c>
      <c r="E338" s="98" t="s">
        <v>29</v>
      </c>
      <c r="F338" s="97" t="s">
        <v>30</v>
      </c>
      <c r="G338" s="97" t="s">
        <v>31</v>
      </c>
      <c r="H338" s="97" t="s">
        <v>32</v>
      </c>
      <c r="I338" s="97" t="s">
        <v>33</v>
      </c>
      <c r="J338" s="97" t="s">
        <v>66</v>
      </c>
      <c r="K338" s="97" t="s">
        <v>34</v>
      </c>
      <c r="L338" s="97"/>
      <c r="M338" s="97"/>
      <c r="N338" s="97"/>
      <c r="O338" s="97" t="s">
        <v>35</v>
      </c>
      <c r="P338" s="217"/>
      <c r="Q338" s="85"/>
      <c r="R338" s="94" t="e">
        <f>D351</f>
        <v>#N/A</v>
      </c>
      <c r="S338" s="87" t="e">
        <f>D352</f>
        <v>#N/A</v>
      </c>
      <c r="T338" s="87" t="e">
        <f>D353</f>
        <v>#N/A</v>
      </c>
    </row>
    <row r="339" spans="1:21" hidden="1">
      <c r="A339" s="99"/>
      <c r="B339" s="100"/>
      <c r="C339" s="101"/>
      <c r="D339" s="45"/>
      <c r="E339" s="102"/>
      <c r="F339" s="91"/>
      <c r="G339" s="103"/>
      <c r="H339" s="104"/>
      <c r="I339" s="105">
        <f>IF(E339&gt;0,VLOOKUP(YEAR(E339),SMMLV!$A$9:$B$55,2,FALSE),0)</f>
        <v>0</v>
      </c>
      <c r="J339" s="106"/>
      <c r="K339" s="105">
        <f>IF(AND(E339&gt;=$F$6,H339&gt;0),H339/I339*J339,0)</f>
        <v>0</v>
      </c>
      <c r="L339" s="105"/>
      <c r="M339" s="105"/>
      <c r="N339" s="105"/>
      <c r="O339" s="44"/>
      <c r="P339" s="225"/>
      <c r="Q339" s="85"/>
      <c r="R339" s="107" t="e">
        <f>IF(C339=$R$338,K339,0)</f>
        <v>#N/A</v>
      </c>
      <c r="S339" s="107" t="e">
        <f>IF(C339=$S$338,K339,0)</f>
        <v>#N/A</v>
      </c>
      <c r="T339" s="107" t="e">
        <f>IF(C339=$T$338,K339,0)</f>
        <v>#N/A</v>
      </c>
    </row>
    <row r="340" spans="1:21" hidden="1">
      <c r="A340" s="108"/>
      <c r="B340" s="99"/>
      <c r="C340" s="101"/>
      <c r="D340" s="45"/>
      <c r="E340" s="102"/>
      <c r="F340" s="91"/>
      <c r="G340" s="103"/>
      <c r="H340" s="104"/>
      <c r="I340" s="105">
        <f>IF(E340&gt;0,VLOOKUP(YEAR(E340),SMMLV!$A$9:$B$55,2,FALSE),0)</f>
        <v>0</v>
      </c>
      <c r="J340" s="106"/>
      <c r="K340" s="105">
        <f t="shared" ref="K340:K348" si="58">IF(AND(E340&gt;=$F$6,H340&gt;0),H340/I340*J340,0)</f>
        <v>0</v>
      </c>
      <c r="L340" s="105"/>
      <c r="M340" s="105"/>
      <c r="N340" s="105"/>
      <c r="O340" s="44"/>
      <c r="P340" s="225"/>
      <c r="Q340" s="85"/>
      <c r="R340" s="107" t="e">
        <f t="shared" ref="R340:R348" si="59">IF(C340=$R$338,K340,0)</f>
        <v>#N/A</v>
      </c>
      <c r="S340" s="107" t="e">
        <f t="shared" ref="S340:S348" si="60">IF(C340=$S$338,K340,0)</f>
        <v>#N/A</v>
      </c>
      <c r="T340" s="107" t="e">
        <f t="shared" ref="T340:T348" si="61">IF(C340=$T$338,K340,0)</f>
        <v>#N/A</v>
      </c>
    </row>
    <row r="341" spans="1:21" hidden="1">
      <c r="A341" s="108"/>
      <c r="B341" s="99"/>
      <c r="C341" s="101"/>
      <c r="D341" s="45"/>
      <c r="E341" s="102"/>
      <c r="F341" s="91"/>
      <c r="G341" s="103"/>
      <c r="H341" s="104"/>
      <c r="I341" s="105">
        <f>IF(E341&gt;0,VLOOKUP(YEAR(E341),SMMLV!$A$9:$B$55,2,FALSE),0)</f>
        <v>0</v>
      </c>
      <c r="J341" s="106"/>
      <c r="K341" s="105">
        <f t="shared" si="58"/>
        <v>0</v>
      </c>
      <c r="L341" s="105"/>
      <c r="M341" s="105"/>
      <c r="N341" s="105"/>
      <c r="O341" s="44"/>
      <c r="P341" s="225"/>
      <c r="Q341" s="85"/>
      <c r="R341" s="107" t="e">
        <f t="shared" si="59"/>
        <v>#N/A</v>
      </c>
      <c r="S341" s="107" t="e">
        <f t="shared" si="60"/>
        <v>#N/A</v>
      </c>
      <c r="T341" s="107" t="e">
        <f t="shared" si="61"/>
        <v>#N/A</v>
      </c>
    </row>
    <row r="342" spans="1:21" hidden="1">
      <c r="A342" s="108"/>
      <c r="B342" s="99"/>
      <c r="C342" s="101"/>
      <c r="D342" s="45"/>
      <c r="E342" s="102"/>
      <c r="F342" s="91"/>
      <c r="G342" s="103"/>
      <c r="H342" s="104"/>
      <c r="I342" s="105">
        <f>IF(E342&gt;0,VLOOKUP(YEAR(E342),SMMLV!$A$9:$B$55,2,FALSE),0)</f>
        <v>0</v>
      </c>
      <c r="J342" s="106"/>
      <c r="K342" s="105">
        <f t="shared" si="58"/>
        <v>0</v>
      </c>
      <c r="L342" s="105"/>
      <c r="M342" s="105"/>
      <c r="N342" s="105"/>
      <c r="O342" s="44"/>
      <c r="P342" s="225"/>
      <c r="Q342" s="85"/>
      <c r="R342" s="107" t="e">
        <f t="shared" si="59"/>
        <v>#N/A</v>
      </c>
      <c r="S342" s="107" t="e">
        <f t="shared" si="60"/>
        <v>#N/A</v>
      </c>
      <c r="T342" s="107" t="e">
        <f t="shared" si="61"/>
        <v>#N/A</v>
      </c>
    </row>
    <row r="343" spans="1:21" hidden="1">
      <c r="A343" s="108"/>
      <c r="B343" s="99"/>
      <c r="C343" s="101"/>
      <c r="D343" s="45"/>
      <c r="E343" s="102"/>
      <c r="F343" s="91"/>
      <c r="G343" s="103"/>
      <c r="H343" s="104"/>
      <c r="I343" s="105">
        <f>IF(E343&gt;0,VLOOKUP(YEAR(E343),SMMLV!$A$9:$B$55,2,FALSE),0)</f>
        <v>0</v>
      </c>
      <c r="J343" s="106"/>
      <c r="K343" s="105">
        <f t="shared" si="58"/>
        <v>0</v>
      </c>
      <c r="L343" s="105"/>
      <c r="M343" s="105"/>
      <c r="N343" s="105"/>
      <c r="O343" s="44"/>
      <c r="P343" s="225"/>
      <c r="Q343" s="85"/>
      <c r="R343" s="107" t="e">
        <f t="shared" si="59"/>
        <v>#N/A</v>
      </c>
      <c r="S343" s="107" t="e">
        <f t="shared" si="60"/>
        <v>#N/A</v>
      </c>
      <c r="T343" s="107" t="e">
        <f t="shared" si="61"/>
        <v>#N/A</v>
      </c>
    </row>
    <row r="344" spans="1:21" hidden="1">
      <c r="A344" s="108"/>
      <c r="B344" s="99"/>
      <c r="C344" s="101"/>
      <c r="D344" s="45"/>
      <c r="E344" s="102"/>
      <c r="F344" s="91"/>
      <c r="G344" s="103"/>
      <c r="H344" s="104"/>
      <c r="I344" s="105">
        <f>IF(E344&gt;0,VLOOKUP(YEAR(E344),SMMLV!$A$9:$B$55,2,FALSE),0)</f>
        <v>0</v>
      </c>
      <c r="J344" s="106"/>
      <c r="K344" s="105">
        <f t="shared" si="58"/>
        <v>0</v>
      </c>
      <c r="L344" s="105"/>
      <c r="M344" s="105"/>
      <c r="N344" s="105"/>
      <c r="O344" s="44"/>
      <c r="P344" s="225"/>
      <c r="Q344" s="85"/>
      <c r="R344" s="107" t="e">
        <f t="shared" si="59"/>
        <v>#N/A</v>
      </c>
      <c r="S344" s="107" t="e">
        <f t="shared" si="60"/>
        <v>#N/A</v>
      </c>
      <c r="T344" s="107" t="e">
        <f t="shared" si="61"/>
        <v>#N/A</v>
      </c>
    </row>
    <row r="345" spans="1:21" hidden="1">
      <c r="A345" s="108"/>
      <c r="B345" s="99"/>
      <c r="C345" s="101"/>
      <c r="D345" s="45"/>
      <c r="E345" s="102"/>
      <c r="F345" s="91"/>
      <c r="G345" s="103"/>
      <c r="H345" s="104"/>
      <c r="I345" s="105">
        <f>IF(E345&gt;0,VLOOKUP(YEAR(E345),SMMLV!$A$9:$B$55,2,FALSE),0)</f>
        <v>0</v>
      </c>
      <c r="J345" s="106"/>
      <c r="K345" s="105">
        <f t="shared" si="58"/>
        <v>0</v>
      </c>
      <c r="L345" s="105"/>
      <c r="M345" s="105"/>
      <c r="N345" s="105"/>
      <c r="O345" s="44"/>
      <c r="P345" s="225"/>
      <c r="Q345" s="85"/>
      <c r="R345" s="107" t="e">
        <f t="shared" si="59"/>
        <v>#N/A</v>
      </c>
      <c r="S345" s="107" t="e">
        <f t="shared" si="60"/>
        <v>#N/A</v>
      </c>
      <c r="T345" s="107" t="e">
        <f t="shared" si="61"/>
        <v>#N/A</v>
      </c>
    </row>
    <row r="346" spans="1:21" hidden="1">
      <c r="A346" s="108"/>
      <c r="B346" s="99"/>
      <c r="C346" s="101"/>
      <c r="D346" s="45"/>
      <c r="E346" s="102"/>
      <c r="F346" s="91"/>
      <c r="G346" s="103"/>
      <c r="H346" s="104"/>
      <c r="I346" s="105">
        <f>IF(E346&gt;0,VLOOKUP(YEAR(E346),SMMLV!$A$9:$B$55,2,FALSE),0)</f>
        <v>0</v>
      </c>
      <c r="J346" s="106"/>
      <c r="K346" s="105">
        <f t="shared" si="58"/>
        <v>0</v>
      </c>
      <c r="L346" s="105"/>
      <c r="M346" s="105"/>
      <c r="N346" s="105"/>
      <c r="O346" s="44"/>
      <c r="P346" s="225"/>
      <c r="Q346" s="85"/>
      <c r="R346" s="107" t="e">
        <f t="shared" si="59"/>
        <v>#N/A</v>
      </c>
      <c r="S346" s="107" t="e">
        <f t="shared" si="60"/>
        <v>#N/A</v>
      </c>
      <c r="T346" s="107" t="e">
        <f t="shared" si="61"/>
        <v>#N/A</v>
      </c>
    </row>
    <row r="347" spans="1:21" hidden="1">
      <c r="A347" s="108"/>
      <c r="B347" s="99"/>
      <c r="C347" s="101"/>
      <c r="D347" s="45"/>
      <c r="E347" s="102"/>
      <c r="F347" s="91"/>
      <c r="G347" s="103"/>
      <c r="H347" s="104"/>
      <c r="I347" s="105">
        <f>IF(E347&gt;0,VLOOKUP(YEAR(E347),SMMLV!$A$9:$B$55,2,FALSE),0)</f>
        <v>0</v>
      </c>
      <c r="J347" s="106"/>
      <c r="K347" s="105">
        <f t="shared" si="58"/>
        <v>0</v>
      </c>
      <c r="L347" s="105"/>
      <c r="M347" s="105"/>
      <c r="N347" s="105"/>
      <c r="O347" s="44"/>
      <c r="P347" s="225"/>
      <c r="Q347" s="85"/>
      <c r="R347" s="107" t="e">
        <f t="shared" si="59"/>
        <v>#N/A</v>
      </c>
      <c r="S347" s="107" t="e">
        <f t="shared" si="60"/>
        <v>#N/A</v>
      </c>
      <c r="T347" s="107" t="e">
        <f t="shared" si="61"/>
        <v>#N/A</v>
      </c>
    </row>
    <row r="348" spans="1:21" hidden="1">
      <c r="A348" s="108"/>
      <c r="B348" s="99"/>
      <c r="C348" s="101"/>
      <c r="D348" s="45"/>
      <c r="E348" s="102"/>
      <c r="F348" s="91"/>
      <c r="G348" s="103"/>
      <c r="H348" s="104"/>
      <c r="I348" s="105">
        <f>IF(E348&gt;0,VLOOKUP(YEAR(E348),SMMLV!$A$9:$B$55,2,FALSE),0)</f>
        <v>0</v>
      </c>
      <c r="J348" s="106"/>
      <c r="K348" s="105">
        <f t="shared" si="58"/>
        <v>0</v>
      </c>
      <c r="L348" s="105"/>
      <c r="M348" s="105"/>
      <c r="N348" s="105"/>
      <c r="O348" s="44"/>
      <c r="P348" s="225"/>
      <c r="Q348" s="85"/>
      <c r="R348" s="107" t="e">
        <f t="shared" si="59"/>
        <v>#N/A</v>
      </c>
      <c r="S348" s="107" t="e">
        <f t="shared" si="60"/>
        <v>#N/A</v>
      </c>
      <c r="T348" s="107" t="e">
        <f t="shared" si="61"/>
        <v>#N/A</v>
      </c>
    </row>
    <row r="349" spans="1:21" hidden="1">
      <c r="A349" s="289"/>
      <c r="B349" s="289"/>
      <c r="C349" s="289"/>
      <c r="D349" s="289"/>
      <c r="E349" s="289"/>
      <c r="F349" s="289"/>
      <c r="G349" s="289"/>
      <c r="H349" s="289"/>
      <c r="I349" s="289"/>
      <c r="J349" s="96"/>
      <c r="K349" s="109">
        <f>SUM(K339:K348)</f>
        <v>0</v>
      </c>
      <c r="L349" s="109"/>
      <c r="M349" s="109"/>
      <c r="N349" s="109"/>
      <c r="O349" s="90"/>
      <c r="P349" s="217"/>
      <c r="R349" s="107" t="e">
        <f>SUM(R339:R348)</f>
        <v>#N/A</v>
      </c>
      <c r="S349" s="107" t="e">
        <f>SUM(S339:S348)</f>
        <v>#N/A</v>
      </c>
      <c r="T349" s="107" t="e">
        <f>SUM(T339:T348)</f>
        <v>#N/A</v>
      </c>
      <c r="U349" s="110" t="e">
        <f>MAX(R349:T349)</f>
        <v>#N/A</v>
      </c>
    </row>
    <row r="350" spans="1:21" hidden="1">
      <c r="H350" s="89"/>
      <c r="I350" s="89"/>
      <c r="J350" s="89"/>
      <c r="K350" s="111" t="str">
        <f>IF(AND(K349&gt;=$G$6,G354&gt;0),"CUMPLE", "NO CUMPLE ")</f>
        <v xml:space="preserve">NO CUMPLE </v>
      </c>
      <c r="L350" s="202"/>
      <c r="M350" s="202"/>
      <c r="N350" s="202"/>
      <c r="R350" s="94"/>
    </row>
    <row r="351" spans="1:21" hidden="1">
      <c r="D351" s="112" t="e">
        <f>VLOOKUP(B337,Directorio!$A$4:$V$23,14,FALSE)</f>
        <v>#N/A</v>
      </c>
      <c r="E351" s="113" t="e">
        <f>VLOOKUP(B337,Directorio!$A$4:$V$23,15,FALSE)</f>
        <v>#N/A</v>
      </c>
      <c r="F351" s="114" t="e">
        <f>R349</f>
        <v>#N/A</v>
      </c>
      <c r="G351" s="138" t="e">
        <f>IF(F351&gt;0,IF(F351=$K$349,IF(E351&gt;0.6,"Vo.Bo.","No Vo.Bo."),IF(F351=U349,IF(E351&gt;0.5,"Vo.Bo.","No Vo.Bo."),"")),"")</f>
        <v>#N/A</v>
      </c>
      <c r="R351" s="94"/>
    </row>
    <row r="352" spans="1:21" hidden="1">
      <c r="D352" s="112" t="e">
        <f>VLOOKUP(B337,Directorio!$A$4:$V$23,17,FALSE)</f>
        <v>#N/A</v>
      </c>
      <c r="E352" s="113" t="e">
        <f>VLOOKUP(B337,Directorio!$A$4:$V$23,18,FALSE)</f>
        <v>#N/A</v>
      </c>
      <c r="F352" s="114" t="e">
        <f>S349</f>
        <v>#N/A</v>
      </c>
      <c r="G352" s="138" t="e">
        <f>IF(F352&gt;0,IF(F352=$K$349,IF(E352&gt;=0.6,"Vo.Bo.","No Vo.Bo."),IF(F352=U349,IF(E352&gt;0.5,"Vo.Bo.","No Vo.Bo."),"")),"")</f>
        <v>#N/A</v>
      </c>
      <c r="R352" s="94"/>
    </row>
    <row r="353" spans="1:21" hidden="1">
      <c r="D353" s="112" t="e">
        <f>VLOOKUP(B337,Directorio!$A$4:$V$23,20,FALSE)</f>
        <v>#N/A</v>
      </c>
      <c r="E353" s="113" t="e">
        <f>VLOOKUP(B337,Directorio!$A$4:$V$23,21,FALSE)</f>
        <v>#N/A</v>
      </c>
      <c r="F353" s="114" t="e">
        <f>T349</f>
        <v>#N/A</v>
      </c>
      <c r="G353" s="138" t="e">
        <f>IF(F353&gt;0,IF(F353=$K$349,IF(E353&gt;=0.6,"Vo.Bo.","No Vo.Bo."),IF(F353=U349,IF(E353&gt;0.5,"Vo.Bo.","No Vo.Bo."),"")),"")</f>
        <v>#N/A</v>
      </c>
      <c r="R353" s="94"/>
    </row>
    <row r="354" spans="1:21" hidden="1">
      <c r="C354" s="115"/>
      <c r="G354" s="116">
        <f>COUNTIF(G351:G353,"Vo.Bo.")</f>
        <v>0</v>
      </c>
    </row>
    <row r="355" spans="1:21" ht="22.5" hidden="1" customHeight="1">
      <c r="A355" s="145" t="s">
        <v>6</v>
      </c>
      <c r="B355" s="146">
        <f>B337+1</f>
        <v>15</v>
      </c>
      <c r="C355" s="147" t="s">
        <v>122</v>
      </c>
      <c r="D355" s="304" t="e">
        <f>VLOOKUP(B355,Directorio!$A$4:$V$23,3,FALSE)</f>
        <v>#N/A</v>
      </c>
      <c r="E355" s="305"/>
      <c r="F355" s="305"/>
      <c r="G355" s="305"/>
      <c r="H355" s="306"/>
      <c r="I355" s="302" t="e">
        <f>VLOOKUP(B355,Directorio!$A$4:$V$23,4,FALSE)</f>
        <v>#N/A</v>
      </c>
      <c r="J355" s="303"/>
      <c r="K355" s="303"/>
      <c r="L355" s="303"/>
      <c r="M355" s="303"/>
      <c r="N355" s="303"/>
      <c r="O355" s="303"/>
      <c r="P355" s="231"/>
      <c r="Q355" s="85"/>
      <c r="R355" s="94" t="s">
        <v>69</v>
      </c>
      <c r="S355" s="87" t="s">
        <v>70</v>
      </c>
      <c r="T355" s="87" t="s">
        <v>71</v>
      </c>
    </row>
    <row r="356" spans="1:21" ht="25.5" hidden="1">
      <c r="A356" s="97" t="s">
        <v>5</v>
      </c>
      <c r="B356" s="97" t="s">
        <v>27</v>
      </c>
      <c r="C356" s="97" t="s">
        <v>36</v>
      </c>
      <c r="D356" s="97" t="s">
        <v>28</v>
      </c>
      <c r="E356" s="98" t="s">
        <v>29</v>
      </c>
      <c r="F356" s="97" t="s">
        <v>30</v>
      </c>
      <c r="G356" s="97" t="s">
        <v>31</v>
      </c>
      <c r="H356" s="97" t="s">
        <v>32</v>
      </c>
      <c r="I356" s="97" t="s">
        <v>33</v>
      </c>
      <c r="J356" s="97" t="s">
        <v>66</v>
      </c>
      <c r="K356" s="97" t="s">
        <v>34</v>
      </c>
      <c r="L356" s="97"/>
      <c r="M356" s="97"/>
      <c r="N356" s="97"/>
      <c r="O356" s="97" t="s">
        <v>35</v>
      </c>
      <c r="P356" s="217"/>
      <c r="Q356" s="85"/>
      <c r="R356" s="94" t="e">
        <f>D369</f>
        <v>#N/A</v>
      </c>
      <c r="S356" s="87" t="e">
        <f>D370</f>
        <v>#N/A</v>
      </c>
      <c r="T356" s="87" t="e">
        <f>D371</f>
        <v>#N/A</v>
      </c>
    </row>
    <row r="357" spans="1:21" hidden="1">
      <c r="A357" s="99"/>
      <c r="B357" s="100"/>
      <c r="C357" s="101"/>
      <c r="D357" s="45"/>
      <c r="E357" s="102"/>
      <c r="F357" s="91"/>
      <c r="G357" s="103"/>
      <c r="H357" s="104"/>
      <c r="I357" s="105">
        <f>IF(E357&gt;0,VLOOKUP(YEAR(E357),SMMLV!$A$9:$B$55,2,FALSE),0)</f>
        <v>0</v>
      </c>
      <c r="J357" s="106"/>
      <c r="K357" s="105">
        <f>IF(AND(E357&gt;=$F$6,H357&gt;0),H357/I357*J357,0)</f>
        <v>0</v>
      </c>
      <c r="L357" s="105"/>
      <c r="M357" s="105"/>
      <c r="N357" s="105"/>
      <c r="O357" s="44"/>
      <c r="P357" s="225"/>
      <c r="Q357" s="85"/>
      <c r="R357" s="107" t="e">
        <f>IF(C357=$R$356,K357,0)</f>
        <v>#N/A</v>
      </c>
      <c r="S357" s="107" t="e">
        <f>IF(C357=$S$356,K357,0)</f>
        <v>#N/A</v>
      </c>
      <c r="T357" s="107" t="e">
        <f>IF(C357=$T$356,K357,0)</f>
        <v>#N/A</v>
      </c>
    </row>
    <row r="358" spans="1:21" hidden="1">
      <c r="A358" s="108"/>
      <c r="B358" s="99"/>
      <c r="C358" s="101"/>
      <c r="D358" s="45"/>
      <c r="E358" s="102"/>
      <c r="F358" s="91"/>
      <c r="G358" s="103"/>
      <c r="H358" s="104"/>
      <c r="I358" s="105">
        <f>IF(E358&gt;0,VLOOKUP(YEAR(E358),SMMLV!$A$9:$B$55,2,FALSE),0)</f>
        <v>0</v>
      </c>
      <c r="J358" s="106"/>
      <c r="K358" s="105">
        <f t="shared" ref="K358:K366" si="62">IF(AND(E358&gt;=$F$6,H358&gt;0),H358/I358*J358,0)</f>
        <v>0</v>
      </c>
      <c r="L358" s="105"/>
      <c r="M358" s="105"/>
      <c r="N358" s="105"/>
      <c r="O358" s="44"/>
      <c r="P358" s="225"/>
      <c r="Q358" s="85"/>
      <c r="R358" s="107" t="e">
        <f t="shared" ref="R358:R366" si="63">IF(C358=$R$356,K358,0)</f>
        <v>#N/A</v>
      </c>
      <c r="S358" s="107" t="e">
        <f t="shared" ref="S358:S366" si="64">IF(C358=$S$356,K358,0)</f>
        <v>#N/A</v>
      </c>
      <c r="T358" s="107" t="e">
        <f t="shared" ref="T358:T366" si="65">IF(C358=$T$356,K358,0)</f>
        <v>#N/A</v>
      </c>
    </row>
    <row r="359" spans="1:21" hidden="1">
      <c r="A359" s="108"/>
      <c r="B359" s="99"/>
      <c r="C359" s="101"/>
      <c r="D359" s="45"/>
      <c r="E359" s="102"/>
      <c r="F359" s="91"/>
      <c r="G359" s="103"/>
      <c r="H359" s="104"/>
      <c r="I359" s="105">
        <f>IF(E359&gt;0,VLOOKUP(YEAR(E359),SMMLV!$A$9:$B$55,2,FALSE),0)</f>
        <v>0</v>
      </c>
      <c r="J359" s="106"/>
      <c r="K359" s="105">
        <f t="shared" si="62"/>
        <v>0</v>
      </c>
      <c r="L359" s="105"/>
      <c r="M359" s="105"/>
      <c r="N359" s="105"/>
      <c r="O359" s="44"/>
      <c r="P359" s="225"/>
      <c r="Q359" s="85"/>
      <c r="R359" s="107" t="e">
        <f t="shared" si="63"/>
        <v>#N/A</v>
      </c>
      <c r="S359" s="107" t="e">
        <f t="shared" si="64"/>
        <v>#N/A</v>
      </c>
      <c r="T359" s="107" t="e">
        <f t="shared" si="65"/>
        <v>#N/A</v>
      </c>
    </row>
    <row r="360" spans="1:21" hidden="1">
      <c r="A360" s="108"/>
      <c r="B360" s="99"/>
      <c r="C360" s="101"/>
      <c r="D360" s="45"/>
      <c r="E360" s="102"/>
      <c r="F360" s="91"/>
      <c r="G360" s="103"/>
      <c r="H360" s="104"/>
      <c r="I360" s="105">
        <f>IF(E360&gt;0,VLOOKUP(YEAR(E360),SMMLV!$A$9:$B$55,2,FALSE),0)</f>
        <v>0</v>
      </c>
      <c r="J360" s="106"/>
      <c r="K360" s="105">
        <f t="shared" si="62"/>
        <v>0</v>
      </c>
      <c r="L360" s="105"/>
      <c r="M360" s="105"/>
      <c r="N360" s="105"/>
      <c r="O360" s="44"/>
      <c r="P360" s="225"/>
      <c r="Q360" s="85"/>
      <c r="R360" s="107" t="e">
        <f t="shared" si="63"/>
        <v>#N/A</v>
      </c>
      <c r="S360" s="107" t="e">
        <f t="shared" si="64"/>
        <v>#N/A</v>
      </c>
      <c r="T360" s="107" t="e">
        <f t="shared" si="65"/>
        <v>#N/A</v>
      </c>
    </row>
    <row r="361" spans="1:21" hidden="1">
      <c r="A361" s="108"/>
      <c r="B361" s="99"/>
      <c r="C361" s="101"/>
      <c r="D361" s="45"/>
      <c r="E361" s="102"/>
      <c r="F361" s="91"/>
      <c r="G361" s="103"/>
      <c r="H361" s="104"/>
      <c r="I361" s="105">
        <f>IF(E361&gt;0,VLOOKUP(YEAR(E361),SMMLV!$A$9:$B$55,2,FALSE),0)</f>
        <v>0</v>
      </c>
      <c r="J361" s="106"/>
      <c r="K361" s="105">
        <f t="shared" si="62"/>
        <v>0</v>
      </c>
      <c r="L361" s="105"/>
      <c r="M361" s="105"/>
      <c r="N361" s="105"/>
      <c r="O361" s="44"/>
      <c r="P361" s="225"/>
      <c r="Q361" s="85"/>
      <c r="R361" s="107" t="e">
        <f t="shared" si="63"/>
        <v>#N/A</v>
      </c>
      <c r="S361" s="107" t="e">
        <f t="shared" si="64"/>
        <v>#N/A</v>
      </c>
      <c r="T361" s="107" t="e">
        <f t="shared" si="65"/>
        <v>#N/A</v>
      </c>
    </row>
    <row r="362" spans="1:21" hidden="1">
      <c r="A362" s="108"/>
      <c r="B362" s="99"/>
      <c r="C362" s="101"/>
      <c r="D362" s="45"/>
      <c r="E362" s="102"/>
      <c r="F362" s="91"/>
      <c r="G362" s="103"/>
      <c r="H362" s="104"/>
      <c r="I362" s="105">
        <f>IF(E362&gt;0,VLOOKUP(YEAR(E362),SMMLV!$A$9:$B$55,2,FALSE),0)</f>
        <v>0</v>
      </c>
      <c r="J362" s="106"/>
      <c r="K362" s="105">
        <f t="shared" si="62"/>
        <v>0</v>
      </c>
      <c r="L362" s="105"/>
      <c r="M362" s="105"/>
      <c r="N362" s="105"/>
      <c r="O362" s="44"/>
      <c r="P362" s="225"/>
      <c r="Q362" s="85"/>
      <c r="R362" s="107" t="e">
        <f t="shared" si="63"/>
        <v>#N/A</v>
      </c>
      <c r="S362" s="107" t="e">
        <f t="shared" si="64"/>
        <v>#N/A</v>
      </c>
      <c r="T362" s="107" t="e">
        <f t="shared" si="65"/>
        <v>#N/A</v>
      </c>
    </row>
    <row r="363" spans="1:21" hidden="1">
      <c r="A363" s="108"/>
      <c r="B363" s="99"/>
      <c r="C363" s="101"/>
      <c r="D363" s="45"/>
      <c r="E363" s="102"/>
      <c r="F363" s="91"/>
      <c r="G363" s="103"/>
      <c r="H363" s="104"/>
      <c r="I363" s="105">
        <f>IF(E363&gt;0,VLOOKUP(YEAR(E363),SMMLV!$A$9:$B$55,2,FALSE),0)</f>
        <v>0</v>
      </c>
      <c r="J363" s="106"/>
      <c r="K363" s="105">
        <f t="shared" si="62"/>
        <v>0</v>
      </c>
      <c r="L363" s="105"/>
      <c r="M363" s="105"/>
      <c r="N363" s="105"/>
      <c r="O363" s="44"/>
      <c r="P363" s="225"/>
      <c r="Q363" s="85"/>
      <c r="R363" s="107" t="e">
        <f t="shared" si="63"/>
        <v>#N/A</v>
      </c>
      <c r="S363" s="107" t="e">
        <f t="shared" si="64"/>
        <v>#N/A</v>
      </c>
      <c r="T363" s="107" t="e">
        <f t="shared" si="65"/>
        <v>#N/A</v>
      </c>
    </row>
    <row r="364" spans="1:21" hidden="1">
      <c r="A364" s="108"/>
      <c r="B364" s="99"/>
      <c r="C364" s="101"/>
      <c r="D364" s="45"/>
      <c r="E364" s="102"/>
      <c r="F364" s="91"/>
      <c r="G364" s="103"/>
      <c r="H364" s="104"/>
      <c r="I364" s="105">
        <f>IF(E364&gt;0,VLOOKUP(YEAR(E364),SMMLV!$A$9:$B$55,2,FALSE),0)</f>
        <v>0</v>
      </c>
      <c r="J364" s="106"/>
      <c r="K364" s="105">
        <f t="shared" si="62"/>
        <v>0</v>
      </c>
      <c r="L364" s="105"/>
      <c r="M364" s="105"/>
      <c r="N364" s="105"/>
      <c r="O364" s="44"/>
      <c r="P364" s="225"/>
      <c r="Q364" s="85"/>
      <c r="R364" s="107" t="e">
        <f t="shared" si="63"/>
        <v>#N/A</v>
      </c>
      <c r="S364" s="107" t="e">
        <f t="shared" si="64"/>
        <v>#N/A</v>
      </c>
      <c r="T364" s="107" t="e">
        <f t="shared" si="65"/>
        <v>#N/A</v>
      </c>
    </row>
    <row r="365" spans="1:21" hidden="1">
      <c r="A365" s="108"/>
      <c r="B365" s="99"/>
      <c r="C365" s="101"/>
      <c r="D365" s="45"/>
      <c r="E365" s="102"/>
      <c r="F365" s="91"/>
      <c r="G365" s="103"/>
      <c r="H365" s="104"/>
      <c r="I365" s="105">
        <f>IF(E365&gt;0,VLOOKUP(YEAR(E365),SMMLV!$A$9:$B$55,2,FALSE),0)</f>
        <v>0</v>
      </c>
      <c r="J365" s="106"/>
      <c r="K365" s="105">
        <f t="shared" si="62"/>
        <v>0</v>
      </c>
      <c r="L365" s="105"/>
      <c r="M365" s="105"/>
      <c r="N365" s="105"/>
      <c r="O365" s="44"/>
      <c r="P365" s="225"/>
      <c r="Q365" s="85"/>
      <c r="R365" s="107" t="e">
        <f t="shared" si="63"/>
        <v>#N/A</v>
      </c>
      <c r="S365" s="107" t="e">
        <f t="shared" si="64"/>
        <v>#N/A</v>
      </c>
      <c r="T365" s="107" t="e">
        <f t="shared" si="65"/>
        <v>#N/A</v>
      </c>
    </row>
    <row r="366" spans="1:21" hidden="1">
      <c r="A366" s="108"/>
      <c r="B366" s="99"/>
      <c r="C366" s="101"/>
      <c r="D366" s="45"/>
      <c r="E366" s="102"/>
      <c r="F366" s="91"/>
      <c r="G366" s="103"/>
      <c r="H366" s="104"/>
      <c r="I366" s="105">
        <f>IF(E366&gt;0,VLOOKUP(YEAR(E366),SMMLV!$A$9:$B$55,2,FALSE),0)</f>
        <v>0</v>
      </c>
      <c r="J366" s="106"/>
      <c r="K366" s="105">
        <f t="shared" si="62"/>
        <v>0</v>
      </c>
      <c r="L366" s="105"/>
      <c r="M366" s="105"/>
      <c r="N366" s="105"/>
      <c r="O366" s="44"/>
      <c r="P366" s="225"/>
      <c r="Q366" s="85"/>
      <c r="R366" s="107" t="e">
        <f t="shared" si="63"/>
        <v>#N/A</v>
      </c>
      <c r="S366" s="107" t="e">
        <f t="shared" si="64"/>
        <v>#N/A</v>
      </c>
      <c r="T366" s="107" t="e">
        <f t="shared" si="65"/>
        <v>#N/A</v>
      </c>
    </row>
    <row r="367" spans="1:21" hidden="1">
      <c r="A367" s="289"/>
      <c r="B367" s="289"/>
      <c r="C367" s="289"/>
      <c r="D367" s="289"/>
      <c r="E367" s="289"/>
      <c r="F367" s="289"/>
      <c r="G367" s="289"/>
      <c r="H367" s="289"/>
      <c r="I367" s="289"/>
      <c r="J367" s="96"/>
      <c r="K367" s="109">
        <f>SUM(K357:K366)</f>
        <v>0</v>
      </c>
      <c r="L367" s="109"/>
      <c r="M367" s="109"/>
      <c r="N367" s="109"/>
      <c r="O367" s="90"/>
      <c r="P367" s="217"/>
      <c r="R367" s="107" t="e">
        <f>SUM(R357:R366)</f>
        <v>#N/A</v>
      </c>
      <c r="S367" s="107" t="e">
        <f>SUM(S357:S366)</f>
        <v>#N/A</v>
      </c>
      <c r="T367" s="107" t="e">
        <f>SUM(T357:T366)</f>
        <v>#N/A</v>
      </c>
      <c r="U367" s="110" t="e">
        <f>MAX(R367:T367)</f>
        <v>#N/A</v>
      </c>
    </row>
    <row r="368" spans="1:21" hidden="1">
      <c r="H368" s="89"/>
      <c r="I368" s="89"/>
      <c r="J368" s="89"/>
      <c r="K368" s="111" t="str">
        <f>IF(AND(K367&gt;=$G$6,G372&gt;0),"CUMPLE", "NO CUMPLE ")</f>
        <v xml:space="preserve">NO CUMPLE </v>
      </c>
      <c r="L368" s="202"/>
      <c r="M368" s="202"/>
      <c r="N368" s="202"/>
      <c r="R368" s="94"/>
    </row>
    <row r="369" spans="1:20" hidden="1">
      <c r="D369" s="112" t="e">
        <f>VLOOKUP(B355,Directorio!$A$4:$V$23,14,FALSE)</f>
        <v>#N/A</v>
      </c>
      <c r="E369" s="113" t="e">
        <f>VLOOKUP(B355,Directorio!$A$4:$V$23,15,FALSE)</f>
        <v>#N/A</v>
      </c>
      <c r="F369" s="114" t="e">
        <f>R367</f>
        <v>#N/A</v>
      </c>
      <c r="G369" s="138" t="e">
        <f>IF(F369&gt;0,IF(F369=$K$367,IF(E369&gt;=0.6,"Vo.Bo.","No Vo.Bo."),IF(F369=U367,IF(E369&gt;0.5,"Vo.Bo.","No Vo.Bo."),"")),"")</f>
        <v>#N/A</v>
      </c>
      <c r="R369" s="94"/>
    </row>
    <row r="370" spans="1:20" hidden="1">
      <c r="D370" s="112" t="e">
        <f>VLOOKUP(B355,Directorio!$A$4:$V$23,17,FALSE)</f>
        <v>#N/A</v>
      </c>
      <c r="E370" s="113" t="e">
        <f>VLOOKUP(B355,Directorio!$A$4:$V$23,18,FALSE)</f>
        <v>#N/A</v>
      </c>
      <c r="F370" s="114" t="e">
        <f>S367</f>
        <v>#N/A</v>
      </c>
      <c r="G370" s="138" t="e">
        <f>IF(F370&gt;0,IF(F370=$K$367,IF(E370&gt;=0.6,"Vo.Bo.","No Vo.Bo."),IF(F370=U367,IF(E370&gt;0.5,"Vo.Bo.","No Vo.Bo."),"")),"")</f>
        <v>#N/A</v>
      </c>
      <c r="R370" s="94"/>
    </row>
    <row r="371" spans="1:20" hidden="1">
      <c r="D371" s="112" t="e">
        <f>VLOOKUP(B355,Directorio!$A$4:$V$23,20,FALSE)</f>
        <v>#N/A</v>
      </c>
      <c r="E371" s="113" t="e">
        <f>VLOOKUP(B355,Directorio!$A$4:$V$23,21,FALSE)</f>
        <v>#N/A</v>
      </c>
      <c r="F371" s="114" t="e">
        <f>T367</f>
        <v>#N/A</v>
      </c>
      <c r="G371" s="138" t="e">
        <f>IF(F371&gt;0,IF(F371=$K$367,IF(E371&gt;=0.6,"Vo.Bo.","No Vo.Bo."),IF(F371=U367,IF(E371&gt;0.5,"Vo.Bo.","No Vo.Bo."),"")),"")</f>
        <v>#N/A</v>
      </c>
      <c r="R371" s="94"/>
    </row>
    <row r="372" spans="1:20" hidden="1">
      <c r="C372" s="115"/>
      <c r="G372" s="116">
        <f>COUNTIF(G369:G371,"Vo.Bo.")</f>
        <v>0</v>
      </c>
    </row>
    <row r="373" spans="1:20" ht="22.5" hidden="1" customHeight="1">
      <c r="A373" s="145" t="s">
        <v>6</v>
      </c>
      <c r="B373" s="146">
        <f>B355+1</f>
        <v>16</v>
      </c>
      <c r="C373" s="147" t="s">
        <v>122</v>
      </c>
      <c r="D373" s="304" t="e">
        <f>VLOOKUP(B373,Directorio!$A$4:$V$23,3,FALSE)</f>
        <v>#N/A</v>
      </c>
      <c r="E373" s="305"/>
      <c r="F373" s="305"/>
      <c r="G373" s="305"/>
      <c r="H373" s="306"/>
      <c r="I373" s="302" t="e">
        <f>VLOOKUP(B373,Directorio!$A$4:$V$23,4,FALSE)</f>
        <v>#N/A</v>
      </c>
      <c r="J373" s="303"/>
      <c r="K373" s="303"/>
      <c r="L373" s="303"/>
      <c r="M373" s="303"/>
      <c r="N373" s="303"/>
      <c r="O373" s="303"/>
      <c r="P373" s="231"/>
      <c r="Q373" s="85"/>
      <c r="R373" s="94" t="s">
        <v>69</v>
      </c>
      <c r="S373" s="87" t="s">
        <v>70</v>
      </c>
      <c r="T373" s="87" t="s">
        <v>71</v>
      </c>
    </row>
    <row r="374" spans="1:20" ht="25.5" hidden="1">
      <c r="A374" s="97" t="s">
        <v>5</v>
      </c>
      <c r="B374" s="97" t="s">
        <v>27</v>
      </c>
      <c r="C374" s="97" t="s">
        <v>36</v>
      </c>
      <c r="D374" s="97" t="s">
        <v>28</v>
      </c>
      <c r="E374" s="98" t="s">
        <v>29</v>
      </c>
      <c r="F374" s="97" t="s">
        <v>30</v>
      </c>
      <c r="G374" s="97" t="s">
        <v>31</v>
      </c>
      <c r="H374" s="97" t="s">
        <v>32</v>
      </c>
      <c r="I374" s="97" t="s">
        <v>33</v>
      </c>
      <c r="J374" s="97" t="s">
        <v>66</v>
      </c>
      <c r="K374" s="97" t="s">
        <v>34</v>
      </c>
      <c r="L374" s="97"/>
      <c r="M374" s="97"/>
      <c r="N374" s="97"/>
      <c r="O374" s="97" t="s">
        <v>35</v>
      </c>
      <c r="P374" s="217"/>
      <c r="Q374" s="85"/>
      <c r="R374" s="94" t="e">
        <f>D387</f>
        <v>#N/A</v>
      </c>
      <c r="S374" s="87" t="e">
        <f>D388</f>
        <v>#N/A</v>
      </c>
      <c r="T374" s="87" t="e">
        <f>D389</f>
        <v>#N/A</v>
      </c>
    </row>
    <row r="375" spans="1:20" hidden="1">
      <c r="A375" s="99"/>
      <c r="B375" s="100"/>
      <c r="C375" s="101"/>
      <c r="D375" s="45"/>
      <c r="E375" s="102"/>
      <c r="F375" s="91"/>
      <c r="G375" s="103"/>
      <c r="H375" s="104"/>
      <c r="I375" s="105">
        <f>IF(E375&gt;0,VLOOKUP(YEAR(E375),SMMLV!$A$9:$B$55,2,FALSE),0)</f>
        <v>0</v>
      </c>
      <c r="J375" s="106"/>
      <c r="K375" s="105">
        <f>IF(AND(E375&gt;=$F$6,H375&gt;0),H375/I375*J375,0)</f>
        <v>0</v>
      </c>
      <c r="L375" s="105"/>
      <c r="M375" s="105"/>
      <c r="N375" s="105"/>
      <c r="O375" s="44"/>
      <c r="P375" s="225"/>
      <c r="Q375" s="85"/>
      <c r="R375" s="107" t="e">
        <f>IF(C375=$R$374,K375,0)</f>
        <v>#N/A</v>
      </c>
      <c r="S375" s="107" t="e">
        <f>IF(C375=$S$374,K375,0)</f>
        <v>#N/A</v>
      </c>
      <c r="T375" s="107" t="e">
        <f>IF(C375=$T$374,K375,0)</f>
        <v>#N/A</v>
      </c>
    </row>
    <row r="376" spans="1:20" hidden="1">
      <c r="A376" s="108"/>
      <c r="B376" s="99"/>
      <c r="C376" s="101"/>
      <c r="D376" s="45"/>
      <c r="E376" s="102"/>
      <c r="F376" s="91"/>
      <c r="G376" s="103"/>
      <c r="H376" s="104"/>
      <c r="I376" s="105">
        <f>IF(E376&gt;0,VLOOKUP(YEAR(E376),SMMLV!$A$9:$B$55,2,FALSE),0)</f>
        <v>0</v>
      </c>
      <c r="J376" s="106"/>
      <c r="K376" s="105">
        <f t="shared" ref="K376:K384" si="66">IF(AND(E376&gt;=$F$6,H376&gt;0),H376/I376*J376,0)</f>
        <v>0</v>
      </c>
      <c r="L376" s="105"/>
      <c r="M376" s="105"/>
      <c r="N376" s="105"/>
      <c r="O376" s="44"/>
      <c r="P376" s="225"/>
      <c r="Q376" s="85"/>
      <c r="R376" s="107" t="e">
        <f t="shared" ref="R376:R384" si="67">IF(C376=$R$374,K376,0)</f>
        <v>#N/A</v>
      </c>
      <c r="S376" s="107" t="e">
        <f t="shared" ref="S376:S384" si="68">IF(C376=$S$374,K376,0)</f>
        <v>#N/A</v>
      </c>
      <c r="T376" s="107" t="e">
        <f t="shared" ref="T376:T384" si="69">IF(C376=$T$374,K376,0)</f>
        <v>#N/A</v>
      </c>
    </row>
    <row r="377" spans="1:20" hidden="1">
      <c r="A377" s="108"/>
      <c r="B377" s="99"/>
      <c r="C377" s="101"/>
      <c r="D377" s="45"/>
      <c r="E377" s="102"/>
      <c r="F377" s="91"/>
      <c r="G377" s="103"/>
      <c r="H377" s="104"/>
      <c r="I377" s="105">
        <f>IF(E377&gt;0,VLOOKUP(YEAR(E377),SMMLV!$A$9:$B$55,2,FALSE),0)</f>
        <v>0</v>
      </c>
      <c r="J377" s="106"/>
      <c r="K377" s="105">
        <f t="shared" si="66"/>
        <v>0</v>
      </c>
      <c r="L377" s="105"/>
      <c r="M377" s="105"/>
      <c r="N377" s="105"/>
      <c r="O377" s="44"/>
      <c r="P377" s="225"/>
      <c r="Q377" s="85"/>
      <c r="R377" s="107" t="e">
        <f t="shared" si="67"/>
        <v>#N/A</v>
      </c>
      <c r="S377" s="107" t="e">
        <f t="shared" si="68"/>
        <v>#N/A</v>
      </c>
      <c r="T377" s="107" t="e">
        <f t="shared" si="69"/>
        <v>#N/A</v>
      </c>
    </row>
    <row r="378" spans="1:20" hidden="1">
      <c r="A378" s="108"/>
      <c r="B378" s="99"/>
      <c r="C378" s="101"/>
      <c r="D378" s="45"/>
      <c r="E378" s="102"/>
      <c r="F378" s="91"/>
      <c r="G378" s="103"/>
      <c r="H378" s="104"/>
      <c r="I378" s="105">
        <f>IF(E378&gt;0,VLOOKUP(YEAR(E378),SMMLV!$A$9:$B$55,2,FALSE),0)</f>
        <v>0</v>
      </c>
      <c r="J378" s="106"/>
      <c r="K378" s="105">
        <f t="shared" si="66"/>
        <v>0</v>
      </c>
      <c r="L378" s="105"/>
      <c r="M378" s="105"/>
      <c r="N378" s="105"/>
      <c r="O378" s="44"/>
      <c r="P378" s="225"/>
      <c r="Q378" s="85"/>
      <c r="R378" s="107" t="e">
        <f t="shared" si="67"/>
        <v>#N/A</v>
      </c>
      <c r="S378" s="107" t="e">
        <f t="shared" si="68"/>
        <v>#N/A</v>
      </c>
      <c r="T378" s="107" t="e">
        <f t="shared" si="69"/>
        <v>#N/A</v>
      </c>
    </row>
    <row r="379" spans="1:20" hidden="1">
      <c r="A379" s="108"/>
      <c r="B379" s="99"/>
      <c r="C379" s="101"/>
      <c r="D379" s="45"/>
      <c r="E379" s="102"/>
      <c r="F379" s="91"/>
      <c r="G379" s="103"/>
      <c r="H379" s="104"/>
      <c r="I379" s="105">
        <f>IF(E379&gt;0,VLOOKUP(YEAR(E379),SMMLV!$A$9:$B$55,2,FALSE),0)</f>
        <v>0</v>
      </c>
      <c r="J379" s="106"/>
      <c r="K379" s="105">
        <f t="shared" si="66"/>
        <v>0</v>
      </c>
      <c r="L379" s="105"/>
      <c r="M379" s="105"/>
      <c r="N379" s="105"/>
      <c r="O379" s="44"/>
      <c r="P379" s="225"/>
      <c r="Q379" s="85"/>
      <c r="R379" s="107" t="e">
        <f t="shared" si="67"/>
        <v>#N/A</v>
      </c>
      <c r="S379" s="107" t="e">
        <f t="shared" si="68"/>
        <v>#N/A</v>
      </c>
      <c r="T379" s="107" t="e">
        <f t="shared" si="69"/>
        <v>#N/A</v>
      </c>
    </row>
    <row r="380" spans="1:20" hidden="1">
      <c r="A380" s="108"/>
      <c r="B380" s="99"/>
      <c r="C380" s="101"/>
      <c r="D380" s="45"/>
      <c r="E380" s="102"/>
      <c r="F380" s="91"/>
      <c r="G380" s="103"/>
      <c r="H380" s="104"/>
      <c r="I380" s="105">
        <f>IF(E380&gt;0,VLOOKUP(YEAR(E380),SMMLV!$A$9:$B$55,2,FALSE),0)</f>
        <v>0</v>
      </c>
      <c r="J380" s="106"/>
      <c r="K380" s="105">
        <f t="shared" si="66"/>
        <v>0</v>
      </c>
      <c r="L380" s="105"/>
      <c r="M380" s="105"/>
      <c r="N380" s="105"/>
      <c r="O380" s="44"/>
      <c r="P380" s="225"/>
      <c r="Q380" s="85"/>
      <c r="R380" s="107" t="e">
        <f t="shared" si="67"/>
        <v>#N/A</v>
      </c>
      <c r="S380" s="107" t="e">
        <f t="shared" si="68"/>
        <v>#N/A</v>
      </c>
      <c r="T380" s="107" t="e">
        <f t="shared" si="69"/>
        <v>#N/A</v>
      </c>
    </row>
    <row r="381" spans="1:20" hidden="1">
      <c r="A381" s="108"/>
      <c r="B381" s="99"/>
      <c r="C381" s="101"/>
      <c r="D381" s="45"/>
      <c r="E381" s="102"/>
      <c r="F381" s="91"/>
      <c r="G381" s="103"/>
      <c r="H381" s="104"/>
      <c r="I381" s="105">
        <f>IF(E381&gt;0,VLOOKUP(YEAR(E381),SMMLV!$A$9:$B$55,2,FALSE),0)</f>
        <v>0</v>
      </c>
      <c r="J381" s="106"/>
      <c r="K381" s="105">
        <f t="shared" si="66"/>
        <v>0</v>
      </c>
      <c r="L381" s="105"/>
      <c r="M381" s="105"/>
      <c r="N381" s="105"/>
      <c r="O381" s="44"/>
      <c r="P381" s="225"/>
      <c r="Q381" s="85"/>
      <c r="R381" s="107" t="e">
        <f t="shared" si="67"/>
        <v>#N/A</v>
      </c>
      <c r="S381" s="107" t="e">
        <f t="shared" si="68"/>
        <v>#N/A</v>
      </c>
      <c r="T381" s="107" t="e">
        <f t="shared" si="69"/>
        <v>#N/A</v>
      </c>
    </row>
    <row r="382" spans="1:20" hidden="1">
      <c r="A382" s="108"/>
      <c r="B382" s="99"/>
      <c r="C382" s="101"/>
      <c r="D382" s="45"/>
      <c r="E382" s="102"/>
      <c r="F382" s="91"/>
      <c r="G382" s="103"/>
      <c r="H382" s="104"/>
      <c r="I382" s="105">
        <f>IF(E382&gt;0,VLOOKUP(YEAR(E382),SMMLV!$A$9:$B$55,2,FALSE),0)</f>
        <v>0</v>
      </c>
      <c r="J382" s="106"/>
      <c r="K382" s="105">
        <f t="shared" si="66"/>
        <v>0</v>
      </c>
      <c r="L382" s="105"/>
      <c r="M382" s="105"/>
      <c r="N382" s="105"/>
      <c r="O382" s="44"/>
      <c r="P382" s="225"/>
      <c r="Q382" s="85"/>
      <c r="R382" s="107" t="e">
        <f t="shared" si="67"/>
        <v>#N/A</v>
      </c>
      <c r="S382" s="107" t="e">
        <f t="shared" si="68"/>
        <v>#N/A</v>
      </c>
      <c r="T382" s="107" t="e">
        <f t="shared" si="69"/>
        <v>#N/A</v>
      </c>
    </row>
    <row r="383" spans="1:20" hidden="1">
      <c r="A383" s="108"/>
      <c r="B383" s="99"/>
      <c r="C383" s="101"/>
      <c r="D383" s="45"/>
      <c r="E383" s="102"/>
      <c r="F383" s="91"/>
      <c r="G383" s="103"/>
      <c r="H383" s="104"/>
      <c r="I383" s="105">
        <f>IF(E383&gt;0,VLOOKUP(YEAR(E383),SMMLV!$A$9:$B$55,2,FALSE),0)</f>
        <v>0</v>
      </c>
      <c r="J383" s="106"/>
      <c r="K383" s="105">
        <f t="shared" si="66"/>
        <v>0</v>
      </c>
      <c r="L383" s="105"/>
      <c r="M383" s="105"/>
      <c r="N383" s="105"/>
      <c r="O383" s="44"/>
      <c r="P383" s="225"/>
      <c r="Q383" s="85"/>
      <c r="R383" s="107" t="e">
        <f t="shared" si="67"/>
        <v>#N/A</v>
      </c>
      <c r="S383" s="107" t="e">
        <f t="shared" si="68"/>
        <v>#N/A</v>
      </c>
      <c r="T383" s="107" t="e">
        <f t="shared" si="69"/>
        <v>#N/A</v>
      </c>
    </row>
    <row r="384" spans="1:20" hidden="1">
      <c r="A384" s="108"/>
      <c r="B384" s="99"/>
      <c r="C384" s="101"/>
      <c r="D384" s="45"/>
      <c r="E384" s="102"/>
      <c r="F384" s="91"/>
      <c r="G384" s="103"/>
      <c r="H384" s="104"/>
      <c r="I384" s="105">
        <f>IF(E384&gt;0,VLOOKUP(YEAR(E384),SMMLV!$A$9:$B$55,2,FALSE),0)</f>
        <v>0</v>
      </c>
      <c r="J384" s="106"/>
      <c r="K384" s="105">
        <f t="shared" si="66"/>
        <v>0</v>
      </c>
      <c r="L384" s="105"/>
      <c r="M384" s="105"/>
      <c r="N384" s="105"/>
      <c r="O384" s="44"/>
      <c r="P384" s="225"/>
      <c r="Q384" s="85"/>
      <c r="R384" s="107" t="e">
        <f t="shared" si="67"/>
        <v>#N/A</v>
      </c>
      <c r="S384" s="107" t="e">
        <f t="shared" si="68"/>
        <v>#N/A</v>
      </c>
      <c r="T384" s="107" t="e">
        <f t="shared" si="69"/>
        <v>#N/A</v>
      </c>
    </row>
    <row r="385" spans="1:21" hidden="1">
      <c r="A385" s="289"/>
      <c r="B385" s="289"/>
      <c r="C385" s="289"/>
      <c r="D385" s="289"/>
      <c r="E385" s="289"/>
      <c r="F385" s="289"/>
      <c r="G385" s="289"/>
      <c r="H385" s="289"/>
      <c r="I385" s="289"/>
      <c r="J385" s="96"/>
      <c r="K385" s="109">
        <f>SUM(K375:K384)</f>
        <v>0</v>
      </c>
      <c r="L385" s="109"/>
      <c r="M385" s="109"/>
      <c r="N385" s="109"/>
      <c r="O385" s="90"/>
      <c r="P385" s="217"/>
      <c r="R385" s="107" t="e">
        <f>SUM(R375:R384)</f>
        <v>#N/A</v>
      </c>
      <c r="S385" s="107" t="e">
        <f>SUM(S375:S384)</f>
        <v>#N/A</v>
      </c>
      <c r="T385" s="107" t="e">
        <f>SUM(T375:T384)</f>
        <v>#N/A</v>
      </c>
      <c r="U385" s="110" t="e">
        <f>MAX(R385:T385)</f>
        <v>#N/A</v>
      </c>
    </row>
    <row r="386" spans="1:21" hidden="1">
      <c r="H386" s="89"/>
      <c r="I386" s="89"/>
      <c r="J386" s="89"/>
      <c r="K386" s="111" t="str">
        <f>IF(AND(K385&gt;=$G$6,G390&gt;0),"CUMPLE", "NO CUMPLE ")</f>
        <v xml:space="preserve">NO CUMPLE </v>
      </c>
      <c r="L386" s="202"/>
      <c r="M386" s="202"/>
      <c r="N386" s="202"/>
      <c r="R386" s="94"/>
    </row>
    <row r="387" spans="1:21" hidden="1">
      <c r="D387" s="112" t="e">
        <f>VLOOKUP(B373,Directorio!$A$4:$V$23,14,FALSE)</f>
        <v>#N/A</v>
      </c>
      <c r="E387" s="113" t="e">
        <f>VLOOKUP(B373,Directorio!$A$4:$V$23,15,FALSE)</f>
        <v>#N/A</v>
      </c>
      <c r="F387" s="114" t="e">
        <f>R385</f>
        <v>#N/A</v>
      </c>
      <c r="G387" s="138" t="e">
        <f>IF(F387&gt;0,IF(F387=$K$385,IF(E387&gt;0.6,"Vo.Bo.","No Vo.Bo."),IF(F387=U385,IF(E387&gt;0.5,"Vo.Bo.","No Vo.Bo."),"")),"")</f>
        <v>#N/A</v>
      </c>
      <c r="R387" s="94"/>
    </row>
    <row r="388" spans="1:21" hidden="1">
      <c r="D388" s="112" t="e">
        <f>VLOOKUP(B373,Directorio!$A$4:$V$23,17,FALSE)</f>
        <v>#N/A</v>
      </c>
      <c r="E388" s="113" t="e">
        <f>VLOOKUP(B373,Directorio!$A$4:$V$23,18,FALSE)</f>
        <v>#N/A</v>
      </c>
      <c r="F388" s="114" t="e">
        <f>S385</f>
        <v>#N/A</v>
      </c>
      <c r="G388" s="138" t="e">
        <f>IF(F388&gt;0,IF(F388=$K$385,IF(E388&gt;=0.6,"Vo.Bo.","No Vo.Bo."),IF(F388=U385,IF(E388&gt;0.5,"Vo.Bo.","No Vo.Bo."),"")),"")</f>
        <v>#N/A</v>
      </c>
      <c r="R388" s="94"/>
    </row>
    <row r="389" spans="1:21" hidden="1">
      <c r="D389" s="112" t="e">
        <f>VLOOKUP(B373,Directorio!$A$4:$V$23,20,FALSE)</f>
        <v>#N/A</v>
      </c>
      <c r="E389" s="113" t="e">
        <f>VLOOKUP(B373,Directorio!$A$4:$V$23,21,FALSE)</f>
        <v>#N/A</v>
      </c>
      <c r="F389" s="114" t="e">
        <f>T385</f>
        <v>#N/A</v>
      </c>
      <c r="G389" s="138" t="e">
        <f>IF(F389&gt;0,IF(F389=$K$385,IF(E389&gt;=0.6,"Vo.Bo.","No Vo.Bo."),IF(F389=U385,IF(E389&gt;0.5,"Vo.Bo.","No Vo.Bo."),"")),"")</f>
        <v>#N/A</v>
      </c>
      <c r="R389" s="94"/>
    </row>
    <row r="390" spans="1:21" hidden="1">
      <c r="C390" s="115"/>
      <c r="G390" s="116">
        <f>COUNTIF(G387:G389,"Vo.Bo.")</f>
        <v>0</v>
      </c>
    </row>
    <row r="391" spans="1:21" ht="22.5" hidden="1" customHeight="1">
      <c r="A391" s="145" t="s">
        <v>6</v>
      </c>
      <c r="B391" s="146">
        <f>B373+1</f>
        <v>17</v>
      </c>
      <c r="C391" s="147" t="s">
        <v>122</v>
      </c>
      <c r="D391" s="304" t="e">
        <f>VLOOKUP(B391,Directorio!$A$4:$V$23,3,FALSE)</f>
        <v>#N/A</v>
      </c>
      <c r="E391" s="305"/>
      <c r="F391" s="305"/>
      <c r="G391" s="305"/>
      <c r="H391" s="306"/>
      <c r="I391" s="302" t="e">
        <f>VLOOKUP(B391,Directorio!$A$4:$V$23,4,FALSE)</f>
        <v>#N/A</v>
      </c>
      <c r="J391" s="303"/>
      <c r="K391" s="303"/>
      <c r="L391" s="303"/>
      <c r="M391" s="303"/>
      <c r="N391" s="303"/>
      <c r="O391" s="303"/>
      <c r="P391" s="231"/>
      <c r="Q391" s="85"/>
      <c r="R391" s="94" t="s">
        <v>69</v>
      </c>
      <c r="S391" s="87" t="s">
        <v>70</v>
      </c>
      <c r="T391" s="87" t="s">
        <v>71</v>
      </c>
    </row>
    <row r="392" spans="1:21" ht="25.5" hidden="1">
      <c r="A392" s="97" t="s">
        <v>5</v>
      </c>
      <c r="B392" s="97" t="s">
        <v>27</v>
      </c>
      <c r="C392" s="97" t="s">
        <v>36</v>
      </c>
      <c r="D392" s="97" t="s">
        <v>28</v>
      </c>
      <c r="E392" s="98" t="s">
        <v>29</v>
      </c>
      <c r="F392" s="97" t="s">
        <v>30</v>
      </c>
      <c r="G392" s="97" t="s">
        <v>31</v>
      </c>
      <c r="H392" s="97" t="s">
        <v>32</v>
      </c>
      <c r="I392" s="97" t="s">
        <v>33</v>
      </c>
      <c r="J392" s="97" t="s">
        <v>66</v>
      </c>
      <c r="K392" s="97" t="s">
        <v>34</v>
      </c>
      <c r="L392" s="97"/>
      <c r="M392" s="97"/>
      <c r="N392" s="97"/>
      <c r="O392" s="97" t="s">
        <v>35</v>
      </c>
      <c r="P392" s="217"/>
      <c r="Q392" s="85"/>
      <c r="R392" s="94" t="e">
        <f>D405</f>
        <v>#N/A</v>
      </c>
      <c r="S392" s="87" t="e">
        <f>D406</f>
        <v>#N/A</v>
      </c>
      <c r="T392" s="87" t="e">
        <f>D407</f>
        <v>#N/A</v>
      </c>
    </row>
    <row r="393" spans="1:21" hidden="1">
      <c r="A393" s="99"/>
      <c r="B393" s="100"/>
      <c r="C393" s="101"/>
      <c r="D393" s="45"/>
      <c r="E393" s="102"/>
      <c r="F393" s="91"/>
      <c r="G393" s="103"/>
      <c r="H393" s="104"/>
      <c r="I393" s="105">
        <f>IF(E393&gt;0,VLOOKUP(YEAR(E393),SMMLV!$A$9:$B$55,2,FALSE),0)</f>
        <v>0</v>
      </c>
      <c r="J393" s="106"/>
      <c r="K393" s="105">
        <f>IF(AND(E393&gt;=$F$6,H393&gt;0),H393/I393*J393,0)</f>
        <v>0</v>
      </c>
      <c r="L393" s="105"/>
      <c r="M393" s="105"/>
      <c r="N393" s="105"/>
      <c r="O393" s="44"/>
      <c r="P393" s="225"/>
      <c r="Q393" s="85"/>
      <c r="R393" s="107" t="e">
        <f>IF(C393=$R$392,K393,0)</f>
        <v>#N/A</v>
      </c>
      <c r="S393" s="107" t="e">
        <f>IF(C393=$S$392,K393,0)</f>
        <v>#N/A</v>
      </c>
      <c r="T393" s="107" t="e">
        <f>IF(C393=$T$392,K393,0)</f>
        <v>#N/A</v>
      </c>
    </row>
    <row r="394" spans="1:21" hidden="1">
      <c r="A394" s="108"/>
      <c r="B394" s="99"/>
      <c r="C394" s="101"/>
      <c r="D394" s="45"/>
      <c r="E394" s="102"/>
      <c r="F394" s="91"/>
      <c r="G394" s="103"/>
      <c r="H394" s="104"/>
      <c r="I394" s="105">
        <f>IF(E394&gt;0,VLOOKUP(YEAR(E394),SMMLV!$A$9:$B$55,2,FALSE),0)</f>
        <v>0</v>
      </c>
      <c r="J394" s="106"/>
      <c r="K394" s="105">
        <f t="shared" ref="K394:K402" si="70">IF(AND(E394&gt;=$F$6,H394&gt;0),H394/I394*J394,0)</f>
        <v>0</v>
      </c>
      <c r="L394" s="105"/>
      <c r="M394" s="105"/>
      <c r="N394" s="105"/>
      <c r="O394" s="44"/>
      <c r="P394" s="225"/>
      <c r="Q394" s="85"/>
      <c r="R394" s="107" t="e">
        <f t="shared" ref="R394:R402" si="71">IF(C394=$R$392,K394,0)</f>
        <v>#N/A</v>
      </c>
      <c r="S394" s="107" t="e">
        <f t="shared" ref="S394:S402" si="72">IF(C394=$S$392,K394,0)</f>
        <v>#N/A</v>
      </c>
      <c r="T394" s="107" t="e">
        <f t="shared" ref="T394:T402" si="73">IF(C394=$T$392,K394,0)</f>
        <v>#N/A</v>
      </c>
    </row>
    <row r="395" spans="1:21" hidden="1">
      <c r="A395" s="108"/>
      <c r="B395" s="99"/>
      <c r="C395" s="101"/>
      <c r="D395" s="45"/>
      <c r="E395" s="102"/>
      <c r="F395" s="91"/>
      <c r="G395" s="103"/>
      <c r="H395" s="104"/>
      <c r="I395" s="105">
        <f>IF(E395&gt;0,VLOOKUP(YEAR(E395),SMMLV!$A$9:$B$55,2,FALSE),0)</f>
        <v>0</v>
      </c>
      <c r="J395" s="106"/>
      <c r="K395" s="105">
        <f t="shared" si="70"/>
        <v>0</v>
      </c>
      <c r="L395" s="105"/>
      <c r="M395" s="105"/>
      <c r="N395" s="105"/>
      <c r="O395" s="44"/>
      <c r="P395" s="225"/>
      <c r="Q395" s="85"/>
      <c r="R395" s="107" t="e">
        <f t="shared" si="71"/>
        <v>#N/A</v>
      </c>
      <c r="S395" s="107" t="e">
        <f t="shared" si="72"/>
        <v>#N/A</v>
      </c>
      <c r="T395" s="107" t="e">
        <f t="shared" si="73"/>
        <v>#N/A</v>
      </c>
    </row>
    <row r="396" spans="1:21" hidden="1">
      <c r="A396" s="108"/>
      <c r="B396" s="99"/>
      <c r="C396" s="101"/>
      <c r="D396" s="45"/>
      <c r="E396" s="102"/>
      <c r="F396" s="91"/>
      <c r="G396" s="103"/>
      <c r="H396" s="104"/>
      <c r="I396" s="105">
        <f>IF(E396&gt;0,VLOOKUP(YEAR(E396),SMMLV!$A$9:$B$55,2,FALSE),0)</f>
        <v>0</v>
      </c>
      <c r="J396" s="106"/>
      <c r="K396" s="105">
        <f t="shared" si="70"/>
        <v>0</v>
      </c>
      <c r="L396" s="105"/>
      <c r="M396" s="105"/>
      <c r="N396" s="105"/>
      <c r="O396" s="44"/>
      <c r="P396" s="225"/>
      <c r="Q396" s="85"/>
      <c r="R396" s="107" t="e">
        <f t="shared" si="71"/>
        <v>#N/A</v>
      </c>
      <c r="S396" s="107" t="e">
        <f t="shared" si="72"/>
        <v>#N/A</v>
      </c>
      <c r="T396" s="107" t="e">
        <f t="shared" si="73"/>
        <v>#N/A</v>
      </c>
    </row>
    <row r="397" spans="1:21" hidden="1">
      <c r="A397" s="108"/>
      <c r="B397" s="99"/>
      <c r="C397" s="101"/>
      <c r="D397" s="45"/>
      <c r="E397" s="102"/>
      <c r="F397" s="91"/>
      <c r="G397" s="103"/>
      <c r="H397" s="104"/>
      <c r="I397" s="105">
        <f>IF(E397&gt;0,VLOOKUP(YEAR(E397),SMMLV!$A$9:$B$55,2,FALSE),0)</f>
        <v>0</v>
      </c>
      <c r="J397" s="106"/>
      <c r="K397" s="105">
        <f t="shared" si="70"/>
        <v>0</v>
      </c>
      <c r="L397" s="105"/>
      <c r="M397" s="105"/>
      <c r="N397" s="105"/>
      <c r="O397" s="44"/>
      <c r="P397" s="225"/>
      <c r="Q397" s="85"/>
      <c r="R397" s="107" t="e">
        <f t="shared" si="71"/>
        <v>#N/A</v>
      </c>
      <c r="S397" s="107" t="e">
        <f t="shared" si="72"/>
        <v>#N/A</v>
      </c>
      <c r="T397" s="107" t="e">
        <f t="shared" si="73"/>
        <v>#N/A</v>
      </c>
    </row>
    <row r="398" spans="1:21" hidden="1">
      <c r="A398" s="108"/>
      <c r="B398" s="99"/>
      <c r="C398" s="101"/>
      <c r="D398" s="45"/>
      <c r="E398" s="102"/>
      <c r="F398" s="91"/>
      <c r="G398" s="103"/>
      <c r="H398" s="104"/>
      <c r="I398" s="105">
        <f>IF(E398&gt;0,VLOOKUP(YEAR(E398),SMMLV!$A$9:$B$55,2,FALSE),0)</f>
        <v>0</v>
      </c>
      <c r="J398" s="106"/>
      <c r="K398" s="105">
        <f t="shared" si="70"/>
        <v>0</v>
      </c>
      <c r="L398" s="105"/>
      <c r="M398" s="105"/>
      <c r="N398" s="105"/>
      <c r="O398" s="44"/>
      <c r="P398" s="225"/>
      <c r="Q398" s="85"/>
      <c r="R398" s="107" t="e">
        <f t="shared" si="71"/>
        <v>#N/A</v>
      </c>
      <c r="S398" s="107" t="e">
        <f t="shared" si="72"/>
        <v>#N/A</v>
      </c>
      <c r="T398" s="107" t="e">
        <f t="shared" si="73"/>
        <v>#N/A</v>
      </c>
    </row>
    <row r="399" spans="1:21" hidden="1">
      <c r="A399" s="108"/>
      <c r="B399" s="99"/>
      <c r="C399" s="101"/>
      <c r="D399" s="45"/>
      <c r="E399" s="102"/>
      <c r="F399" s="91"/>
      <c r="G399" s="103"/>
      <c r="H399" s="104"/>
      <c r="I399" s="105">
        <f>IF(E399&gt;0,VLOOKUP(YEAR(E399),SMMLV!$A$9:$B$55,2,FALSE),0)</f>
        <v>0</v>
      </c>
      <c r="J399" s="106"/>
      <c r="K399" s="105">
        <f t="shared" si="70"/>
        <v>0</v>
      </c>
      <c r="L399" s="105"/>
      <c r="M399" s="105"/>
      <c r="N399" s="105"/>
      <c r="O399" s="44"/>
      <c r="P399" s="225"/>
      <c r="Q399" s="85"/>
      <c r="R399" s="107" t="e">
        <f t="shared" si="71"/>
        <v>#N/A</v>
      </c>
      <c r="S399" s="107" t="e">
        <f t="shared" si="72"/>
        <v>#N/A</v>
      </c>
      <c r="T399" s="107" t="e">
        <f t="shared" si="73"/>
        <v>#N/A</v>
      </c>
    </row>
    <row r="400" spans="1:21" hidden="1">
      <c r="A400" s="108"/>
      <c r="B400" s="99"/>
      <c r="C400" s="101"/>
      <c r="D400" s="45"/>
      <c r="E400" s="102"/>
      <c r="F400" s="91"/>
      <c r="G400" s="103"/>
      <c r="H400" s="104"/>
      <c r="I400" s="105">
        <f>IF(E400&gt;0,VLOOKUP(YEAR(E400),SMMLV!$A$9:$B$55,2,FALSE),0)</f>
        <v>0</v>
      </c>
      <c r="J400" s="106"/>
      <c r="K400" s="105">
        <f t="shared" si="70"/>
        <v>0</v>
      </c>
      <c r="L400" s="105"/>
      <c r="M400" s="105"/>
      <c r="N400" s="105"/>
      <c r="O400" s="44"/>
      <c r="P400" s="225"/>
      <c r="Q400" s="85"/>
      <c r="R400" s="107" t="e">
        <f t="shared" si="71"/>
        <v>#N/A</v>
      </c>
      <c r="S400" s="107" t="e">
        <f t="shared" si="72"/>
        <v>#N/A</v>
      </c>
      <c r="T400" s="107" t="e">
        <f t="shared" si="73"/>
        <v>#N/A</v>
      </c>
    </row>
    <row r="401" spans="1:21" hidden="1">
      <c r="A401" s="108"/>
      <c r="B401" s="99"/>
      <c r="C401" s="101"/>
      <c r="D401" s="45"/>
      <c r="E401" s="102"/>
      <c r="F401" s="91"/>
      <c r="G401" s="103"/>
      <c r="H401" s="104"/>
      <c r="I401" s="105">
        <f>IF(E401&gt;0,VLOOKUP(YEAR(E401),SMMLV!$A$9:$B$55,2,FALSE),0)</f>
        <v>0</v>
      </c>
      <c r="J401" s="106"/>
      <c r="K401" s="105">
        <f t="shared" si="70"/>
        <v>0</v>
      </c>
      <c r="L401" s="105"/>
      <c r="M401" s="105"/>
      <c r="N401" s="105"/>
      <c r="O401" s="44"/>
      <c r="P401" s="225"/>
      <c r="Q401" s="85"/>
      <c r="R401" s="107" t="e">
        <f t="shared" si="71"/>
        <v>#N/A</v>
      </c>
      <c r="S401" s="107" t="e">
        <f t="shared" si="72"/>
        <v>#N/A</v>
      </c>
      <c r="T401" s="107" t="e">
        <f t="shared" si="73"/>
        <v>#N/A</v>
      </c>
    </row>
    <row r="402" spans="1:21" hidden="1">
      <c r="A402" s="108"/>
      <c r="B402" s="99"/>
      <c r="C402" s="101"/>
      <c r="D402" s="45"/>
      <c r="E402" s="102"/>
      <c r="F402" s="91"/>
      <c r="G402" s="103"/>
      <c r="H402" s="104"/>
      <c r="I402" s="105">
        <f>IF(E402&gt;0,VLOOKUP(YEAR(E402),SMMLV!$A$9:$B$55,2,FALSE),0)</f>
        <v>0</v>
      </c>
      <c r="J402" s="106"/>
      <c r="K402" s="105">
        <f t="shared" si="70"/>
        <v>0</v>
      </c>
      <c r="L402" s="105"/>
      <c r="M402" s="105"/>
      <c r="N402" s="105"/>
      <c r="O402" s="44"/>
      <c r="P402" s="225"/>
      <c r="Q402" s="85"/>
      <c r="R402" s="107" t="e">
        <f t="shared" si="71"/>
        <v>#N/A</v>
      </c>
      <c r="S402" s="107" t="e">
        <f t="shared" si="72"/>
        <v>#N/A</v>
      </c>
      <c r="T402" s="107" t="e">
        <f t="shared" si="73"/>
        <v>#N/A</v>
      </c>
    </row>
    <row r="403" spans="1:21" hidden="1">
      <c r="A403" s="289"/>
      <c r="B403" s="289"/>
      <c r="C403" s="289"/>
      <c r="D403" s="289"/>
      <c r="E403" s="289"/>
      <c r="F403" s="289"/>
      <c r="G403" s="289"/>
      <c r="H403" s="289"/>
      <c r="I403" s="289"/>
      <c r="J403" s="96"/>
      <c r="K403" s="109">
        <f>SUM(K393:K402)</f>
        <v>0</v>
      </c>
      <c r="L403" s="109"/>
      <c r="M403" s="109"/>
      <c r="N403" s="109"/>
      <c r="O403" s="90"/>
      <c r="P403" s="217"/>
      <c r="R403" s="107" t="e">
        <f>SUM(R393:R402)</f>
        <v>#N/A</v>
      </c>
      <c r="S403" s="107" t="e">
        <f>SUM(S393:S402)</f>
        <v>#N/A</v>
      </c>
      <c r="T403" s="107" t="e">
        <f>SUM(T393:T402)</f>
        <v>#N/A</v>
      </c>
      <c r="U403" s="110" t="e">
        <f>MAX(R403:T403)</f>
        <v>#N/A</v>
      </c>
    </row>
    <row r="404" spans="1:21" hidden="1">
      <c r="H404" s="89"/>
      <c r="I404" s="89"/>
      <c r="J404" s="89"/>
      <c r="K404" s="111" t="str">
        <f>IF(AND(K403&gt;=$G$6,G408&gt;0),"CUMPLE", "NO CUMPLE ")</f>
        <v xml:space="preserve">NO CUMPLE </v>
      </c>
      <c r="L404" s="202"/>
      <c r="M404" s="202"/>
      <c r="N404" s="202"/>
      <c r="R404" s="94"/>
    </row>
    <row r="405" spans="1:21" hidden="1">
      <c r="D405" s="112" t="e">
        <f>VLOOKUP(B391,Directorio!$A$4:$V$23,14,FALSE)</f>
        <v>#N/A</v>
      </c>
      <c r="E405" s="113" t="e">
        <f>VLOOKUP(B391,Directorio!$A$4:$V$23,15,FALSE)</f>
        <v>#N/A</v>
      </c>
      <c r="F405" s="114" t="e">
        <f>R403</f>
        <v>#N/A</v>
      </c>
      <c r="G405" s="138" t="e">
        <f>IF(F405&gt;0,IF(F405=$K$403,IF(E405&gt;0.6,"Vo.Bo.","No Vo.Bo."),IF(F405=U403,IF(E405&gt;0.5,"Vo.Bo.","No Vo.Bo."),"")),"")</f>
        <v>#N/A</v>
      </c>
      <c r="R405" s="94"/>
    </row>
    <row r="406" spans="1:21" hidden="1">
      <c r="D406" s="112" t="e">
        <f>VLOOKUP(B391,Directorio!$A$4:$V$23,17,FALSE)</f>
        <v>#N/A</v>
      </c>
      <c r="E406" s="113" t="e">
        <f>VLOOKUP(B391,Directorio!$A$4:$V$23,18,FALSE)</f>
        <v>#N/A</v>
      </c>
      <c r="F406" s="114" t="e">
        <f>S403</f>
        <v>#N/A</v>
      </c>
      <c r="G406" s="138" t="e">
        <f>IF(F406&gt;0,IF(F406=$K$403,IF(E406&gt;=0.6,"Vo.Bo.","No Vo.Bo."),IF(F406=U403,IF(E406&gt;0.5,"Vo.Bo.","No Vo.Bo."),"")),"")</f>
        <v>#N/A</v>
      </c>
      <c r="R406" s="94"/>
    </row>
    <row r="407" spans="1:21" hidden="1">
      <c r="D407" s="112" t="e">
        <f>VLOOKUP(B391,Directorio!$A$4:$V$23,20,FALSE)</f>
        <v>#N/A</v>
      </c>
      <c r="E407" s="113" t="e">
        <f>VLOOKUP(B391,Directorio!$A$4:$V$23,21,FALSE)</f>
        <v>#N/A</v>
      </c>
      <c r="F407" s="114" t="e">
        <f>T403</f>
        <v>#N/A</v>
      </c>
      <c r="G407" s="138" t="e">
        <f>IF(F407&gt;0,IF(F407=$K$403,IF(E407&gt;=0.6,"Vo.Bo.","No Vo.Bo."),IF(F407=U403,IF(E407&gt;0.5,"Vo.Bo.","No Vo.Bo."),"")),"")</f>
        <v>#N/A</v>
      </c>
      <c r="R407" s="94"/>
    </row>
    <row r="408" spans="1:21" hidden="1">
      <c r="C408" s="115"/>
      <c r="G408" s="116">
        <f>COUNTIF(G405:G407,"Vo.Bo.")</f>
        <v>0</v>
      </c>
    </row>
    <row r="409" spans="1:21" ht="22.5" hidden="1" customHeight="1">
      <c r="A409" s="145" t="s">
        <v>6</v>
      </c>
      <c r="B409" s="146">
        <f>B391+1</f>
        <v>18</v>
      </c>
      <c r="C409" s="147" t="s">
        <v>122</v>
      </c>
      <c r="D409" s="304" t="e">
        <f>VLOOKUP(B409,Directorio!$A$4:$V$23,3,FALSE)</f>
        <v>#N/A</v>
      </c>
      <c r="E409" s="305"/>
      <c r="F409" s="305"/>
      <c r="G409" s="305"/>
      <c r="H409" s="306"/>
      <c r="I409" s="302" t="e">
        <f>VLOOKUP(B409,Directorio!$A$4:$V$23,4,FALSE)</f>
        <v>#N/A</v>
      </c>
      <c r="J409" s="303"/>
      <c r="K409" s="303"/>
      <c r="L409" s="303"/>
      <c r="M409" s="303"/>
      <c r="N409" s="303"/>
      <c r="O409" s="303"/>
      <c r="P409" s="231"/>
      <c r="Q409" s="85"/>
      <c r="R409" s="94" t="s">
        <v>69</v>
      </c>
      <c r="S409" s="87" t="s">
        <v>70</v>
      </c>
      <c r="T409" s="87" t="s">
        <v>71</v>
      </c>
    </row>
    <row r="410" spans="1:21" ht="48.75" hidden="1" customHeight="1">
      <c r="A410" s="97" t="s">
        <v>5</v>
      </c>
      <c r="B410" s="97" t="s">
        <v>27</v>
      </c>
      <c r="C410" s="97" t="s">
        <v>36</v>
      </c>
      <c r="D410" s="97" t="s">
        <v>28</v>
      </c>
      <c r="E410" s="98" t="s">
        <v>29</v>
      </c>
      <c r="F410" s="97" t="s">
        <v>30</v>
      </c>
      <c r="G410" s="97" t="s">
        <v>31</v>
      </c>
      <c r="H410" s="97" t="s">
        <v>32</v>
      </c>
      <c r="I410" s="97" t="s">
        <v>33</v>
      </c>
      <c r="J410" s="97" t="s">
        <v>66</v>
      </c>
      <c r="K410" s="97" t="s">
        <v>34</v>
      </c>
      <c r="L410" s="97"/>
      <c r="M410" s="97"/>
      <c r="N410" s="97"/>
      <c r="O410" s="97" t="s">
        <v>35</v>
      </c>
      <c r="P410" s="217"/>
      <c r="Q410" s="85"/>
      <c r="R410" s="94" t="e">
        <f>D423</f>
        <v>#N/A</v>
      </c>
      <c r="S410" s="87" t="e">
        <f>D424</f>
        <v>#N/A</v>
      </c>
      <c r="T410" s="87" t="e">
        <f>D425</f>
        <v>#N/A</v>
      </c>
    </row>
    <row r="411" spans="1:21" hidden="1">
      <c r="A411" s="99"/>
      <c r="B411" s="100"/>
      <c r="C411" s="101"/>
      <c r="D411" s="45"/>
      <c r="E411" s="102"/>
      <c r="F411" s="91"/>
      <c r="G411" s="103"/>
      <c r="H411" s="104"/>
      <c r="I411" s="105">
        <f>IF(E411&gt;0,VLOOKUP(YEAR(E411),SMMLV!$A$9:$B$55,2,FALSE),0)</f>
        <v>0</v>
      </c>
      <c r="J411" s="106"/>
      <c r="K411" s="105">
        <f>IF(AND(E411&gt;=$F$6,H411&gt;0),H411/I411*J411,0)</f>
        <v>0</v>
      </c>
      <c r="L411" s="105"/>
      <c r="M411" s="105"/>
      <c r="N411" s="105"/>
      <c r="O411" s="44"/>
      <c r="P411" s="225"/>
      <c r="Q411" s="85"/>
      <c r="R411" s="107" t="e">
        <f>IF(C411=$R$410,K411,0)</f>
        <v>#N/A</v>
      </c>
      <c r="S411" s="107" t="e">
        <f>IF(C411=$S$410,K411,0)</f>
        <v>#N/A</v>
      </c>
      <c r="T411" s="107" t="e">
        <f>IF(C411=$T$410,K411,0)</f>
        <v>#N/A</v>
      </c>
    </row>
    <row r="412" spans="1:21" hidden="1">
      <c r="A412" s="108"/>
      <c r="B412" s="99"/>
      <c r="C412" s="101"/>
      <c r="D412" s="45"/>
      <c r="E412" s="102"/>
      <c r="F412" s="91"/>
      <c r="G412" s="103"/>
      <c r="H412" s="104"/>
      <c r="I412" s="105">
        <f>IF(E412&gt;0,VLOOKUP(YEAR(E412),SMMLV!$A$9:$B$55,2,FALSE),0)</f>
        <v>0</v>
      </c>
      <c r="J412" s="106"/>
      <c r="K412" s="105">
        <f t="shared" ref="K412:K420" si="74">IF(AND(E412&gt;=$F$6,H412&gt;0),H412/I412*J412,0)</f>
        <v>0</v>
      </c>
      <c r="L412" s="105"/>
      <c r="M412" s="105"/>
      <c r="N412" s="105"/>
      <c r="O412" s="44"/>
      <c r="P412" s="225"/>
      <c r="Q412" s="85"/>
      <c r="R412" s="107" t="e">
        <f t="shared" ref="R412:R420" si="75">IF(C412=$R$410,K412,0)</f>
        <v>#N/A</v>
      </c>
      <c r="S412" s="107" t="e">
        <f t="shared" ref="S412:S420" si="76">IF(C412=$S$410,K412,0)</f>
        <v>#N/A</v>
      </c>
      <c r="T412" s="107" t="e">
        <f t="shared" ref="T412:T420" si="77">IF(C412=$T$410,K412,0)</f>
        <v>#N/A</v>
      </c>
    </row>
    <row r="413" spans="1:21" hidden="1">
      <c r="A413" s="108"/>
      <c r="B413" s="99"/>
      <c r="C413" s="101"/>
      <c r="D413" s="45"/>
      <c r="E413" s="102"/>
      <c r="F413" s="91"/>
      <c r="G413" s="103"/>
      <c r="H413" s="104"/>
      <c r="I413" s="105">
        <f>IF(E413&gt;0,VLOOKUP(YEAR(E413),SMMLV!$A$9:$B$55,2,FALSE),0)</f>
        <v>0</v>
      </c>
      <c r="J413" s="106"/>
      <c r="K413" s="105">
        <f t="shared" si="74"/>
        <v>0</v>
      </c>
      <c r="L413" s="105"/>
      <c r="M413" s="105"/>
      <c r="N413" s="105"/>
      <c r="O413" s="44"/>
      <c r="P413" s="225"/>
      <c r="Q413" s="85"/>
      <c r="R413" s="107" t="e">
        <f t="shared" si="75"/>
        <v>#N/A</v>
      </c>
      <c r="S413" s="107" t="e">
        <f t="shared" si="76"/>
        <v>#N/A</v>
      </c>
      <c r="T413" s="107" t="e">
        <f t="shared" si="77"/>
        <v>#N/A</v>
      </c>
    </row>
    <row r="414" spans="1:21" hidden="1">
      <c r="A414" s="108"/>
      <c r="B414" s="99"/>
      <c r="C414" s="101"/>
      <c r="D414" s="45"/>
      <c r="E414" s="102"/>
      <c r="F414" s="91"/>
      <c r="G414" s="103"/>
      <c r="H414" s="104"/>
      <c r="I414" s="105">
        <f>IF(E414&gt;0,VLOOKUP(YEAR(E414),SMMLV!$A$9:$B$55,2,FALSE),0)</f>
        <v>0</v>
      </c>
      <c r="J414" s="106"/>
      <c r="K414" s="105">
        <f t="shared" si="74"/>
        <v>0</v>
      </c>
      <c r="L414" s="105"/>
      <c r="M414" s="105"/>
      <c r="N414" s="105"/>
      <c r="O414" s="44"/>
      <c r="P414" s="225"/>
      <c r="Q414" s="85"/>
      <c r="R414" s="107" t="e">
        <f t="shared" si="75"/>
        <v>#N/A</v>
      </c>
      <c r="S414" s="107" t="e">
        <f t="shared" si="76"/>
        <v>#N/A</v>
      </c>
      <c r="T414" s="107" t="e">
        <f t="shared" si="77"/>
        <v>#N/A</v>
      </c>
    </row>
    <row r="415" spans="1:21" hidden="1">
      <c r="A415" s="108"/>
      <c r="B415" s="99"/>
      <c r="C415" s="101"/>
      <c r="D415" s="45"/>
      <c r="E415" s="102"/>
      <c r="F415" s="91"/>
      <c r="G415" s="103"/>
      <c r="H415" s="104"/>
      <c r="I415" s="105">
        <f>IF(E415&gt;0,VLOOKUP(YEAR(E415),SMMLV!$A$9:$B$55,2,FALSE),0)</f>
        <v>0</v>
      </c>
      <c r="J415" s="106"/>
      <c r="K415" s="105">
        <f t="shared" si="74"/>
        <v>0</v>
      </c>
      <c r="L415" s="105"/>
      <c r="M415" s="105"/>
      <c r="N415" s="105"/>
      <c r="O415" s="44"/>
      <c r="P415" s="225"/>
      <c r="Q415" s="85"/>
      <c r="R415" s="107" t="e">
        <f t="shared" si="75"/>
        <v>#N/A</v>
      </c>
      <c r="S415" s="107" t="e">
        <f t="shared" si="76"/>
        <v>#N/A</v>
      </c>
      <c r="T415" s="107" t="e">
        <f t="shared" si="77"/>
        <v>#N/A</v>
      </c>
    </row>
    <row r="416" spans="1:21" hidden="1">
      <c r="A416" s="108"/>
      <c r="B416" s="99"/>
      <c r="C416" s="101"/>
      <c r="D416" s="45"/>
      <c r="E416" s="102"/>
      <c r="F416" s="91"/>
      <c r="G416" s="103"/>
      <c r="H416" s="104"/>
      <c r="I416" s="105">
        <f>IF(E416&gt;0,VLOOKUP(YEAR(E416),SMMLV!$A$9:$B$55,2,FALSE),0)</f>
        <v>0</v>
      </c>
      <c r="J416" s="106"/>
      <c r="K416" s="105">
        <f t="shared" si="74"/>
        <v>0</v>
      </c>
      <c r="L416" s="105"/>
      <c r="M416" s="105"/>
      <c r="N416" s="105"/>
      <c r="O416" s="44"/>
      <c r="P416" s="225"/>
      <c r="Q416" s="85"/>
      <c r="R416" s="107" t="e">
        <f t="shared" si="75"/>
        <v>#N/A</v>
      </c>
      <c r="S416" s="107" t="e">
        <f t="shared" si="76"/>
        <v>#N/A</v>
      </c>
      <c r="T416" s="107" t="e">
        <f t="shared" si="77"/>
        <v>#N/A</v>
      </c>
    </row>
    <row r="417" spans="1:21" hidden="1">
      <c r="A417" s="108"/>
      <c r="B417" s="99"/>
      <c r="C417" s="101"/>
      <c r="D417" s="45"/>
      <c r="E417" s="102"/>
      <c r="F417" s="91"/>
      <c r="G417" s="103"/>
      <c r="H417" s="104"/>
      <c r="I417" s="105">
        <f>IF(E417&gt;0,VLOOKUP(YEAR(E417),SMMLV!$A$9:$B$55,2,FALSE),0)</f>
        <v>0</v>
      </c>
      <c r="J417" s="106"/>
      <c r="K417" s="105">
        <f t="shared" si="74"/>
        <v>0</v>
      </c>
      <c r="L417" s="105"/>
      <c r="M417" s="105"/>
      <c r="N417" s="105"/>
      <c r="O417" s="44"/>
      <c r="P417" s="225"/>
      <c r="Q417" s="85"/>
      <c r="R417" s="107" t="e">
        <f t="shared" si="75"/>
        <v>#N/A</v>
      </c>
      <c r="S417" s="107" t="e">
        <f t="shared" si="76"/>
        <v>#N/A</v>
      </c>
      <c r="T417" s="107" t="e">
        <f t="shared" si="77"/>
        <v>#N/A</v>
      </c>
    </row>
    <row r="418" spans="1:21" hidden="1">
      <c r="A418" s="108"/>
      <c r="B418" s="99"/>
      <c r="C418" s="101"/>
      <c r="D418" s="45"/>
      <c r="E418" s="102"/>
      <c r="F418" s="91"/>
      <c r="G418" s="103"/>
      <c r="H418" s="104"/>
      <c r="I418" s="105">
        <f>IF(E418&gt;0,VLOOKUP(YEAR(E418),SMMLV!$A$9:$B$55,2,FALSE),0)</f>
        <v>0</v>
      </c>
      <c r="J418" s="106"/>
      <c r="K418" s="105">
        <f t="shared" si="74"/>
        <v>0</v>
      </c>
      <c r="L418" s="105"/>
      <c r="M418" s="105"/>
      <c r="N418" s="105"/>
      <c r="O418" s="44"/>
      <c r="P418" s="225"/>
      <c r="Q418" s="85"/>
      <c r="R418" s="107" t="e">
        <f t="shared" si="75"/>
        <v>#N/A</v>
      </c>
      <c r="S418" s="107" t="e">
        <f t="shared" si="76"/>
        <v>#N/A</v>
      </c>
      <c r="T418" s="107" t="e">
        <f t="shared" si="77"/>
        <v>#N/A</v>
      </c>
    </row>
    <row r="419" spans="1:21" hidden="1">
      <c r="A419" s="108"/>
      <c r="B419" s="99"/>
      <c r="C419" s="101"/>
      <c r="D419" s="45"/>
      <c r="E419" s="102"/>
      <c r="F419" s="91"/>
      <c r="G419" s="103"/>
      <c r="H419" s="104"/>
      <c r="I419" s="105">
        <f>IF(E419&gt;0,VLOOKUP(YEAR(E419),SMMLV!$A$9:$B$55,2,FALSE),0)</f>
        <v>0</v>
      </c>
      <c r="J419" s="106"/>
      <c r="K419" s="105">
        <f t="shared" si="74"/>
        <v>0</v>
      </c>
      <c r="L419" s="105"/>
      <c r="M419" s="105"/>
      <c r="N419" s="105"/>
      <c r="O419" s="44"/>
      <c r="P419" s="225"/>
      <c r="Q419" s="85"/>
      <c r="R419" s="107" t="e">
        <f t="shared" si="75"/>
        <v>#N/A</v>
      </c>
      <c r="S419" s="107" t="e">
        <f t="shared" si="76"/>
        <v>#N/A</v>
      </c>
      <c r="T419" s="107" t="e">
        <f t="shared" si="77"/>
        <v>#N/A</v>
      </c>
    </row>
    <row r="420" spans="1:21" hidden="1">
      <c r="A420" s="108"/>
      <c r="B420" s="99"/>
      <c r="C420" s="101"/>
      <c r="D420" s="45"/>
      <c r="E420" s="102"/>
      <c r="F420" s="91"/>
      <c r="G420" s="103"/>
      <c r="H420" s="104"/>
      <c r="I420" s="105">
        <f>IF(E420&gt;0,VLOOKUP(YEAR(E420),SMMLV!$A$9:$B$55,2,FALSE),0)</f>
        <v>0</v>
      </c>
      <c r="J420" s="106"/>
      <c r="K420" s="105">
        <f t="shared" si="74"/>
        <v>0</v>
      </c>
      <c r="L420" s="105"/>
      <c r="M420" s="105"/>
      <c r="N420" s="105"/>
      <c r="O420" s="44"/>
      <c r="P420" s="225"/>
      <c r="Q420" s="85"/>
      <c r="R420" s="107" t="e">
        <f t="shared" si="75"/>
        <v>#N/A</v>
      </c>
      <c r="S420" s="107" t="e">
        <f t="shared" si="76"/>
        <v>#N/A</v>
      </c>
      <c r="T420" s="107" t="e">
        <f t="shared" si="77"/>
        <v>#N/A</v>
      </c>
    </row>
    <row r="421" spans="1:21" hidden="1">
      <c r="A421" s="289"/>
      <c r="B421" s="289"/>
      <c r="C421" s="289"/>
      <c r="D421" s="289"/>
      <c r="E421" s="289"/>
      <c r="F421" s="289"/>
      <c r="G421" s="289"/>
      <c r="H421" s="289"/>
      <c r="I421" s="289"/>
      <c r="J421" s="96"/>
      <c r="K421" s="109">
        <f>SUM(K411:K420)</f>
        <v>0</v>
      </c>
      <c r="L421" s="109"/>
      <c r="M421" s="109"/>
      <c r="N421" s="109"/>
      <c r="O421" s="90"/>
      <c r="P421" s="217"/>
      <c r="R421" s="107" t="e">
        <f>SUM(R411:R420)</f>
        <v>#N/A</v>
      </c>
      <c r="S421" s="107" t="e">
        <f>SUM(S411:S420)</f>
        <v>#N/A</v>
      </c>
      <c r="T421" s="107" t="e">
        <f>SUM(T411:T420)</f>
        <v>#N/A</v>
      </c>
      <c r="U421" s="110" t="e">
        <f>MAX(R421:T421)</f>
        <v>#N/A</v>
      </c>
    </row>
    <row r="422" spans="1:21" hidden="1">
      <c r="H422" s="89"/>
      <c r="I422" s="89"/>
      <c r="J422" s="89"/>
      <c r="K422" s="111" t="str">
        <f>IF(AND(K421&gt;=$G$6,G426&gt;0),"CUMPLE", "NO CUMPLE ")</f>
        <v xml:space="preserve">NO CUMPLE </v>
      </c>
      <c r="L422" s="202"/>
      <c r="M422" s="202"/>
      <c r="N422" s="202"/>
      <c r="R422" s="94"/>
    </row>
    <row r="423" spans="1:21" hidden="1">
      <c r="D423" s="112" t="e">
        <f>VLOOKUP(B409,Directorio!$A$4:$V$23,14,FALSE)</f>
        <v>#N/A</v>
      </c>
      <c r="E423" s="113" t="e">
        <f>VLOOKUP(B409,Directorio!$A$4:$V$23,15,FALSE)</f>
        <v>#N/A</v>
      </c>
      <c r="F423" s="114" t="e">
        <f>R421</f>
        <v>#N/A</v>
      </c>
      <c r="G423" s="138" t="e">
        <f>IF(F423&gt;0,IF(F423=$K$421,IF(E423&gt;=0.6,"Vo.Bo.","No Vo.Bo."),IF(F423=U421,IF(E423&gt;0.5,"Vo.Bo.","No Vo.Bo."),"")),"")</f>
        <v>#N/A</v>
      </c>
      <c r="R423" s="94"/>
    </row>
    <row r="424" spans="1:21" hidden="1">
      <c r="D424" s="112" t="e">
        <f>VLOOKUP(B409,Directorio!$A$4:$V$23,17,FALSE)</f>
        <v>#N/A</v>
      </c>
      <c r="E424" s="113" t="e">
        <f>VLOOKUP(B409,Directorio!$A$4:$V$23,18,FALSE)</f>
        <v>#N/A</v>
      </c>
      <c r="F424" s="114" t="e">
        <f>S421</f>
        <v>#N/A</v>
      </c>
      <c r="G424" s="138" t="e">
        <f>IF(F424&gt;0,IF(F424=K$421,IF(E424&gt;=0.6,"Vo.Bo.","No Vo.Bo."),IF(F424=U$421,IF(E424&gt;0.5,"Vo.Bo.","No Vo.Bo."),"")),"")</f>
        <v>#N/A</v>
      </c>
      <c r="R424" s="94"/>
    </row>
    <row r="425" spans="1:21" hidden="1">
      <c r="D425" s="112" t="e">
        <f>VLOOKUP(B409,Directorio!$A$4:$V$23,20,FALSE)</f>
        <v>#N/A</v>
      </c>
      <c r="E425" s="113" t="e">
        <f>VLOOKUP(B409,Directorio!$A$4:$V$23,21,FALSE)</f>
        <v>#N/A</v>
      </c>
      <c r="F425" s="114" t="e">
        <f>T421</f>
        <v>#N/A</v>
      </c>
      <c r="G425" s="138" t="e">
        <f>IF(F425&gt;0,IF(F425=K$421,IF(E425&gt;=0.6,"Vo.Bo.","No Vo.Bo."),IF(F425=U$421,IF(E425&gt;0.5,"Vo.Bo.","No Vo.Bo."),"")),"")</f>
        <v>#N/A</v>
      </c>
      <c r="R425" s="94"/>
    </row>
    <row r="426" spans="1:21" hidden="1">
      <c r="C426" s="115"/>
      <c r="G426" s="116">
        <f>COUNTIF(G423:G425,"Vo.Bo.")</f>
        <v>0</v>
      </c>
    </row>
    <row r="427" spans="1:21" ht="22.5" hidden="1" customHeight="1">
      <c r="A427" s="145" t="s">
        <v>6</v>
      </c>
      <c r="B427" s="146">
        <f>B409+1</f>
        <v>19</v>
      </c>
      <c r="C427" s="147" t="s">
        <v>122</v>
      </c>
      <c r="D427" s="304" t="e">
        <f>VLOOKUP(B427,Directorio!$A$4:$V$23,3,FALSE)</f>
        <v>#N/A</v>
      </c>
      <c r="E427" s="305"/>
      <c r="F427" s="305"/>
      <c r="G427" s="305"/>
      <c r="H427" s="306"/>
      <c r="I427" s="302" t="e">
        <f>VLOOKUP(B427,Directorio!$A$4:$V$23,4,FALSE)</f>
        <v>#N/A</v>
      </c>
      <c r="J427" s="303"/>
      <c r="K427" s="303"/>
      <c r="L427" s="303"/>
      <c r="M427" s="303"/>
      <c r="N427" s="303"/>
      <c r="O427" s="303"/>
      <c r="P427" s="231"/>
      <c r="Q427" s="85"/>
      <c r="R427" s="94" t="s">
        <v>69</v>
      </c>
      <c r="S427" s="87" t="s">
        <v>70</v>
      </c>
      <c r="T427" s="87" t="s">
        <v>71</v>
      </c>
    </row>
    <row r="428" spans="1:21" ht="25.5" hidden="1">
      <c r="A428" s="97" t="s">
        <v>5</v>
      </c>
      <c r="B428" s="97" t="s">
        <v>27</v>
      </c>
      <c r="C428" s="97" t="s">
        <v>36</v>
      </c>
      <c r="D428" s="97" t="s">
        <v>28</v>
      </c>
      <c r="E428" s="98" t="s">
        <v>29</v>
      </c>
      <c r="F428" s="97" t="s">
        <v>30</v>
      </c>
      <c r="G428" s="97" t="s">
        <v>31</v>
      </c>
      <c r="H428" s="97" t="s">
        <v>32</v>
      </c>
      <c r="I428" s="97" t="s">
        <v>33</v>
      </c>
      <c r="J428" s="97" t="s">
        <v>66</v>
      </c>
      <c r="K428" s="97" t="s">
        <v>34</v>
      </c>
      <c r="L428" s="97"/>
      <c r="M428" s="97"/>
      <c r="N428" s="97"/>
      <c r="O428" s="97" t="s">
        <v>35</v>
      </c>
      <c r="P428" s="217"/>
      <c r="Q428" s="85"/>
      <c r="R428" s="94" t="e">
        <f>D441</f>
        <v>#N/A</v>
      </c>
      <c r="S428" s="87" t="e">
        <f>D442</f>
        <v>#N/A</v>
      </c>
      <c r="T428" s="87" t="e">
        <f>D443</f>
        <v>#N/A</v>
      </c>
    </row>
    <row r="429" spans="1:21" hidden="1">
      <c r="A429" s="99"/>
      <c r="B429" s="100"/>
      <c r="C429" s="101"/>
      <c r="D429" s="45"/>
      <c r="E429" s="102"/>
      <c r="F429" s="91"/>
      <c r="G429" s="103"/>
      <c r="H429" s="104"/>
      <c r="I429" s="105">
        <f>IF(E429&gt;0,VLOOKUP(YEAR(E429),SMMLV!$A$9:$B$55,2,FALSE),0)</f>
        <v>0</v>
      </c>
      <c r="J429" s="106"/>
      <c r="K429" s="105">
        <f>IF(AND(E429&gt;=$F$6,H429&gt;0),H429/I429*J429,0)</f>
        <v>0</v>
      </c>
      <c r="L429" s="105"/>
      <c r="M429" s="105"/>
      <c r="N429" s="105"/>
      <c r="O429" s="44"/>
      <c r="P429" s="225"/>
      <c r="Q429" s="85"/>
      <c r="R429" s="107" t="e">
        <f>IF(C429=$R$428,K429,0)</f>
        <v>#N/A</v>
      </c>
      <c r="S429" s="107" t="e">
        <f>IF(C429=$S$428,K429,0)</f>
        <v>#N/A</v>
      </c>
      <c r="T429" s="107" t="e">
        <f>IF(C429=$T$428,K429,0)</f>
        <v>#N/A</v>
      </c>
    </row>
    <row r="430" spans="1:21" hidden="1">
      <c r="A430" s="108"/>
      <c r="B430" s="99"/>
      <c r="C430" s="101"/>
      <c r="D430" s="45"/>
      <c r="E430" s="102"/>
      <c r="F430" s="91"/>
      <c r="G430" s="103"/>
      <c r="H430" s="104"/>
      <c r="I430" s="105">
        <f>IF(E430&gt;0,VLOOKUP(YEAR(E430),SMMLV!$A$9:$B$55,2,FALSE),0)</f>
        <v>0</v>
      </c>
      <c r="J430" s="106"/>
      <c r="K430" s="105">
        <f t="shared" ref="K430:K438" si="78">IF(AND(E430&gt;=$F$6,H430&gt;0),H430/I430*J430,0)</f>
        <v>0</v>
      </c>
      <c r="L430" s="105"/>
      <c r="M430" s="105"/>
      <c r="N430" s="105"/>
      <c r="O430" s="44"/>
      <c r="P430" s="225"/>
      <c r="Q430" s="85"/>
      <c r="R430" s="107" t="e">
        <f t="shared" ref="R430:R438" si="79">IF(C430=$R$428,K430,0)</f>
        <v>#N/A</v>
      </c>
      <c r="S430" s="107" t="e">
        <f t="shared" ref="S430:S438" si="80">IF(C430=$S$428,K430,0)</f>
        <v>#N/A</v>
      </c>
      <c r="T430" s="107" t="e">
        <f t="shared" ref="T430:T438" si="81">IF(C430=$T$428,K430,0)</f>
        <v>#N/A</v>
      </c>
    </row>
    <row r="431" spans="1:21" hidden="1">
      <c r="A431" s="108"/>
      <c r="B431" s="99"/>
      <c r="C431" s="101"/>
      <c r="D431" s="45"/>
      <c r="E431" s="102"/>
      <c r="F431" s="91"/>
      <c r="G431" s="103"/>
      <c r="H431" s="104"/>
      <c r="I431" s="105">
        <f>IF(E431&gt;0,VLOOKUP(YEAR(E431),SMMLV!$A$9:$B$55,2,FALSE),0)</f>
        <v>0</v>
      </c>
      <c r="J431" s="106"/>
      <c r="K431" s="105">
        <f t="shared" si="78"/>
        <v>0</v>
      </c>
      <c r="L431" s="105"/>
      <c r="M431" s="105"/>
      <c r="N431" s="105"/>
      <c r="O431" s="44"/>
      <c r="P431" s="225"/>
      <c r="Q431" s="85"/>
      <c r="R431" s="107" t="e">
        <f t="shared" si="79"/>
        <v>#N/A</v>
      </c>
      <c r="S431" s="107" t="e">
        <f t="shared" si="80"/>
        <v>#N/A</v>
      </c>
      <c r="T431" s="107" t="e">
        <f t="shared" si="81"/>
        <v>#N/A</v>
      </c>
    </row>
    <row r="432" spans="1:21" hidden="1">
      <c r="A432" s="108"/>
      <c r="B432" s="99"/>
      <c r="C432" s="101"/>
      <c r="D432" s="45"/>
      <c r="E432" s="102"/>
      <c r="F432" s="91"/>
      <c r="G432" s="103"/>
      <c r="H432" s="104"/>
      <c r="I432" s="105">
        <f>IF(E432&gt;0,VLOOKUP(YEAR(E432),SMMLV!$A$9:$B$55,2,FALSE),0)</f>
        <v>0</v>
      </c>
      <c r="J432" s="106"/>
      <c r="K432" s="105">
        <f t="shared" si="78"/>
        <v>0</v>
      </c>
      <c r="L432" s="105"/>
      <c r="M432" s="105"/>
      <c r="N432" s="105"/>
      <c r="O432" s="44"/>
      <c r="P432" s="225"/>
      <c r="Q432" s="85"/>
      <c r="R432" s="107" t="e">
        <f t="shared" si="79"/>
        <v>#N/A</v>
      </c>
      <c r="S432" s="107" t="e">
        <f t="shared" si="80"/>
        <v>#N/A</v>
      </c>
      <c r="T432" s="107" t="e">
        <f t="shared" si="81"/>
        <v>#N/A</v>
      </c>
    </row>
    <row r="433" spans="1:21" hidden="1">
      <c r="A433" s="108"/>
      <c r="B433" s="99"/>
      <c r="C433" s="101"/>
      <c r="D433" s="45"/>
      <c r="E433" s="102"/>
      <c r="F433" s="91"/>
      <c r="G433" s="103"/>
      <c r="H433" s="104"/>
      <c r="I433" s="105">
        <f>IF(E433&gt;0,VLOOKUP(YEAR(E433),SMMLV!$A$9:$B$55,2,FALSE),0)</f>
        <v>0</v>
      </c>
      <c r="J433" s="106"/>
      <c r="K433" s="105">
        <f t="shared" si="78"/>
        <v>0</v>
      </c>
      <c r="L433" s="105"/>
      <c r="M433" s="105"/>
      <c r="N433" s="105"/>
      <c r="O433" s="44"/>
      <c r="P433" s="225"/>
      <c r="Q433" s="85"/>
      <c r="R433" s="107" t="e">
        <f t="shared" si="79"/>
        <v>#N/A</v>
      </c>
      <c r="S433" s="107" t="e">
        <f t="shared" si="80"/>
        <v>#N/A</v>
      </c>
      <c r="T433" s="107" t="e">
        <f t="shared" si="81"/>
        <v>#N/A</v>
      </c>
    </row>
    <row r="434" spans="1:21" hidden="1">
      <c r="A434" s="108"/>
      <c r="B434" s="99"/>
      <c r="C434" s="101"/>
      <c r="D434" s="45"/>
      <c r="E434" s="102"/>
      <c r="F434" s="91"/>
      <c r="G434" s="103"/>
      <c r="H434" s="104"/>
      <c r="I434" s="105">
        <f>IF(E434&gt;0,VLOOKUP(YEAR(E434),SMMLV!$A$9:$B$55,2,FALSE),0)</f>
        <v>0</v>
      </c>
      <c r="J434" s="106"/>
      <c r="K434" s="105">
        <f t="shared" si="78"/>
        <v>0</v>
      </c>
      <c r="L434" s="105"/>
      <c r="M434" s="105"/>
      <c r="N434" s="105"/>
      <c r="O434" s="44"/>
      <c r="P434" s="225"/>
      <c r="Q434" s="85"/>
      <c r="R434" s="107" t="e">
        <f t="shared" si="79"/>
        <v>#N/A</v>
      </c>
      <c r="S434" s="107" t="e">
        <f t="shared" si="80"/>
        <v>#N/A</v>
      </c>
      <c r="T434" s="107" t="e">
        <f t="shared" si="81"/>
        <v>#N/A</v>
      </c>
    </row>
    <row r="435" spans="1:21" hidden="1">
      <c r="A435" s="108"/>
      <c r="B435" s="99"/>
      <c r="C435" s="101"/>
      <c r="D435" s="45"/>
      <c r="E435" s="102"/>
      <c r="F435" s="91"/>
      <c r="G435" s="103"/>
      <c r="H435" s="104"/>
      <c r="I435" s="105">
        <f>IF(E435&gt;0,VLOOKUP(YEAR(E435),SMMLV!$A$9:$B$55,2,FALSE),0)</f>
        <v>0</v>
      </c>
      <c r="J435" s="106"/>
      <c r="K435" s="105">
        <f t="shared" si="78"/>
        <v>0</v>
      </c>
      <c r="L435" s="105"/>
      <c r="M435" s="105"/>
      <c r="N435" s="105"/>
      <c r="O435" s="44"/>
      <c r="P435" s="225"/>
      <c r="Q435" s="85"/>
      <c r="R435" s="107" t="e">
        <f t="shared" si="79"/>
        <v>#N/A</v>
      </c>
      <c r="S435" s="107" t="e">
        <f t="shared" si="80"/>
        <v>#N/A</v>
      </c>
      <c r="T435" s="107" t="e">
        <f t="shared" si="81"/>
        <v>#N/A</v>
      </c>
    </row>
    <row r="436" spans="1:21" hidden="1">
      <c r="A436" s="108"/>
      <c r="B436" s="99"/>
      <c r="C436" s="101"/>
      <c r="D436" s="45"/>
      <c r="E436" s="102"/>
      <c r="F436" s="91"/>
      <c r="G436" s="103"/>
      <c r="H436" s="104"/>
      <c r="I436" s="105">
        <f>IF(E436&gt;0,VLOOKUP(YEAR(E436),SMMLV!$A$9:$B$55,2,FALSE),0)</f>
        <v>0</v>
      </c>
      <c r="J436" s="106"/>
      <c r="K436" s="105">
        <f t="shared" si="78"/>
        <v>0</v>
      </c>
      <c r="L436" s="105"/>
      <c r="M436" s="105"/>
      <c r="N436" s="105"/>
      <c r="O436" s="44"/>
      <c r="P436" s="225"/>
      <c r="Q436" s="85"/>
      <c r="R436" s="107" t="e">
        <f t="shared" si="79"/>
        <v>#N/A</v>
      </c>
      <c r="S436" s="107" t="e">
        <f t="shared" si="80"/>
        <v>#N/A</v>
      </c>
      <c r="T436" s="107" t="e">
        <f t="shared" si="81"/>
        <v>#N/A</v>
      </c>
    </row>
    <row r="437" spans="1:21" hidden="1">
      <c r="A437" s="108"/>
      <c r="B437" s="99"/>
      <c r="C437" s="101"/>
      <c r="D437" s="45"/>
      <c r="E437" s="102"/>
      <c r="F437" s="91"/>
      <c r="G437" s="103"/>
      <c r="H437" s="104"/>
      <c r="I437" s="105">
        <f>IF(E437&gt;0,VLOOKUP(YEAR(E437),SMMLV!$A$9:$B$55,2,FALSE),0)</f>
        <v>0</v>
      </c>
      <c r="J437" s="106"/>
      <c r="K437" s="105">
        <f t="shared" si="78"/>
        <v>0</v>
      </c>
      <c r="L437" s="105"/>
      <c r="M437" s="105"/>
      <c r="N437" s="105"/>
      <c r="O437" s="44"/>
      <c r="P437" s="225"/>
      <c r="Q437" s="85"/>
      <c r="R437" s="107" t="e">
        <f t="shared" si="79"/>
        <v>#N/A</v>
      </c>
      <c r="S437" s="107" t="e">
        <f t="shared" si="80"/>
        <v>#N/A</v>
      </c>
      <c r="T437" s="107" t="e">
        <f t="shared" si="81"/>
        <v>#N/A</v>
      </c>
    </row>
    <row r="438" spans="1:21" hidden="1">
      <c r="A438" s="108"/>
      <c r="B438" s="99"/>
      <c r="C438" s="101"/>
      <c r="D438" s="45"/>
      <c r="E438" s="102"/>
      <c r="F438" s="91"/>
      <c r="G438" s="103"/>
      <c r="H438" s="104"/>
      <c r="I438" s="105">
        <f>IF(E438&gt;0,VLOOKUP(YEAR(E438),SMMLV!$A$9:$B$55,2,FALSE),0)</f>
        <v>0</v>
      </c>
      <c r="J438" s="106"/>
      <c r="K438" s="105">
        <f t="shared" si="78"/>
        <v>0</v>
      </c>
      <c r="L438" s="105"/>
      <c r="M438" s="105"/>
      <c r="N438" s="105"/>
      <c r="O438" s="44"/>
      <c r="P438" s="225"/>
      <c r="Q438" s="85"/>
      <c r="R438" s="107" t="e">
        <f t="shared" si="79"/>
        <v>#N/A</v>
      </c>
      <c r="S438" s="107" t="e">
        <f t="shared" si="80"/>
        <v>#N/A</v>
      </c>
      <c r="T438" s="107" t="e">
        <f t="shared" si="81"/>
        <v>#N/A</v>
      </c>
    </row>
    <row r="439" spans="1:21" hidden="1">
      <c r="A439" s="289"/>
      <c r="B439" s="289"/>
      <c r="C439" s="289"/>
      <c r="D439" s="289"/>
      <c r="E439" s="289"/>
      <c r="F439" s="289"/>
      <c r="G439" s="289"/>
      <c r="H439" s="289"/>
      <c r="I439" s="289"/>
      <c r="J439" s="96"/>
      <c r="K439" s="109">
        <f>SUM(K429:K438)</f>
        <v>0</v>
      </c>
      <c r="L439" s="109"/>
      <c r="M439" s="109"/>
      <c r="N439" s="109"/>
      <c r="O439" s="90"/>
      <c r="P439" s="217"/>
      <c r="R439" s="107" t="e">
        <f>SUM(R429:R438)</f>
        <v>#N/A</v>
      </c>
      <c r="S439" s="107" t="e">
        <f>SUM(S429:S438)</f>
        <v>#N/A</v>
      </c>
      <c r="T439" s="107" t="e">
        <f>SUM(T429:T438)</f>
        <v>#N/A</v>
      </c>
      <c r="U439" s="110" t="e">
        <f>MAX(R439:T439)</f>
        <v>#N/A</v>
      </c>
    </row>
    <row r="440" spans="1:21" hidden="1">
      <c r="H440" s="89"/>
      <c r="I440" s="89"/>
      <c r="J440" s="89"/>
      <c r="K440" s="111" t="str">
        <f>IF(AND(K439&gt;=$G$6,G444&gt;0),"CUMPLE", "NO CUMPLE ")</f>
        <v xml:space="preserve">NO CUMPLE </v>
      </c>
      <c r="L440" s="202"/>
      <c r="M440" s="202"/>
      <c r="N440" s="202"/>
      <c r="R440" s="94"/>
    </row>
    <row r="441" spans="1:21" hidden="1">
      <c r="D441" s="112" t="e">
        <f>VLOOKUP(B427,Directorio!$A$4:$V$23,14,FALSE)</f>
        <v>#N/A</v>
      </c>
      <c r="E441" s="113" t="e">
        <f>VLOOKUP(B427,Directorio!$A$4:$V$23,15,FALSE)</f>
        <v>#N/A</v>
      </c>
      <c r="F441" s="114" t="e">
        <f>R439</f>
        <v>#N/A</v>
      </c>
      <c r="G441" s="138" t="e">
        <f>IF(F441&gt;0,IF(F441=K$439,IF(E441&gt;=0.6,"Vo.Bo.","No Vo.Bo."),IF(F441=U$439,IF(E441&gt;0.5,"Vo.Bo.","No Vo.Bo."),"")),"")</f>
        <v>#N/A</v>
      </c>
      <c r="R441" s="94"/>
    </row>
    <row r="442" spans="1:21" hidden="1">
      <c r="D442" s="112" t="e">
        <f>VLOOKUP(B427,Directorio!$A$4:$V$23,17,FALSE)</f>
        <v>#N/A</v>
      </c>
      <c r="E442" s="113" t="e">
        <f>VLOOKUP(B427,Directorio!$A$4:$V$23,18,FALSE)</f>
        <v>#N/A</v>
      </c>
      <c r="F442" s="114" t="e">
        <f>S439</f>
        <v>#N/A</v>
      </c>
      <c r="G442" s="138" t="e">
        <f>IF(F442&gt;0,IF(F442=K$439,IF(E442&gt;=0.6,"Vo.Bo.","No Vo.Bo."),IF(F442=U$439,IF(E442&gt;0.5,"Vo.Bo.","No Vo.Bo."),"")),"")</f>
        <v>#N/A</v>
      </c>
      <c r="R442" s="94"/>
    </row>
    <row r="443" spans="1:21" hidden="1">
      <c r="D443" s="112" t="e">
        <f>VLOOKUP(B427,Directorio!$A$4:$V$23,20,FALSE)</f>
        <v>#N/A</v>
      </c>
      <c r="E443" s="113" t="e">
        <f>VLOOKUP(B427,Directorio!$A$4:$V$23,21,FALSE)</f>
        <v>#N/A</v>
      </c>
      <c r="F443" s="114" t="e">
        <f>T439</f>
        <v>#N/A</v>
      </c>
      <c r="G443" s="138" t="e">
        <f>IF(F443&gt;0,IF(F443=K$439,IF(E443&gt;=0.6,"Vo.Bo.","No Vo.Bo."),IF(F443=U$439,IF(E443&gt;0.5,"Vo.Bo.","No Vo.Bo."),"")),"")</f>
        <v>#N/A</v>
      </c>
      <c r="R443" s="94"/>
    </row>
    <row r="444" spans="1:21" hidden="1">
      <c r="C444" s="115"/>
      <c r="G444" s="116">
        <f>COUNTIF(G441:G443,"Vo.Bo.")</f>
        <v>0</v>
      </c>
    </row>
  </sheetData>
  <sheetProtection selectLockedCells="1" selectUnlockedCells="1"/>
  <mergeCells count="98">
    <mergeCell ref="A149:A152"/>
    <mergeCell ref="N149:N152"/>
    <mergeCell ref="A211:I211"/>
    <mergeCell ref="I147:O147"/>
    <mergeCell ref="D147:H147"/>
    <mergeCell ref="A191:I191"/>
    <mergeCell ref="I174:O174"/>
    <mergeCell ref="A178:I178"/>
    <mergeCell ref="I199:O199"/>
    <mergeCell ref="D199:H199"/>
    <mergeCell ref="D174:H174"/>
    <mergeCell ref="A184:O184"/>
    <mergeCell ref="N176:N177"/>
    <mergeCell ref="A176:A177"/>
    <mergeCell ref="A87:I87"/>
    <mergeCell ref="I108:O108"/>
    <mergeCell ref="D108:H108"/>
    <mergeCell ref="I135:O135"/>
    <mergeCell ref="A141:I141"/>
    <mergeCell ref="D135:H135"/>
    <mergeCell ref="A93:O93"/>
    <mergeCell ref="A100:I100"/>
    <mergeCell ref="A120:O120"/>
    <mergeCell ref="A110:A113"/>
    <mergeCell ref="N110:N113"/>
    <mergeCell ref="N137:N140"/>
    <mergeCell ref="A137:A140"/>
    <mergeCell ref="A1:O1"/>
    <mergeCell ref="A3:O3"/>
    <mergeCell ref="A2:O2"/>
    <mergeCell ref="A5:D5"/>
    <mergeCell ref="A6:D6"/>
    <mergeCell ref="I5:O5"/>
    <mergeCell ref="I6:O6"/>
    <mergeCell ref="I9:O9"/>
    <mergeCell ref="I36:O36"/>
    <mergeCell ref="D36:H36"/>
    <mergeCell ref="D9:H9"/>
    <mergeCell ref="A15:I15"/>
    <mergeCell ref="A21:O21"/>
    <mergeCell ref="A28:I28"/>
    <mergeCell ref="A11:A14"/>
    <mergeCell ref="N11:N13"/>
    <mergeCell ref="O11:O13"/>
    <mergeCell ref="I232:O232"/>
    <mergeCell ref="D232:H232"/>
    <mergeCell ref="A217:O217"/>
    <mergeCell ref="A224:I224"/>
    <mergeCell ref="A250:O250"/>
    <mergeCell ref="A244:I244"/>
    <mergeCell ref="I265:O265"/>
    <mergeCell ref="A277:I277"/>
    <mergeCell ref="I283:O283"/>
    <mergeCell ref="A257:I257"/>
    <mergeCell ref="D265:H265"/>
    <mergeCell ref="D337:H337"/>
    <mergeCell ref="D319:H319"/>
    <mergeCell ref="D391:H391"/>
    <mergeCell ref="I391:O391"/>
    <mergeCell ref="A439:I439"/>
    <mergeCell ref="A403:I403"/>
    <mergeCell ref="D409:H409"/>
    <mergeCell ref="I409:O409"/>
    <mergeCell ref="A421:I421"/>
    <mergeCell ref="D427:H427"/>
    <mergeCell ref="I427:O427"/>
    <mergeCell ref="N82:N86"/>
    <mergeCell ref="A385:I385"/>
    <mergeCell ref="I337:O337"/>
    <mergeCell ref="A349:I349"/>
    <mergeCell ref="D355:H355"/>
    <mergeCell ref="I355:O355"/>
    <mergeCell ref="D301:H301"/>
    <mergeCell ref="D283:H283"/>
    <mergeCell ref="A367:I367"/>
    <mergeCell ref="D373:H373"/>
    <mergeCell ref="I373:O373"/>
    <mergeCell ref="A295:I295"/>
    <mergeCell ref="I301:O301"/>
    <mergeCell ref="A313:I313"/>
    <mergeCell ref="I319:O319"/>
    <mergeCell ref="A331:I331"/>
    <mergeCell ref="O82:O84"/>
    <mergeCell ref="N38:N42"/>
    <mergeCell ref="A127:I127"/>
    <mergeCell ref="A159:O159"/>
    <mergeCell ref="A166:I166"/>
    <mergeCell ref="A43:I43"/>
    <mergeCell ref="I80:O80"/>
    <mergeCell ref="D80:H80"/>
    <mergeCell ref="A72:I72"/>
    <mergeCell ref="A65:O65"/>
    <mergeCell ref="A49:O49"/>
    <mergeCell ref="A56:I56"/>
    <mergeCell ref="A114:I114"/>
    <mergeCell ref="A153:I153"/>
    <mergeCell ref="A38:A42"/>
    <mergeCell ref="A82:A86"/>
  </mergeCells>
  <phoneticPr fontId="0" type="noConversion"/>
  <conditionalFormatting sqref="H66:I71 H176:I177 H201:I210 H234:I243 H267:I276 H285:I294 H303:I312 H321:I330 H22:I27 H50:I55 I11:I13 H38:I42 H82:I86 H110:I113 H137:I140 H149:I152">
    <cfRule type="cellIs" priority="1803" stopIfTrue="1" operator="greaterThan">
      <formula>0</formula>
    </cfRule>
    <cfRule type="cellIs" dxfId="273" priority="1804" stopIfTrue="1" operator="equal">
      <formula>0</formula>
    </cfRule>
  </conditionalFormatting>
  <conditionalFormatting sqref="O110:P113 O176:P177 O201:P210 O234:P243 O267:P276 O285:P294 O303:P312 O321:P330 O66:P71 O50:P55 O22:P27 O149:P152 O11:P11 O82:P82 O137:P140 O14:P14 P12:P13 O85:P86 P83:P84">
    <cfRule type="containsText" dxfId="272" priority="956" operator="containsText" text="ACLARAR">
      <formula>NOT(ISERROR(SEARCH("ACLARAR",O11)))</formula>
    </cfRule>
    <cfRule type="containsText" dxfId="271" priority="957" operator="containsText" text="NO CUMPLE">
      <formula>NOT(ISERROR(SEARCH("NO CUMPLE",O11)))</formula>
    </cfRule>
  </conditionalFormatting>
  <conditionalFormatting sqref="E66:E71 E201:E210 E234:E243 E267:E276 E285:E294 E303:E312 E321:E330 E11:E13 E22:E27 E50:E55 E38:E42 E82:E86 E137:E140 E149:E152 E176:E177 E110:E113">
    <cfRule type="cellIs" dxfId="270" priority="837" operator="lessThan">
      <formula>$F$6</formula>
    </cfRule>
  </conditionalFormatting>
  <conditionalFormatting sqref="G315:G317 G333:G335 G297:G299 G279:G281 G246:G248 G213:G215 G180:G182 G155:G157 G143:G145 G116:G118 G89:G91 G45:G47 G49:G63 G77 G17:G19">
    <cfRule type="beginsWith" dxfId="269" priority="641" operator="beginsWith" text="Vo">
      <formula>LEFT(G17,2)="Vo"</formula>
    </cfRule>
    <cfRule type="beginsWith" dxfId="268" priority="643" operator="beginsWith" text="No">
      <formula>LEFT(G17,2)="No"</formula>
    </cfRule>
  </conditionalFormatting>
  <conditionalFormatting sqref="G90:G91 G117:G118 G144:G145 G156:G157 G181:G182 G214:G215 G247:G248 G280:G281 G298:G299 G316:G317 G334:G335 G46:G47 G49:G63 G77 G17:G19">
    <cfRule type="containsText" dxfId="267" priority="642" operator="containsText" text="No Vo.Bo.">
      <formula>NOT(ISERROR(SEARCH("No Vo.Bo.",G17)))</formula>
    </cfRule>
  </conditionalFormatting>
  <conditionalFormatting sqref="G90:G91 G117:G118 G144:G145 G156:G157 G181:G182 G214:G215 G247:G248 G280:G281 G298:G299 G316:G317 G334:G335 G46:G47 G49:G63 G77 G17:G19">
    <cfRule type="containsText" dxfId="266" priority="639" operator="containsText" text="Vo.Bo.">
      <formula>NOT(ISERROR(SEARCH("Vo.Bo.",G17)))</formula>
    </cfRule>
    <cfRule type="containsText" dxfId="265" priority="640" operator="containsText" text="No Vo.Bo.">
      <formula>NOT(ISERROR(SEARCH("No Vo.Bo.",G17)))</formula>
    </cfRule>
  </conditionalFormatting>
  <conditionalFormatting sqref="H339:H348">
    <cfRule type="cellIs" priority="479" stopIfTrue="1" operator="greaterThan">
      <formula>0</formula>
    </cfRule>
    <cfRule type="cellIs" dxfId="264" priority="480" stopIfTrue="1" operator="equal">
      <formula>0</formula>
    </cfRule>
  </conditionalFormatting>
  <conditionalFormatting sqref="O339:P348">
    <cfRule type="containsText" dxfId="263" priority="477" operator="containsText" text="ACLARAR">
      <formula>NOT(ISERROR(SEARCH("ACLARAR",O339)))</formula>
    </cfRule>
    <cfRule type="containsText" dxfId="262" priority="478" operator="containsText" text="NO CUMPLE">
      <formula>NOT(ISERROR(SEARCH("NO CUMPLE",O339)))</formula>
    </cfRule>
  </conditionalFormatting>
  <conditionalFormatting sqref="E339:E348">
    <cfRule type="cellIs" dxfId="261" priority="476" operator="lessThan">
      <formula>$F$6</formula>
    </cfRule>
  </conditionalFormatting>
  <conditionalFormatting sqref="G351:G353">
    <cfRule type="beginsWith" dxfId="260" priority="474" operator="beginsWith" text="Vo">
      <formula>LEFT(G351,2)="Vo"</formula>
    </cfRule>
    <cfRule type="beginsWith" dxfId="259" priority="475" operator="beginsWith" text="No">
      <formula>LEFT(G351,2)="No"</formula>
    </cfRule>
  </conditionalFormatting>
  <conditionalFormatting sqref="G352:G353">
    <cfRule type="containsText" dxfId="258" priority="473" operator="containsText" text="No Vo.Bo.">
      <formula>NOT(ISERROR(SEARCH("No Vo.Bo.",G352)))</formula>
    </cfRule>
  </conditionalFormatting>
  <conditionalFormatting sqref="G352:G353">
    <cfRule type="containsText" dxfId="257" priority="471" operator="containsText" text="Vo.Bo.">
      <formula>NOT(ISERROR(SEARCH("Vo.Bo.",G352)))</formula>
    </cfRule>
    <cfRule type="containsText" dxfId="256" priority="472" operator="containsText" text="No Vo.Bo.">
      <formula>NOT(ISERROR(SEARCH("No Vo.Bo.",G352)))</formula>
    </cfRule>
  </conditionalFormatting>
  <conditionalFormatting sqref="H357:H366">
    <cfRule type="cellIs" priority="469" stopIfTrue="1" operator="greaterThan">
      <formula>0</formula>
    </cfRule>
    <cfRule type="cellIs" dxfId="255" priority="470" stopIfTrue="1" operator="equal">
      <formula>0</formula>
    </cfRule>
  </conditionalFormatting>
  <conditionalFormatting sqref="O357:P366">
    <cfRule type="containsText" dxfId="254" priority="467" operator="containsText" text="ACLARAR">
      <formula>NOT(ISERROR(SEARCH("ACLARAR",O357)))</formula>
    </cfRule>
    <cfRule type="containsText" dxfId="253" priority="468" operator="containsText" text="NO CUMPLE">
      <formula>NOT(ISERROR(SEARCH("NO CUMPLE",O357)))</formula>
    </cfRule>
  </conditionalFormatting>
  <conditionalFormatting sqref="E357:E366">
    <cfRule type="cellIs" dxfId="252" priority="466" operator="lessThan">
      <formula>$F$6</formula>
    </cfRule>
  </conditionalFormatting>
  <conditionalFormatting sqref="G369:G371">
    <cfRule type="beginsWith" dxfId="251" priority="464" operator="beginsWith" text="Vo">
      <formula>LEFT(G369,2)="Vo"</formula>
    </cfRule>
    <cfRule type="beginsWith" dxfId="250" priority="465" operator="beginsWith" text="No">
      <formula>LEFT(G369,2)="No"</formula>
    </cfRule>
  </conditionalFormatting>
  <conditionalFormatting sqref="G370:G371">
    <cfRule type="containsText" dxfId="249" priority="463" operator="containsText" text="No Vo.Bo.">
      <formula>NOT(ISERROR(SEARCH("No Vo.Bo.",G370)))</formula>
    </cfRule>
  </conditionalFormatting>
  <conditionalFormatting sqref="G370:G371">
    <cfRule type="containsText" dxfId="248" priority="461" operator="containsText" text="Vo.Bo.">
      <formula>NOT(ISERROR(SEARCH("Vo.Bo.",G370)))</formula>
    </cfRule>
    <cfRule type="containsText" dxfId="247" priority="462" operator="containsText" text="No Vo.Bo.">
      <formula>NOT(ISERROR(SEARCH("No Vo.Bo.",G370)))</formula>
    </cfRule>
  </conditionalFormatting>
  <conditionalFormatting sqref="H375:H384">
    <cfRule type="cellIs" priority="459" stopIfTrue="1" operator="greaterThan">
      <formula>0</formula>
    </cfRule>
    <cfRule type="cellIs" dxfId="246" priority="460" stopIfTrue="1" operator="equal">
      <formula>0</formula>
    </cfRule>
  </conditionalFormatting>
  <conditionalFormatting sqref="O375:P384">
    <cfRule type="containsText" dxfId="245" priority="457" operator="containsText" text="ACLARAR">
      <formula>NOT(ISERROR(SEARCH("ACLARAR",O375)))</formula>
    </cfRule>
    <cfRule type="containsText" dxfId="244" priority="458" operator="containsText" text="NO CUMPLE">
      <formula>NOT(ISERROR(SEARCH("NO CUMPLE",O375)))</formula>
    </cfRule>
  </conditionalFormatting>
  <conditionalFormatting sqref="E375:E384">
    <cfRule type="cellIs" dxfId="243" priority="456" operator="lessThan">
      <formula>$F$6</formula>
    </cfRule>
  </conditionalFormatting>
  <conditionalFormatting sqref="G387:G389">
    <cfRule type="beginsWith" dxfId="242" priority="454" operator="beginsWith" text="Vo">
      <formula>LEFT(G387,2)="Vo"</formula>
    </cfRule>
    <cfRule type="beginsWith" dxfId="241" priority="455" operator="beginsWith" text="No">
      <formula>LEFT(G387,2)="No"</formula>
    </cfRule>
  </conditionalFormatting>
  <conditionalFormatting sqref="G388:G389">
    <cfRule type="containsText" dxfId="240" priority="453" operator="containsText" text="No Vo.Bo.">
      <formula>NOT(ISERROR(SEARCH("No Vo.Bo.",G388)))</formula>
    </cfRule>
  </conditionalFormatting>
  <conditionalFormatting sqref="G388:G389">
    <cfRule type="containsText" dxfId="239" priority="451" operator="containsText" text="Vo.Bo.">
      <formula>NOT(ISERROR(SEARCH("Vo.Bo.",G388)))</formula>
    </cfRule>
    <cfRule type="containsText" dxfId="238" priority="452" operator="containsText" text="No Vo.Bo.">
      <formula>NOT(ISERROR(SEARCH("No Vo.Bo.",G388)))</formula>
    </cfRule>
  </conditionalFormatting>
  <conditionalFormatting sqref="H393:H402">
    <cfRule type="cellIs" priority="449" stopIfTrue="1" operator="greaterThan">
      <formula>0</formula>
    </cfRule>
    <cfRule type="cellIs" dxfId="237" priority="450" stopIfTrue="1" operator="equal">
      <formula>0</formula>
    </cfRule>
  </conditionalFormatting>
  <conditionalFormatting sqref="O393:P402">
    <cfRule type="containsText" dxfId="236" priority="447" operator="containsText" text="ACLARAR">
      <formula>NOT(ISERROR(SEARCH("ACLARAR",O393)))</formula>
    </cfRule>
    <cfRule type="containsText" dxfId="235" priority="448" operator="containsText" text="NO CUMPLE">
      <formula>NOT(ISERROR(SEARCH("NO CUMPLE",O393)))</formula>
    </cfRule>
  </conditionalFormatting>
  <conditionalFormatting sqref="E393:E402">
    <cfRule type="cellIs" dxfId="234" priority="446" operator="lessThan">
      <formula>$F$6</formula>
    </cfRule>
  </conditionalFormatting>
  <conditionalFormatting sqref="G405:G407">
    <cfRule type="beginsWith" dxfId="233" priority="444" operator="beginsWith" text="Vo">
      <formula>LEFT(G405,2)="Vo"</formula>
    </cfRule>
    <cfRule type="beginsWith" dxfId="232" priority="445" operator="beginsWith" text="No">
      <formula>LEFT(G405,2)="No"</formula>
    </cfRule>
  </conditionalFormatting>
  <conditionalFormatting sqref="G406:G407">
    <cfRule type="containsText" dxfId="231" priority="443" operator="containsText" text="No Vo.Bo.">
      <formula>NOT(ISERROR(SEARCH("No Vo.Bo.",G406)))</formula>
    </cfRule>
  </conditionalFormatting>
  <conditionalFormatting sqref="G406:G407">
    <cfRule type="containsText" dxfId="230" priority="441" operator="containsText" text="Vo.Bo.">
      <formula>NOT(ISERROR(SEARCH("Vo.Bo.",G406)))</formula>
    </cfRule>
    <cfRule type="containsText" dxfId="229" priority="442" operator="containsText" text="No Vo.Bo.">
      <formula>NOT(ISERROR(SEARCH("No Vo.Bo.",G406)))</formula>
    </cfRule>
  </conditionalFormatting>
  <conditionalFormatting sqref="H411:H420">
    <cfRule type="cellIs" priority="439" stopIfTrue="1" operator="greaterThan">
      <formula>0</formula>
    </cfRule>
    <cfRule type="cellIs" dxfId="228" priority="440" stopIfTrue="1" operator="equal">
      <formula>0</formula>
    </cfRule>
  </conditionalFormatting>
  <conditionalFormatting sqref="O411:P420">
    <cfRule type="containsText" dxfId="227" priority="437" operator="containsText" text="ACLARAR">
      <formula>NOT(ISERROR(SEARCH("ACLARAR",O411)))</formula>
    </cfRule>
    <cfRule type="containsText" dxfId="226" priority="438" operator="containsText" text="NO CUMPLE">
      <formula>NOT(ISERROR(SEARCH("NO CUMPLE",O411)))</formula>
    </cfRule>
  </conditionalFormatting>
  <conditionalFormatting sqref="E411:E420">
    <cfRule type="cellIs" dxfId="225" priority="436" operator="lessThan">
      <formula>$F$6</formula>
    </cfRule>
  </conditionalFormatting>
  <conditionalFormatting sqref="H429:H438">
    <cfRule type="cellIs" priority="429" stopIfTrue="1" operator="greaterThan">
      <formula>0</formula>
    </cfRule>
    <cfRule type="cellIs" dxfId="224" priority="430" stopIfTrue="1" operator="equal">
      <formula>0</formula>
    </cfRule>
  </conditionalFormatting>
  <conditionalFormatting sqref="O429:P438">
    <cfRule type="containsText" dxfId="223" priority="427" operator="containsText" text="ACLARAR">
      <formula>NOT(ISERROR(SEARCH("ACLARAR",O429)))</formula>
    </cfRule>
    <cfRule type="containsText" dxfId="222" priority="428" operator="containsText" text="NO CUMPLE">
      <formula>NOT(ISERROR(SEARCH("NO CUMPLE",O429)))</formula>
    </cfRule>
  </conditionalFormatting>
  <conditionalFormatting sqref="E429:E438">
    <cfRule type="cellIs" dxfId="221" priority="426" operator="lessThan">
      <formula>$F$6</formula>
    </cfRule>
  </conditionalFormatting>
  <conditionalFormatting sqref="H339:H348">
    <cfRule type="cellIs" priority="419" stopIfTrue="1" operator="greaterThan">
      <formula>0</formula>
    </cfRule>
    <cfRule type="cellIs" dxfId="220" priority="420" stopIfTrue="1" operator="equal">
      <formula>0</formula>
    </cfRule>
  </conditionalFormatting>
  <conditionalFormatting sqref="O339:P348">
    <cfRule type="containsText" dxfId="219" priority="417" operator="containsText" text="ACLARAR">
      <formula>NOT(ISERROR(SEARCH("ACLARAR",O339)))</formula>
    </cfRule>
    <cfRule type="containsText" dxfId="218" priority="418" operator="containsText" text="NO CUMPLE">
      <formula>NOT(ISERROR(SEARCH("NO CUMPLE",O339)))</formula>
    </cfRule>
  </conditionalFormatting>
  <conditionalFormatting sqref="E339:E348">
    <cfRule type="cellIs" dxfId="217" priority="416" operator="lessThan">
      <formula>$F$6</formula>
    </cfRule>
  </conditionalFormatting>
  <conditionalFormatting sqref="G351:G353">
    <cfRule type="beginsWith" dxfId="216" priority="414" operator="beginsWith" text="Vo">
      <formula>LEFT(G351,2)="Vo"</formula>
    </cfRule>
    <cfRule type="beginsWith" dxfId="215" priority="415" operator="beginsWith" text="No">
      <formula>LEFT(G351,2)="No"</formula>
    </cfRule>
  </conditionalFormatting>
  <conditionalFormatting sqref="G352:G353">
    <cfRule type="containsText" dxfId="214" priority="413" operator="containsText" text="No Vo.Bo.">
      <formula>NOT(ISERROR(SEARCH("No Vo.Bo.",G352)))</formula>
    </cfRule>
  </conditionalFormatting>
  <conditionalFormatting sqref="G352:G353">
    <cfRule type="containsText" dxfId="213" priority="411" operator="containsText" text="Vo.Bo.">
      <formula>NOT(ISERROR(SEARCH("Vo.Bo.",G352)))</formula>
    </cfRule>
    <cfRule type="containsText" dxfId="212" priority="412" operator="containsText" text="No Vo.Bo.">
      <formula>NOT(ISERROR(SEARCH("No Vo.Bo.",G352)))</formula>
    </cfRule>
  </conditionalFormatting>
  <conditionalFormatting sqref="H357:H366">
    <cfRule type="cellIs" priority="409" stopIfTrue="1" operator="greaterThan">
      <formula>0</formula>
    </cfRule>
    <cfRule type="cellIs" dxfId="211" priority="410" stopIfTrue="1" operator="equal">
      <formula>0</formula>
    </cfRule>
  </conditionalFormatting>
  <conditionalFormatting sqref="O357:P366">
    <cfRule type="containsText" dxfId="210" priority="407" operator="containsText" text="ACLARAR">
      <formula>NOT(ISERROR(SEARCH("ACLARAR",O357)))</formula>
    </cfRule>
    <cfRule type="containsText" dxfId="209" priority="408" operator="containsText" text="NO CUMPLE">
      <formula>NOT(ISERROR(SEARCH("NO CUMPLE",O357)))</formula>
    </cfRule>
  </conditionalFormatting>
  <conditionalFormatting sqref="E357:E366">
    <cfRule type="cellIs" dxfId="208" priority="406" operator="lessThan">
      <formula>$F$6</formula>
    </cfRule>
  </conditionalFormatting>
  <conditionalFormatting sqref="G369:G371">
    <cfRule type="beginsWith" dxfId="207" priority="404" operator="beginsWith" text="Vo">
      <formula>LEFT(G369,2)="Vo"</formula>
    </cfRule>
    <cfRule type="beginsWith" dxfId="206" priority="405" operator="beginsWith" text="No">
      <formula>LEFT(G369,2)="No"</formula>
    </cfRule>
  </conditionalFormatting>
  <conditionalFormatting sqref="G370:G371">
    <cfRule type="containsText" dxfId="205" priority="403" operator="containsText" text="No Vo.Bo.">
      <formula>NOT(ISERROR(SEARCH("No Vo.Bo.",G370)))</formula>
    </cfRule>
  </conditionalFormatting>
  <conditionalFormatting sqref="G370:G371">
    <cfRule type="containsText" dxfId="204" priority="401" operator="containsText" text="Vo.Bo.">
      <formula>NOT(ISERROR(SEARCH("Vo.Bo.",G370)))</formula>
    </cfRule>
    <cfRule type="containsText" dxfId="203" priority="402" operator="containsText" text="No Vo.Bo.">
      <formula>NOT(ISERROR(SEARCH("No Vo.Bo.",G370)))</formula>
    </cfRule>
  </conditionalFormatting>
  <conditionalFormatting sqref="H375:H384">
    <cfRule type="cellIs" priority="399" stopIfTrue="1" operator="greaterThan">
      <formula>0</formula>
    </cfRule>
    <cfRule type="cellIs" dxfId="202" priority="400" stopIfTrue="1" operator="equal">
      <formula>0</formula>
    </cfRule>
  </conditionalFormatting>
  <conditionalFormatting sqref="O375:P384">
    <cfRule type="containsText" dxfId="201" priority="397" operator="containsText" text="ACLARAR">
      <formula>NOT(ISERROR(SEARCH("ACLARAR",O375)))</formula>
    </cfRule>
    <cfRule type="containsText" dxfId="200" priority="398" operator="containsText" text="NO CUMPLE">
      <formula>NOT(ISERROR(SEARCH("NO CUMPLE",O375)))</formula>
    </cfRule>
  </conditionalFormatting>
  <conditionalFormatting sqref="E375:E384">
    <cfRule type="cellIs" dxfId="199" priority="396" operator="lessThan">
      <formula>$F$6</formula>
    </cfRule>
  </conditionalFormatting>
  <conditionalFormatting sqref="G387:G389">
    <cfRule type="beginsWith" dxfId="198" priority="394" operator="beginsWith" text="Vo">
      <formula>LEFT(G387,2)="Vo"</formula>
    </cfRule>
    <cfRule type="beginsWith" dxfId="197" priority="395" operator="beginsWith" text="No">
      <formula>LEFT(G387,2)="No"</formula>
    </cfRule>
  </conditionalFormatting>
  <conditionalFormatting sqref="G388:G389">
    <cfRule type="containsText" dxfId="196" priority="393" operator="containsText" text="No Vo.Bo.">
      <formula>NOT(ISERROR(SEARCH("No Vo.Bo.",G388)))</formula>
    </cfRule>
  </conditionalFormatting>
  <conditionalFormatting sqref="G388:G389">
    <cfRule type="containsText" dxfId="195" priority="391" operator="containsText" text="Vo.Bo.">
      <formula>NOT(ISERROR(SEARCH("Vo.Bo.",G388)))</formula>
    </cfRule>
    <cfRule type="containsText" dxfId="194" priority="392" operator="containsText" text="No Vo.Bo.">
      <formula>NOT(ISERROR(SEARCH("No Vo.Bo.",G388)))</formula>
    </cfRule>
  </conditionalFormatting>
  <conditionalFormatting sqref="H393:H402">
    <cfRule type="cellIs" priority="389" stopIfTrue="1" operator="greaterThan">
      <formula>0</formula>
    </cfRule>
    <cfRule type="cellIs" dxfId="193" priority="390" stopIfTrue="1" operator="equal">
      <formula>0</formula>
    </cfRule>
  </conditionalFormatting>
  <conditionalFormatting sqref="O393:P402">
    <cfRule type="containsText" dxfId="192" priority="387" operator="containsText" text="ACLARAR">
      <formula>NOT(ISERROR(SEARCH("ACLARAR",O393)))</formula>
    </cfRule>
    <cfRule type="containsText" dxfId="191" priority="388" operator="containsText" text="NO CUMPLE">
      <formula>NOT(ISERROR(SEARCH("NO CUMPLE",O393)))</formula>
    </cfRule>
  </conditionalFormatting>
  <conditionalFormatting sqref="E393:E402">
    <cfRule type="cellIs" dxfId="190" priority="386" operator="lessThan">
      <formula>$F$6</formula>
    </cfRule>
  </conditionalFormatting>
  <conditionalFormatting sqref="G405:G407">
    <cfRule type="beginsWith" dxfId="189" priority="384" operator="beginsWith" text="Vo">
      <formula>LEFT(G405,2)="Vo"</formula>
    </cfRule>
    <cfRule type="beginsWith" dxfId="188" priority="385" operator="beginsWith" text="No">
      <formula>LEFT(G405,2)="No"</formula>
    </cfRule>
  </conditionalFormatting>
  <conditionalFormatting sqref="G406:G407">
    <cfRule type="containsText" dxfId="187" priority="383" operator="containsText" text="No Vo.Bo.">
      <formula>NOT(ISERROR(SEARCH("No Vo.Bo.",G406)))</formula>
    </cfRule>
  </conditionalFormatting>
  <conditionalFormatting sqref="G406:G407">
    <cfRule type="containsText" dxfId="186" priority="381" operator="containsText" text="Vo.Bo.">
      <formula>NOT(ISERROR(SEARCH("Vo.Bo.",G406)))</formula>
    </cfRule>
    <cfRule type="containsText" dxfId="185" priority="382" operator="containsText" text="No Vo.Bo.">
      <formula>NOT(ISERROR(SEARCH("No Vo.Bo.",G406)))</formula>
    </cfRule>
  </conditionalFormatting>
  <conditionalFormatting sqref="H411:H420">
    <cfRule type="cellIs" priority="379" stopIfTrue="1" operator="greaterThan">
      <formula>0</formula>
    </cfRule>
    <cfRule type="cellIs" dxfId="184" priority="380" stopIfTrue="1" operator="equal">
      <formula>0</formula>
    </cfRule>
  </conditionalFormatting>
  <conditionalFormatting sqref="O411:P420">
    <cfRule type="containsText" dxfId="183" priority="377" operator="containsText" text="ACLARAR">
      <formula>NOT(ISERROR(SEARCH("ACLARAR",O411)))</formula>
    </cfRule>
    <cfRule type="containsText" dxfId="182" priority="378" operator="containsText" text="NO CUMPLE">
      <formula>NOT(ISERROR(SEARCH("NO CUMPLE",O411)))</formula>
    </cfRule>
  </conditionalFormatting>
  <conditionalFormatting sqref="E411:E420">
    <cfRule type="cellIs" dxfId="181" priority="376" operator="lessThan">
      <formula>$F$6</formula>
    </cfRule>
  </conditionalFormatting>
  <conditionalFormatting sqref="H429:H438">
    <cfRule type="cellIs" priority="369" stopIfTrue="1" operator="greaterThan">
      <formula>0</formula>
    </cfRule>
    <cfRule type="cellIs" dxfId="180" priority="370" stopIfTrue="1" operator="equal">
      <formula>0</formula>
    </cfRule>
  </conditionalFormatting>
  <conditionalFormatting sqref="O429:P438">
    <cfRule type="containsText" dxfId="179" priority="367" operator="containsText" text="ACLARAR">
      <formula>NOT(ISERROR(SEARCH("ACLARAR",O429)))</formula>
    </cfRule>
    <cfRule type="containsText" dxfId="178" priority="368" operator="containsText" text="NO CUMPLE">
      <formula>NOT(ISERROR(SEARCH("NO CUMPLE",O429)))</formula>
    </cfRule>
  </conditionalFormatting>
  <conditionalFormatting sqref="E429:E438">
    <cfRule type="cellIs" dxfId="177" priority="366" operator="lessThan">
      <formula>$F$6</formula>
    </cfRule>
  </conditionalFormatting>
  <conditionalFormatting sqref="G89:G91">
    <cfRule type="beginsWith" dxfId="176" priority="341" operator="beginsWith" text="Vo">
      <formula>LEFT(G89,2)="Vo"</formula>
    </cfRule>
    <cfRule type="beginsWith" dxfId="175" priority="342" operator="beginsWith" text="No">
      <formula>LEFT(G89,2)="No"</formula>
    </cfRule>
  </conditionalFormatting>
  <conditionalFormatting sqref="G116:G118">
    <cfRule type="beginsWith" dxfId="174" priority="339" operator="beginsWith" text="Vo">
      <formula>LEFT(G116,2)="Vo"</formula>
    </cfRule>
    <cfRule type="beginsWith" dxfId="173" priority="340" operator="beginsWith" text="No">
      <formula>LEFT(G116,2)="No"</formula>
    </cfRule>
  </conditionalFormatting>
  <conditionalFormatting sqref="G116:G118">
    <cfRule type="beginsWith" dxfId="172" priority="333" operator="beginsWith" text="Vo">
      <formula>LEFT(G116,2)="Vo"</formula>
    </cfRule>
    <cfRule type="beginsWith" dxfId="171" priority="334" operator="beginsWith" text="No">
      <formula>LEFT(G116,2)="No"</formula>
    </cfRule>
  </conditionalFormatting>
  <conditionalFormatting sqref="G143:G145">
    <cfRule type="beginsWith" dxfId="170" priority="331" operator="beginsWith" text="Vo">
      <formula>LEFT(G143,2)="Vo"</formula>
    </cfRule>
    <cfRule type="beginsWith" dxfId="169" priority="332" operator="beginsWith" text="No">
      <formula>LEFT(G143,2)="No"</formula>
    </cfRule>
  </conditionalFormatting>
  <conditionalFormatting sqref="G155:G157">
    <cfRule type="beginsWith" dxfId="168" priority="329" operator="beginsWith" text="Vo">
      <formula>LEFT(G155,2)="Vo"</formula>
    </cfRule>
    <cfRule type="beginsWith" dxfId="167" priority="330" operator="beginsWith" text="No">
      <formula>LEFT(G155,2)="No"</formula>
    </cfRule>
  </conditionalFormatting>
  <conditionalFormatting sqref="G180:G182">
    <cfRule type="beginsWith" dxfId="166" priority="327" operator="beginsWith" text="Vo">
      <formula>LEFT(G180,2)="Vo"</formula>
    </cfRule>
    <cfRule type="beginsWith" dxfId="165" priority="328" operator="beginsWith" text="No">
      <formula>LEFT(G180,2)="No"</formula>
    </cfRule>
  </conditionalFormatting>
  <conditionalFormatting sqref="G213:G215">
    <cfRule type="beginsWith" dxfId="164" priority="325" operator="beginsWith" text="Vo">
      <formula>LEFT(G213,2)="Vo"</formula>
    </cfRule>
    <cfRule type="beginsWith" dxfId="163" priority="326" operator="beginsWith" text="No">
      <formula>LEFT(G213,2)="No"</formula>
    </cfRule>
  </conditionalFormatting>
  <conditionalFormatting sqref="G246:G248">
    <cfRule type="beginsWith" dxfId="162" priority="323" operator="beginsWith" text="Vo">
      <formula>LEFT(G246,2)="Vo"</formula>
    </cfRule>
    <cfRule type="beginsWith" dxfId="161" priority="324" operator="beginsWith" text="No">
      <formula>LEFT(G246,2)="No"</formula>
    </cfRule>
  </conditionalFormatting>
  <conditionalFormatting sqref="G279:G281">
    <cfRule type="beginsWith" dxfId="160" priority="321" operator="beginsWith" text="Vo">
      <formula>LEFT(G279,2)="Vo"</formula>
    </cfRule>
    <cfRule type="beginsWith" dxfId="159" priority="322" operator="beginsWith" text="No">
      <formula>LEFT(G279,2)="No"</formula>
    </cfRule>
  </conditionalFormatting>
  <conditionalFormatting sqref="G297:G299">
    <cfRule type="beginsWith" dxfId="158" priority="319" operator="beginsWith" text="Vo">
      <formula>LEFT(G297,2)="Vo"</formula>
    </cfRule>
    <cfRule type="beginsWith" dxfId="157" priority="320" operator="beginsWith" text="No">
      <formula>LEFT(G297,2)="No"</formula>
    </cfRule>
  </conditionalFormatting>
  <conditionalFormatting sqref="G315:G317">
    <cfRule type="beginsWith" dxfId="156" priority="317" operator="beginsWith" text="Vo">
      <formula>LEFT(G315,2)="Vo"</formula>
    </cfRule>
    <cfRule type="beginsWith" dxfId="155" priority="318" operator="beginsWith" text="No">
      <formula>LEFT(G315,2)="No"</formula>
    </cfRule>
  </conditionalFormatting>
  <conditionalFormatting sqref="G333:G335">
    <cfRule type="beginsWith" dxfId="154" priority="315" operator="beginsWith" text="Vo">
      <formula>LEFT(G333,2)="Vo"</formula>
    </cfRule>
    <cfRule type="beginsWith" dxfId="153" priority="316" operator="beginsWith" text="No">
      <formula>LEFT(G333,2)="No"</formula>
    </cfRule>
  </conditionalFormatting>
  <conditionalFormatting sqref="G351:G353">
    <cfRule type="beginsWith" dxfId="152" priority="313" operator="beginsWith" text="Vo">
      <formula>LEFT(G351,2)="Vo"</formula>
    </cfRule>
    <cfRule type="beginsWith" dxfId="151" priority="314" operator="beginsWith" text="No">
      <formula>LEFT(G351,2)="No"</formula>
    </cfRule>
  </conditionalFormatting>
  <conditionalFormatting sqref="G351:G353">
    <cfRule type="beginsWith" dxfId="150" priority="311" operator="beginsWith" text="Vo">
      <formula>LEFT(G351,2)="Vo"</formula>
    </cfRule>
    <cfRule type="beginsWith" dxfId="149" priority="312" operator="beginsWith" text="No">
      <formula>LEFT(G351,2)="No"</formula>
    </cfRule>
  </conditionalFormatting>
  <conditionalFormatting sqref="G369:G371">
    <cfRule type="beginsWith" dxfId="148" priority="309" operator="beginsWith" text="Vo">
      <formula>LEFT(G369,2)="Vo"</formula>
    </cfRule>
    <cfRule type="beginsWith" dxfId="147" priority="310" operator="beginsWith" text="No">
      <formula>LEFT(G369,2)="No"</formula>
    </cfRule>
  </conditionalFormatting>
  <conditionalFormatting sqref="G369:G371">
    <cfRule type="beginsWith" dxfId="146" priority="307" operator="beginsWith" text="Vo">
      <formula>LEFT(G369,2)="Vo"</formula>
    </cfRule>
    <cfRule type="beginsWith" dxfId="145" priority="308" operator="beginsWith" text="No">
      <formula>LEFT(G369,2)="No"</formula>
    </cfRule>
  </conditionalFormatting>
  <conditionalFormatting sqref="G387:G389">
    <cfRule type="beginsWith" dxfId="144" priority="305" operator="beginsWith" text="Vo">
      <formula>LEFT(G387,2)="Vo"</formula>
    </cfRule>
    <cfRule type="beginsWith" dxfId="143" priority="306" operator="beginsWith" text="No">
      <formula>LEFT(G387,2)="No"</formula>
    </cfRule>
  </conditionalFormatting>
  <conditionalFormatting sqref="G387:G389">
    <cfRule type="beginsWith" dxfId="142" priority="303" operator="beginsWith" text="Vo">
      <formula>LEFT(G387,2)="Vo"</formula>
    </cfRule>
    <cfRule type="beginsWith" dxfId="141" priority="304" operator="beginsWith" text="No">
      <formula>LEFT(G387,2)="No"</formula>
    </cfRule>
  </conditionalFormatting>
  <conditionalFormatting sqref="G405:G407">
    <cfRule type="beginsWith" dxfId="140" priority="301" operator="beginsWith" text="Vo">
      <formula>LEFT(G405,2)="Vo"</formula>
    </cfRule>
    <cfRule type="beginsWith" dxfId="139" priority="302" operator="beginsWith" text="No">
      <formula>LEFT(G405,2)="No"</formula>
    </cfRule>
  </conditionalFormatting>
  <conditionalFormatting sqref="G405:G407">
    <cfRule type="beginsWith" dxfId="138" priority="299" operator="beginsWith" text="Vo">
      <formula>LEFT(G405,2)="Vo"</formula>
    </cfRule>
    <cfRule type="beginsWith" dxfId="137" priority="300" operator="beginsWith" text="No">
      <formula>LEFT(G405,2)="No"</formula>
    </cfRule>
  </conditionalFormatting>
  <conditionalFormatting sqref="I339:I348">
    <cfRule type="cellIs" priority="293" stopIfTrue="1" operator="greaterThan">
      <formula>0</formula>
    </cfRule>
    <cfRule type="cellIs" dxfId="136" priority="294" stopIfTrue="1" operator="equal">
      <formula>0</formula>
    </cfRule>
  </conditionalFormatting>
  <conditionalFormatting sqref="I357:I366">
    <cfRule type="cellIs" priority="291" stopIfTrue="1" operator="greaterThan">
      <formula>0</formula>
    </cfRule>
    <cfRule type="cellIs" dxfId="135" priority="292" stopIfTrue="1" operator="equal">
      <formula>0</formula>
    </cfRule>
  </conditionalFormatting>
  <conditionalFormatting sqref="I375:I384">
    <cfRule type="cellIs" priority="289" stopIfTrue="1" operator="greaterThan">
      <formula>0</formula>
    </cfRule>
    <cfRule type="cellIs" dxfId="134" priority="290" stopIfTrue="1" operator="equal">
      <formula>0</formula>
    </cfRule>
  </conditionalFormatting>
  <conditionalFormatting sqref="I393:I402">
    <cfRule type="cellIs" priority="287" stopIfTrue="1" operator="greaterThan">
      <formula>0</formula>
    </cfRule>
    <cfRule type="cellIs" dxfId="133" priority="288" stopIfTrue="1" operator="equal">
      <formula>0</formula>
    </cfRule>
  </conditionalFormatting>
  <conditionalFormatting sqref="I411:I420">
    <cfRule type="cellIs" priority="285" stopIfTrue="1" operator="greaterThan">
      <formula>0</formula>
    </cfRule>
    <cfRule type="cellIs" dxfId="132" priority="286" stopIfTrue="1" operator="equal">
      <formula>0</formula>
    </cfRule>
  </conditionalFormatting>
  <conditionalFormatting sqref="I429:I438">
    <cfRule type="cellIs" priority="283" stopIfTrue="1" operator="greaterThan">
      <formula>0</formula>
    </cfRule>
    <cfRule type="cellIs" dxfId="131" priority="284" stopIfTrue="1" operator="equal">
      <formula>0</formula>
    </cfRule>
  </conditionalFormatting>
  <conditionalFormatting sqref="G423">
    <cfRule type="beginsWith" dxfId="130" priority="209" operator="beginsWith" text="Vo">
      <formula>LEFT(G423,2)="Vo"</formula>
    </cfRule>
    <cfRule type="beginsWith" dxfId="129" priority="210" operator="beginsWith" text="No">
      <formula>LEFT(G423,2)="No"</formula>
    </cfRule>
  </conditionalFormatting>
  <conditionalFormatting sqref="G423">
    <cfRule type="containsText" dxfId="128" priority="208" operator="containsText" text="No Vo.Bo.">
      <formula>NOT(ISERROR(SEARCH("No Vo.Bo.",G423)))</formula>
    </cfRule>
  </conditionalFormatting>
  <conditionalFormatting sqref="G423">
    <cfRule type="containsText" dxfId="127" priority="206" operator="containsText" text="Vo.Bo.">
      <formula>NOT(ISERROR(SEARCH("Vo.Bo.",G423)))</formula>
    </cfRule>
    <cfRule type="containsText" dxfId="126" priority="207" operator="containsText" text="No Vo.Bo.">
      <formula>NOT(ISERROR(SEARCH("No Vo.Bo.",G423)))</formula>
    </cfRule>
  </conditionalFormatting>
  <conditionalFormatting sqref="G423">
    <cfRule type="beginsWith" dxfId="125" priority="204" operator="beginsWith" text="Vo">
      <formula>LEFT(G423,2)="Vo"</formula>
    </cfRule>
    <cfRule type="beginsWith" dxfId="124" priority="205" operator="beginsWith" text="No">
      <formula>LEFT(G423,2)="No"</formula>
    </cfRule>
  </conditionalFormatting>
  <conditionalFormatting sqref="G423">
    <cfRule type="containsText" dxfId="123" priority="203" operator="containsText" text="No Vo.Bo.">
      <formula>NOT(ISERROR(SEARCH("No Vo.Bo.",G423)))</formula>
    </cfRule>
  </conditionalFormatting>
  <conditionalFormatting sqref="G423">
    <cfRule type="containsText" dxfId="122" priority="201" operator="containsText" text="Vo.Bo.">
      <formula>NOT(ISERROR(SEARCH("Vo.Bo.",G423)))</formula>
    </cfRule>
    <cfRule type="containsText" dxfId="121" priority="202" operator="containsText" text="No Vo.Bo.">
      <formula>NOT(ISERROR(SEARCH("No Vo.Bo.",G423)))</formula>
    </cfRule>
  </conditionalFormatting>
  <conditionalFormatting sqref="G423">
    <cfRule type="beginsWith" dxfId="120" priority="199" operator="beginsWith" text="Vo">
      <formula>LEFT(G423,2)="Vo"</formula>
    </cfRule>
    <cfRule type="beginsWith" dxfId="119" priority="200" operator="beginsWith" text="No">
      <formula>LEFT(G423,2)="No"</formula>
    </cfRule>
  </conditionalFormatting>
  <conditionalFormatting sqref="G423">
    <cfRule type="beginsWith" dxfId="118" priority="197" operator="beginsWith" text="Vo">
      <formula>LEFT(G423,2)="Vo"</formula>
    </cfRule>
    <cfRule type="beginsWith" dxfId="117" priority="198" operator="beginsWith" text="No">
      <formula>LEFT(G423,2)="No"</formula>
    </cfRule>
  </conditionalFormatting>
  <conditionalFormatting sqref="G424">
    <cfRule type="beginsWith" dxfId="116" priority="195" operator="beginsWith" text="Vo">
      <formula>LEFT(G424,2)="Vo"</formula>
    </cfRule>
    <cfRule type="beginsWith" dxfId="115" priority="196" operator="beginsWith" text="No">
      <formula>LEFT(G424,2)="No"</formula>
    </cfRule>
  </conditionalFormatting>
  <conditionalFormatting sqref="G424">
    <cfRule type="containsText" dxfId="114" priority="194" operator="containsText" text="No Vo.Bo.">
      <formula>NOT(ISERROR(SEARCH("No Vo.Bo.",G424)))</formula>
    </cfRule>
  </conditionalFormatting>
  <conditionalFormatting sqref="G424">
    <cfRule type="containsText" dxfId="113" priority="192" operator="containsText" text="Vo.Bo.">
      <formula>NOT(ISERROR(SEARCH("Vo.Bo.",G424)))</formula>
    </cfRule>
    <cfRule type="containsText" dxfId="112" priority="193" operator="containsText" text="No Vo.Bo.">
      <formula>NOT(ISERROR(SEARCH("No Vo.Bo.",G424)))</formula>
    </cfRule>
  </conditionalFormatting>
  <conditionalFormatting sqref="G424">
    <cfRule type="beginsWith" dxfId="111" priority="190" operator="beginsWith" text="Vo">
      <formula>LEFT(G424,2)="Vo"</formula>
    </cfRule>
    <cfRule type="beginsWith" dxfId="110" priority="191" operator="beginsWith" text="No">
      <formula>LEFT(G424,2)="No"</formula>
    </cfRule>
  </conditionalFormatting>
  <conditionalFormatting sqref="G424">
    <cfRule type="containsText" dxfId="109" priority="189" operator="containsText" text="No Vo.Bo.">
      <formula>NOT(ISERROR(SEARCH("No Vo.Bo.",G424)))</formula>
    </cfRule>
  </conditionalFormatting>
  <conditionalFormatting sqref="G424">
    <cfRule type="containsText" dxfId="108" priority="187" operator="containsText" text="Vo.Bo.">
      <formula>NOT(ISERROR(SEARCH("Vo.Bo.",G424)))</formula>
    </cfRule>
    <cfRule type="containsText" dxfId="107" priority="188" operator="containsText" text="No Vo.Bo.">
      <formula>NOT(ISERROR(SEARCH("No Vo.Bo.",G424)))</formula>
    </cfRule>
  </conditionalFormatting>
  <conditionalFormatting sqref="G424">
    <cfRule type="beginsWith" dxfId="106" priority="185" operator="beginsWith" text="Vo">
      <formula>LEFT(G424,2)="Vo"</formula>
    </cfRule>
    <cfRule type="beginsWith" dxfId="105" priority="186" operator="beginsWith" text="No">
      <formula>LEFT(G424,2)="No"</formula>
    </cfRule>
  </conditionalFormatting>
  <conditionalFormatting sqref="G424">
    <cfRule type="beginsWith" dxfId="104" priority="183" operator="beginsWith" text="Vo">
      <formula>LEFT(G424,2)="Vo"</formula>
    </cfRule>
    <cfRule type="beginsWith" dxfId="103" priority="184" operator="beginsWith" text="No">
      <formula>LEFT(G424,2)="No"</formula>
    </cfRule>
  </conditionalFormatting>
  <conditionalFormatting sqref="G425">
    <cfRule type="beginsWith" dxfId="102" priority="167" operator="beginsWith" text="Vo">
      <formula>LEFT(G425,2)="Vo"</formula>
    </cfRule>
    <cfRule type="beginsWith" dxfId="101" priority="168" operator="beginsWith" text="No">
      <formula>LEFT(G425,2)="No"</formula>
    </cfRule>
  </conditionalFormatting>
  <conditionalFormatting sqref="G425">
    <cfRule type="containsText" dxfId="100" priority="166" operator="containsText" text="No Vo.Bo.">
      <formula>NOT(ISERROR(SEARCH("No Vo.Bo.",G425)))</formula>
    </cfRule>
  </conditionalFormatting>
  <conditionalFormatting sqref="G425">
    <cfRule type="containsText" dxfId="99" priority="164" operator="containsText" text="Vo.Bo.">
      <formula>NOT(ISERROR(SEARCH("Vo.Bo.",G425)))</formula>
    </cfRule>
    <cfRule type="containsText" dxfId="98" priority="165" operator="containsText" text="No Vo.Bo.">
      <formula>NOT(ISERROR(SEARCH("No Vo.Bo.",G425)))</formula>
    </cfRule>
  </conditionalFormatting>
  <conditionalFormatting sqref="G425">
    <cfRule type="beginsWith" dxfId="97" priority="162" operator="beginsWith" text="Vo">
      <formula>LEFT(G425,2)="Vo"</formula>
    </cfRule>
    <cfRule type="beginsWith" dxfId="96" priority="163" operator="beginsWith" text="No">
      <formula>LEFT(G425,2)="No"</formula>
    </cfRule>
  </conditionalFormatting>
  <conditionalFormatting sqref="G425">
    <cfRule type="containsText" dxfId="95" priority="161" operator="containsText" text="No Vo.Bo.">
      <formula>NOT(ISERROR(SEARCH("No Vo.Bo.",G425)))</formula>
    </cfRule>
  </conditionalFormatting>
  <conditionalFormatting sqref="G425">
    <cfRule type="containsText" dxfId="94" priority="159" operator="containsText" text="Vo.Bo.">
      <formula>NOT(ISERROR(SEARCH("Vo.Bo.",G425)))</formula>
    </cfRule>
    <cfRule type="containsText" dxfId="93" priority="160" operator="containsText" text="No Vo.Bo.">
      <formula>NOT(ISERROR(SEARCH("No Vo.Bo.",G425)))</formula>
    </cfRule>
  </conditionalFormatting>
  <conditionalFormatting sqref="G425">
    <cfRule type="beginsWith" dxfId="92" priority="157" operator="beginsWith" text="Vo">
      <formula>LEFT(G425,2)="Vo"</formula>
    </cfRule>
    <cfRule type="beginsWith" dxfId="91" priority="158" operator="beginsWith" text="No">
      <formula>LEFT(G425,2)="No"</formula>
    </cfRule>
  </conditionalFormatting>
  <conditionalFormatting sqref="G425">
    <cfRule type="beginsWith" dxfId="90" priority="155" operator="beginsWith" text="Vo">
      <formula>LEFT(G425,2)="Vo"</formula>
    </cfRule>
    <cfRule type="beginsWith" dxfId="89" priority="156" operator="beginsWith" text="No">
      <formula>LEFT(G425,2)="No"</formula>
    </cfRule>
  </conditionalFormatting>
  <conditionalFormatting sqref="G441:G443">
    <cfRule type="beginsWith" dxfId="88" priority="153" operator="beginsWith" text="Vo">
      <formula>LEFT(G441,2)="Vo"</formula>
    </cfRule>
    <cfRule type="beginsWith" dxfId="87" priority="154" operator="beginsWith" text="No">
      <formula>LEFT(G441,2)="No"</formula>
    </cfRule>
  </conditionalFormatting>
  <conditionalFormatting sqref="G441:G443">
    <cfRule type="containsText" dxfId="86" priority="152" operator="containsText" text="No Vo.Bo.">
      <formula>NOT(ISERROR(SEARCH("No Vo.Bo.",G441)))</formula>
    </cfRule>
  </conditionalFormatting>
  <conditionalFormatting sqref="G441:G443">
    <cfRule type="containsText" dxfId="85" priority="150" operator="containsText" text="Vo.Bo.">
      <formula>NOT(ISERROR(SEARCH("Vo.Bo.",G441)))</formula>
    </cfRule>
    <cfRule type="containsText" dxfId="84" priority="151" operator="containsText" text="No Vo.Bo.">
      <formula>NOT(ISERROR(SEARCH("No Vo.Bo.",G441)))</formula>
    </cfRule>
  </conditionalFormatting>
  <conditionalFormatting sqref="G441:G443">
    <cfRule type="beginsWith" dxfId="83" priority="148" operator="beginsWith" text="Vo">
      <formula>LEFT(G441,2)="Vo"</formula>
    </cfRule>
    <cfRule type="beginsWith" dxfId="82" priority="149" operator="beginsWith" text="No">
      <formula>LEFT(G441,2)="No"</formula>
    </cfRule>
  </conditionalFormatting>
  <conditionalFormatting sqref="G441:G443">
    <cfRule type="containsText" dxfId="81" priority="147" operator="containsText" text="No Vo.Bo.">
      <formula>NOT(ISERROR(SEARCH("No Vo.Bo.",G441)))</formula>
    </cfRule>
  </conditionalFormatting>
  <conditionalFormatting sqref="G441:G443">
    <cfRule type="containsText" dxfId="80" priority="145" operator="containsText" text="Vo.Bo.">
      <formula>NOT(ISERROR(SEARCH("Vo.Bo.",G441)))</formula>
    </cfRule>
    <cfRule type="containsText" dxfId="79" priority="146" operator="containsText" text="No Vo.Bo.">
      <formula>NOT(ISERROR(SEARCH("No Vo.Bo.",G441)))</formula>
    </cfRule>
  </conditionalFormatting>
  <conditionalFormatting sqref="G441:G443">
    <cfRule type="beginsWith" dxfId="78" priority="143" operator="beginsWith" text="Vo">
      <formula>LEFT(G441,2)="Vo"</formula>
    </cfRule>
    <cfRule type="beginsWith" dxfId="77" priority="144" operator="beginsWith" text="No">
      <formula>LEFT(G441,2)="No"</formula>
    </cfRule>
  </conditionalFormatting>
  <conditionalFormatting sqref="G441:G443">
    <cfRule type="beginsWith" dxfId="76" priority="141" operator="beginsWith" text="Vo">
      <formula>LEFT(G441,2)="Vo"</formula>
    </cfRule>
    <cfRule type="beginsWith" dxfId="75" priority="142" operator="beginsWith" text="No">
      <formula>LEFT(G441,2)="No"</formula>
    </cfRule>
  </conditionalFormatting>
  <conditionalFormatting sqref="G18">
    <cfRule type="beginsWith" dxfId="74" priority="89" operator="beginsWith" text="Vo">
      <formula>LEFT(G18,2)="Vo"</formula>
    </cfRule>
    <cfRule type="beginsWith" dxfId="73" priority="90" operator="beginsWith" text="No">
      <formula>LEFT(G18,2)="No"</formula>
    </cfRule>
  </conditionalFormatting>
  <conditionalFormatting sqref="O38:P42">
    <cfRule type="containsText" dxfId="72" priority="87" operator="containsText" text="ACLARAR">
      <formula>NOT(ISERROR(SEARCH("ACLARAR",O38)))</formula>
    </cfRule>
    <cfRule type="containsText" dxfId="71" priority="88" operator="containsText" text="NO CUMPLE">
      <formula>NOT(ISERROR(SEARCH("NO CUMPLE",O38)))</formula>
    </cfRule>
  </conditionalFormatting>
  <conditionalFormatting sqref="H94:I99">
    <cfRule type="cellIs" priority="85" stopIfTrue="1" operator="greaterThan">
      <formula>0</formula>
    </cfRule>
    <cfRule type="cellIs" dxfId="70" priority="86" stopIfTrue="1" operator="equal">
      <formula>0</formula>
    </cfRule>
  </conditionalFormatting>
  <conditionalFormatting sqref="O94:P99">
    <cfRule type="containsText" dxfId="69" priority="83" operator="containsText" text="ACLARAR">
      <formula>NOT(ISERROR(SEARCH("ACLARAR",O94)))</formula>
    </cfRule>
    <cfRule type="containsText" dxfId="68" priority="84" operator="containsText" text="NO CUMPLE">
      <formula>NOT(ISERROR(SEARCH("NO CUMPLE",O94)))</formula>
    </cfRule>
  </conditionalFormatting>
  <conditionalFormatting sqref="E94:E99">
    <cfRule type="cellIs" dxfId="67" priority="82" operator="lessThan">
      <formula>$F$6</formula>
    </cfRule>
  </conditionalFormatting>
  <conditionalFormatting sqref="G105">
    <cfRule type="beginsWith" dxfId="66" priority="79" operator="beginsWith" text="Vo">
      <formula>LEFT(G105,2)="Vo"</formula>
    </cfRule>
    <cfRule type="beginsWith" dxfId="65" priority="81" operator="beginsWith" text="No">
      <formula>LEFT(G105,2)="No"</formula>
    </cfRule>
  </conditionalFormatting>
  <conditionalFormatting sqref="G105">
    <cfRule type="containsText" dxfId="64" priority="80" operator="containsText" text="No Vo.Bo.">
      <formula>NOT(ISERROR(SEARCH("No Vo.Bo.",G105)))</formula>
    </cfRule>
  </conditionalFormatting>
  <conditionalFormatting sqref="G105">
    <cfRule type="containsText" dxfId="63" priority="77" operator="containsText" text="Vo.Bo.">
      <formula>NOT(ISERROR(SEARCH("Vo.Bo.",G105)))</formula>
    </cfRule>
    <cfRule type="containsText" dxfId="62" priority="78" operator="containsText" text="No Vo.Bo.">
      <formula>NOT(ISERROR(SEARCH("No Vo.Bo.",G105)))</formula>
    </cfRule>
  </conditionalFormatting>
  <conditionalFormatting sqref="H121:I126">
    <cfRule type="cellIs" priority="75" stopIfTrue="1" operator="greaterThan">
      <formula>0</formula>
    </cfRule>
    <cfRule type="cellIs" dxfId="61" priority="76" stopIfTrue="1" operator="equal">
      <formula>0</formula>
    </cfRule>
  </conditionalFormatting>
  <conditionalFormatting sqref="O121:P126">
    <cfRule type="containsText" dxfId="60" priority="73" operator="containsText" text="ACLARAR">
      <formula>NOT(ISERROR(SEARCH("ACLARAR",O121)))</formula>
    </cfRule>
    <cfRule type="containsText" dxfId="59" priority="74" operator="containsText" text="NO CUMPLE">
      <formula>NOT(ISERROR(SEARCH("NO CUMPLE",O121)))</formula>
    </cfRule>
  </conditionalFormatting>
  <conditionalFormatting sqref="E121:E126">
    <cfRule type="cellIs" dxfId="58" priority="72" operator="lessThan">
      <formula>$F$6</formula>
    </cfRule>
  </conditionalFormatting>
  <conditionalFormatting sqref="G132">
    <cfRule type="beginsWith" dxfId="57" priority="69" operator="beginsWith" text="Vo">
      <formula>LEFT(G132,2)="Vo"</formula>
    </cfRule>
    <cfRule type="beginsWith" dxfId="56" priority="71" operator="beginsWith" text="No">
      <formula>LEFT(G132,2)="No"</formula>
    </cfRule>
  </conditionalFormatting>
  <conditionalFormatting sqref="G132">
    <cfRule type="containsText" dxfId="55" priority="70" operator="containsText" text="No Vo.Bo.">
      <formula>NOT(ISERROR(SEARCH("No Vo.Bo.",G132)))</formula>
    </cfRule>
  </conditionalFormatting>
  <conditionalFormatting sqref="G132">
    <cfRule type="containsText" dxfId="54" priority="67" operator="containsText" text="Vo.Bo.">
      <formula>NOT(ISERROR(SEARCH("Vo.Bo.",G132)))</formula>
    </cfRule>
    <cfRule type="containsText" dxfId="53" priority="68" operator="containsText" text="No Vo.Bo.">
      <formula>NOT(ISERROR(SEARCH("No Vo.Bo.",G132)))</formula>
    </cfRule>
  </conditionalFormatting>
  <conditionalFormatting sqref="H160:I165">
    <cfRule type="cellIs" priority="65" stopIfTrue="1" operator="greaterThan">
      <formula>0</formula>
    </cfRule>
    <cfRule type="cellIs" dxfId="52" priority="66" stopIfTrue="1" operator="equal">
      <formula>0</formula>
    </cfRule>
  </conditionalFormatting>
  <conditionalFormatting sqref="O160:P165">
    <cfRule type="containsText" dxfId="51" priority="63" operator="containsText" text="ACLARAR">
      <formula>NOT(ISERROR(SEARCH("ACLARAR",O160)))</formula>
    </cfRule>
    <cfRule type="containsText" dxfId="50" priority="64" operator="containsText" text="NO CUMPLE">
      <formula>NOT(ISERROR(SEARCH("NO CUMPLE",O160)))</formula>
    </cfRule>
  </conditionalFormatting>
  <conditionalFormatting sqref="E160:E165">
    <cfRule type="cellIs" dxfId="49" priority="62" operator="lessThan">
      <formula>$F$6</formula>
    </cfRule>
  </conditionalFormatting>
  <conditionalFormatting sqref="G159:G171">
    <cfRule type="beginsWith" dxfId="48" priority="60" operator="beginsWith" text="Vo">
      <formula>LEFT(G159,2)="Vo"</formula>
    </cfRule>
    <cfRule type="beginsWith" dxfId="47" priority="61" operator="beginsWith" text="No">
      <formula>LEFT(G159,2)="No"</formula>
    </cfRule>
  </conditionalFormatting>
  <conditionalFormatting sqref="G159:G171">
    <cfRule type="containsText" dxfId="46" priority="59" operator="containsText" text="No Vo.Bo.">
      <formula>NOT(ISERROR(SEARCH("No Vo.Bo.",G159)))</formula>
    </cfRule>
  </conditionalFormatting>
  <conditionalFormatting sqref="G159:G171">
    <cfRule type="containsText" dxfId="45" priority="57" operator="containsText" text="Vo.Bo.">
      <formula>NOT(ISERROR(SEARCH("Vo.Bo.",G159)))</formula>
    </cfRule>
    <cfRule type="containsText" dxfId="44" priority="58" operator="containsText" text="No Vo.Bo.">
      <formula>NOT(ISERROR(SEARCH("No Vo.Bo.",G159)))</formula>
    </cfRule>
  </conditionalFormatting>
  <conditionalFormatting sqref="H185:I190">
    <cfRule type="cellIs" priority="55" stopIfTrue="1" operator="greaterThan">
      <formula>0</formula>
    </cfRule>
    <cfRule type="cellIs" dxfId="43" priority="56" stopIfTrue="1" operator="equal">
      <formula>0</formula>
    </cfRule>
  </conditionalFormatting>
  <conditionalFormatting sqref="O185:P190">
    <cfRule type="containsText" dxfId="42" priority="53" operator="containsText" text="ACLARAR">
      <formula>NOT(ISERROR(SEARCH("ACLARAR",O185)))</formula>
    </cfRule>
    <cfRule type="containsText" dxfId="41" priority="54" operator="containsText" text="NO CUMPLE">
      <formula>NOT(ISERROR(SEARCH("NO CUMPLE",O185)))</formula>
    </cfRule>
  </conditionalFormatting>
  <conditionalFormatting sqref="E185:E190">
    <cfRule type="cellIs" dxfId="40" priority="52" operator="lessThan">
      <formula>$F$6</formula>
    </cfRule>
  </conditionalFormatting>
  <conditionalFormatting sqref="G184:G196">
    <cfRule type="beginsWith" dxfId="39" priority="50" operator="beginsWith" text="Vo">
      <formula>LEFT(G184,2)="Vo"</formula>
    </cfRule>
    <cfRule type="beginsWith" dxfId="38" priority="51" operator="beginsWith" text="No">
      <formula>LEFT(G184,2)="No"</formula>
    </cfRule>
  </conditionalFormatting>
  <conditionalFormatting sqref="G184:G196">
    <cfRule type="containsText" dxfId="37" priority="49" operator="containsText" text="No Vo.Bo.">
      <formula>NOT(ISERROR(SEARCH("No Vo.Bo.",G184)))</formula>
    </cfRule>
  </conditionalFormatting>
  <conditionalFormatting sqref="G184:G196">
    <cfRule type="containsText" dxfId="36" priority="47" operator="containsText" text="Vo.Bo.">
      <formula>NOT(ISERROR(SEARCH("Vo.Bo.",G184)))</formula>
    </cfRule>
    <cfRule type="containsText" dxfId="35" priority="48" operator="containsText" text="No Vo.Bo.">
      <formula>NOT(ISERROR(SEARCH("No Vo.Bo.",G184)))</formula>
    </cfRule>
  </conditionalFormatting>
  <conditionalFormatting sqref="H218:I223">
    <cfRule type="cellIs" priority="45" stopIfTrue="1" operator="greaterThan">
      <formula>0</formula>
    </cfRule>
    <cfRule type="cellIs" dxfId="34" priority="46" stopIfTrue="1" operator="equal">
      <formula>0</formula>
    </cfRule>
  </conditionalFormatting>
  <conditionalFormatting sqref="O218:P223">
    <cfRule type="containsText" dxfId="33" priority="43" operator="containsText" text="ACLARAR">
      <formula>NOT(ISERROR(SEARCH("ACLARAR",O218)))</formula>
    </cfRule>
    <cfRule type="containsText" dxfId="32" priority="44" operator="containsText" text="NO CUMPLE">
      <formula>NOT(ISERROR(SEARCH("NO CUMPLE",O218)))</formula>
    </cfRule>
  </conditionalFormatting>
  <conditionalFormatting sqref="E218:E223">
    <cfRule type="cellIs" dxfId="31" priority="42" operator="lessThan">
      <formula>$F$6</formula>
    </cfRule>
  </conditionalFormatting>
  <conditionalFormatting sqref="G217:G229">
    <cfRule type="beginsWith" dxfId="30" priority="40" operator="beginsWith" text="Vo">
      <formula>LEFT(G217,2)="Vo"</formula>
    </cfRule>
    <cfRule type="beginsWith" dxfId="29" priority="41" operator="beginsWith" text="No">
      <formula>LEFT(G217,2)="No"</formula>
    </cfRule>
  </conditionalFormatting>
  <conditionalFormatting sqref="G217:G229">
    <cfRule type="containsText" dxfId="28" priority="39" operator="containsText" text="No Vo.Bo.">
      <formula>NOT(ISERROR(SEARCH("No Vo.Bo.",G217)))</formula>
    </cfRule>
  </conditionalFormatting>
  <conditionalFormatting sqref="G217:G229">
    <cfRule type="containsText" dxfId="27" priority="37" operator="containsText" text="Vo.Bo.">
      <formula>NOT(ISERROR(SEARCH("Vo.Bo.",G217)))</formula>
    </cfRule>
    <cfRule type="containsText" dxfId="26" priority="38" operator="containsText" text="No Vo.Bo.">
      <formula>NOT(ISERROR(SEARCH("No Vo.Bo.",G217)))</formula>
    </cfRule>
  </conditionalFormatting>
  <conditionalFormatting sqref="H251:I256">
    <cfRule type="cellIs" priority="35" stopIfTrue="1" operator="greaterThan">
      <formula>0</formula>
    </cfRule>
    <cfRule type="cellIs" dxfId="25" priority="36" stopIfTrue="1" operator="equal">
      <formula>0</formula>
    </cfRule>
  </conditionalFormatting>
  <conditionalFormatting sqref="O251:P256">
    <cfRule type="containsText" dxfId="24" priority="33" operator="containsText" text="ACLARAR">
      <formula>NOT(ISERROR(SEARCH("ACLARAR",O251)))</formula>
    </cfRule>
    <cfRule type="containsText" dxfId="23" priority="34" operator="containsText" text="NO CUMPLE">
      <formula>NOT(ISERROR(SEARCH("NO CUMPLE",O251)))</formula>
    </cfRule>
  </conditionalFormatting>
  <conditionalFormatting sqref="E251:E256">
    <cfRule type="cellIs" dxfId="22" priority="32" operator="lessThan">
      <formula>$F$6</formula>
    </cfRule>
  </conditionalFormatting>
  <conditionalFormatting sqref="G250:G262">
    <cfRule type="beginsWith" dxfId="21" priority="30" operator="beginsWith" text="Vo">
      <formula>LEFT(G250,2)="Vo"</formula>
    </cfRule>
    <cfRule type="beginsWith" dxfId="20" priority="31" operator="beginsWith" text="No">
      <formula>LEFT(G250,2)="No"</formula>
    </cfRule>
  </conditionalFormatting>
  <conditionalFormatting sqref="G250:G262">
    <cfRule type="containsText" dxfId="19" priority="29" operator="containsText" text="No Vo.Bo.">
      <formula>NOT(ISERROR(SEARCH("No Vo.Bo.",G250)))</formula>
    </cfRule>
  </conditionalFormatting>
  <conditionalFormatting sqref="G250:G262">
    <cfRule type="containsText" dxfId="18" priority="27" operator="containsText" text="Vo.Bo.">
      <formula>NOT(ISERROR(SEARCH("Vo.Bo.",G250)))</formula>
    </cfRule>
    <cfRule type="containsText" dxfId="17" priority="28" operator="containsText" text="No Vo.Bo.">
      <formula>NOT(ISERROR(SEARCH("No Vo.Bo.",G250)))</formula>
    </cfRule>
  </conditionalFormatting>
  <conditionalFormatting sqref="I14">
    <cfRule type="cellIs" priority="18" stopIfTrue="1" operator="greaterThan">
      <formula>0</formula>
    </cfRule>
    <cfRule type="cellIs" dxfId="16" priority="19" stopIfTrue="1" operator="equal">
      <formula>0</formula>
    </cfRule>
  </conditionalFormatting>
  <conditionalFormatting sqref="E14">
    <cfRule type="cellIs" dxfId="15" priority="17" operator="lessThan">
      <formula>$F$6</formula>
    </cfRule>
  </conditionalFormatting>
  <conditionalFormatting sqref="N11 N14">
    <cfRule type="cellIs" dxfId="14" priority="14" operator="equal">
      <formula>"NO HABILITADO"</formula>
    </cfRule>
    <cfRule type="cellIs" dxfId="13" priority="15" operator="equal">
      <formula>"HABILITADO"</formula>
    </cfRule>
  </conditionalFormatting>
  <conditionalFormatting sqref="N38:N42">
    <cfRule type="cellIs" dxfId="12" priority="9" operator="equal">
      <formula>"NO HABILITADO"</formula>
    </cfRule>
    <cfRule type="cellIs" dxfId="11" priority="12" operator="equal">
      <formula>"HABILITADO"</formula>
    </cfRule>
    <cfRule type="cellIs" dxfId="10" priority="13" operator="equal">
      <formula>"HABILITADO"</formula>
    </cfRule>
  </conditionalFormatting>
  <conditionalFormatting sqref="N82:N86">
    <cfRule type="cellIs" dxfId="9" priority="10" operator="equal">
      <formula>"NO HABILITADO"</formula>
    </cfRule>
    <cfRule type="cellIs" dxfId="8" priority="11" operator="equal">
      <formula>"HABILITADO"</formula>
    </cfRule>
  </conditionalFormatting>
  <conditionalFormatting sqref="N110:N113">
    <cfRule type="cellIs" dxfId="7" priority="7" operator="equal">
      <formula>"NO HABILITADO"</formula>
    </cfRule>
    <cfRule type="cellIs" dxfId="6" priority="8" operator="equal">
      <formula>"HABILITADO"</formula>
    </cfRule>
  </conditionalFormatting>
  <conditionalFormatting sqref="N137:N140">
    <cfRule type="cellIs" dxfId="5" priority="5" operator="equal">
      <formula>"NO HABILITADO"</formula>
    </cfRule>
    <cfRule type="cellIs" dxfId="4" priority="6" operator="equal">
      <formula>"HABILITADO"</formula>
    </cfRule>
  </conditionalFormatting>
  <conditionalFormatting sqref="N149:N152">
    <cfRule type="cellIs" dxfId="3" priority="3" operator="equal">
      <formula>"NO HABILITADO"</formula>
    </cfRule>
    <cfRule type="cellIs" dxfId="2" priority="4" operator="equal">
      <formula>"HABILITADO"</formula>
    </cfRule>
  </conditionalFormatting>
  <conditionalFormatting sqref="N176:N177">
    <cfRule type="cellIs" dxfId="1" priority="1" operator="equal">
      <formula>"NO HABILITADO"</formula>
    </cfRule>
    <cfRule type="cellIs" dxfId="0" priority="2" operator="equal">
      <formula>"HABILITADO"</formula>
    </cfRule>
  </conditionalFormatting>
  <dataValidations count="20">
    <dataValidation type="list" allowBlank="1" showInputMessage="1" showErrorMessage="1" sqref="C82:C86 C94:C96" xr:uid="{00000000-0002-0000-0400-000000000000}">
      <formula1>$D$89:$D$91</formula1>
    </dataValidation>
    <dataValidation type="list" allowBlank="1" showInputMessage="1" showErrorMessage="1" sqref="C110:C113 C121" xr:uid="{00000000-0002-0000-0400-000001000000}">
      <formula1>$D$116:$D$118</formula1>
    </dataValidation>
    <dataValidation type="list" allowBlank="1" showInputMessage="1" showErrorMessage="1" sqref="C137:C140 C251 C218 C185 C160" xr:uid="{00000000-0002-0000-0400-000002000000}">
      <formula1>$D$143:$D$145</formula1>
    </dataValidation>
    <dataValidation type="list" allowBlank="1" showInputMessage="1" showErrorMessage="1" sqref="C149:C152" xr:uid="{00000000-0002-0000-0400-000003000000}">
      <formula1>$D$155:$D$157</formula1>
    </dataValidation>
    <dataValidation type="list" allowBlank="1" showInputMessage="1" showErrorMessage="1" sqref="C176:C177" xr:uid="{00000000-0002-0000-0400-000004000000}">
      <formula1>$D$180:$D$182</formula1>
    </dataValidation>
    <dataValidation type="list" allowBlank="1" showInputMessage="1" showErrorMessage="1" sqref="C201:C210" xr:uid="{00000000-0002-0000-0400-000005000000}">
      <formula1>$D$213:$D$215</formula1>
    </dataValidation>
    <dataValidation type="list" allowBlank="1" showInputMessage="1" showErrorMessage="1" sqref="C234:C243" xr:uid="{00000000-0002-0000-0400-000006000000}">
      <formula1>$D$246:$D$248</formula1>
    </dataValidation>
    <dataValidation type="list" allowBlank="1" showInputMessage="1" showErrorMessage="1" sqref="C267:C276" xr:uid="{00000000-0002-0000-0400-000007000000}">
      <formula1>$D$279:$D$281</formula1>
    </dataValidation>
    <dataValidation type="list" allowBlank="1" showInputMessage="1" showErrorMessage="1" sqref="C285:C294" xr:uid="{00000000-0002-0000-0400-000008000000}">
      <formula1>$D$297:$D$299</formula1>
    </dataValidation>
    <dataValidation type="list" allowBlank="1" showInputMessage="1" showErrorMessage="1" sqref="C303:C312" xr:uid="{00000000-0002-0000-0400-000009000000}">
      <formula1>$D$315:$D$317</formula1>
    </dataValidation>
    <dataValidation type="list" allowBlank="1" showInputMessage="1" showErrorMessage="1" sqref="C321:C330" xr:uid="{00000000-0002-0000-0400-00000A000000}">
      <formula1>$D$333:$D$335</formula1>
    </dataValidation>
    <dataValidation type="list" allowBlank="1" showInputMessage="1" showErrorMessage="1" sqref="C339:C348" xr:uid="{00000000-0002-0000-0400-00000B000000}">
      <formula1>$D$351:$D$353</formula1>
    </dataValidation>
    <dataValidation type="list" allowBlank="1" showInputMessage="1" showErrorMessage="1" sqref="C357:C366" xr:uid="{00000000-0002-0000-0400-00000C000000}">
      <formula1>$D$369:$D$371</formula1>
    </dataValidation>
    <dataValidation type="list" allowBlank="1" showInputMessage="1" showErrorMessage="1" sqref="C375:C384" xr:uid="{00000000-0002-0000-0400-00000D000000}">
      <formula1>$D$387:$D$389</formula1>
    </dataValidation>
    <dataValidation type="list" allowBlank="1" showInputMessage="1" showErrorMessage="1" sqref="C393:C402" xr:uid="{00000000-0002-0000-0400-00000E000000}">
      <formula1>$D$405:$D$407</formula1>
    </dataValidation>
    <dataValidation type="list" allowBlank="1" showInputMessage="1" showErrorMessage="1" sqref="C411:C420" xr:uid="{00000000-0002-0000-0400-00000F000000}">
      <formula1>$D$423:$D$425</formula1>
    </dataValidation>
    <dataValidation type="list" allowBlank="1" showInputMessage="1" showErrorMessage="1" sqref="C429:C438" xr:uid="{00000000-0002-0000-0400-000010000000}">
      <formula1>$D$441:$D$443</formula1>
    </dataValidation>
    <dataValidation type="list" allowBlank="1" showInputMessage="1" showErrorMessage="1" sqref="C50 C38:C42" xr:uid="{00000000-0002-0000-0400-000011000000}">
      <formula1>$D$45:$D$47</formula1>
    </dataValidation>
    <dataValidation type="list" allowBlank="1" showInputMessage="1" showErrorMessage="1" sqref="C22:C24 C252:C253 C219:C220 C186:C187 C161:C162 C51:C52 C11:C14" xr:uid="{00000000-0002-0000-0400-000012000000}">
      <formula1>$D$17:$D$19</formula1>
    </dataValidation>
    <dataValidation type="list" allowBlank="1" showInputMessage="1" showErrorMessage="1" sqref="C66:C71 C97:C99 C221:C223 C188:C190 C163:C165 C254:C256 C122:C126 C53:C55 C25:C27" xr:uid="{00000000-0002-0000-0400-000013000000}">
      <formula1>#REF!</formula1>
    </dataValidation>
  </dataValidations>
  <printOptions horizontalCentered="1" verticalCentered="1"/>
  <pageMargins left="0.19685039370078741" right="0.19685039370078741" top="0.51181102362204722" bottom="0.39370078740157483" header="0" footer="0"/>
  <pageSetup scale="28" orientation="landscape" r:id="rId1"/>
  <headerFooter alignWithMargins="0">
    <oddHeader>&amp;C&amp;A</oddHeader>
    <oddFooter>&amp;R&amp;P de &amp;N</oddFooter>
  </headerFooter>
  <rowBreaks count="2" manualBreakCount="2">
    <brk id="35" max="15" man="1"/>
    <brk id="134" max="1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S9"/>
  <sheetViews>
    <sheetView showGridLines="0" view="pageBreakPreview" zoomScale="90" zoomScaleNormal="90" zoomScaleSheetLayoutView="90" workbookViewId="0">
      <pane xSplit="1" topLeftCell="CL1" activePane="topRight" state="frozen"/>
      <selection pane="topRight" activeCell="CU8" sqref="CU8"/>
    </sheetView>
  </sheetViews>
  <sheetFormatPr baseColWidth="10" defaultRowHeight="12.75"/>
  <cols>
    <col min="1" max="1" width="81.140625" style="6" customWidth="1"/>
    <col min="2" max="2" width="3.28515625" style="43" customWidth="1"/>
    <col min="3" max="3" width="4.140625" style="43" customWidth="1"/>
    <col min="4" max="4" width="6.28515625" style="43" customWidth="1"/>
    <col min="5" max="5" width="42.42578125" style="43" customWidth="1"/>
    <col min="6" max="6" width="3.7109375" style="43" customWidth="1"/>
    <col min="7" max="7" width="4" style="43" customWidth="1"/>
    <col min="8" max="8" width="6.85546875" style="43" customWidth="1"/>
    <col min="9" max="9" width="37.85546875" style="43" customWidth="1"/>
    <col min="10" max="11" width="3.85546875" style="43" hidden="1" customWidth="1"/>
    <col min="12" max="12" width="6.28515625" style="43" hidden="1" customWidth="1"/>
    <col min="13" max="13" width="34.28515625" style="43" hidden="1" customWidth="1"/>
    <col min="14" max="14" width="3.140625" style="43" hidden="1" customWidth="1"/>
    <col min="15" max="15" width="4.140625" style="43" hidden="1" customWidth="1"/>
    <col min="16" max="16" width="5.85546875" style="43" hidden="1" customWidth="1"/>
    <col min="17" max="17" width="35.5703125" style="43" hidden="1" customWidth="1"/>
    <col min="18" max="19" width="4.140625" style="43" hidden="1" customWidth="1"/>
    <col min="20" max="20" width="6.28515625" style="43" hidden="1" customWidth="1"/>
    <col min="21" max="21" width="35" style="43" hidden="1" customWidth="1"/>
    <col min="22" max="23" width="4" style="43" hidden="1" customWidth="1"/>
    <col min="24" max="24" width="6.140625" style="43" hidden="1" customWidth="1"/>
    <col min="25" max="25" width="17.42578125" style="43" hidden="1" customWidth="1"/>
    <col min="26" max="27" width="4.42578125" style="43" hidden="1" customWidth="1"/>
    <col min="28" max="28" width="6" style="43" hidden="1" customWidth="1"/>
    <col min="29" max="29" width="17.42578125" style="43" hidden="1" customWidth="1"/>
    <col min="30" max="30" width="3.140625" style="43" hidden="1" customWidth="1"/>
    <col min="31" max="31" width="4.140625" style="43" hidden="1" customWidth="1"/>
    <col min="32" max="32" width="5.85546875" style="43" hidden="1" customWidth="1"/>
    <col min="33" max="33" width="17.42578125" style="43" hidden="1" customWidth="1"/>
    <col min="34" max="34" width="2.7109375" style="43" hidden="1" customWidth="1"/>
    <col min="35" max="35" width="3.7109375" style="43" hidden="1" customWidth="1"/>
    <col min="36" max="36" width="5.5703125" style="43" hidden="1" customWidth="1"/>
    <col min="37" max="37" width="17.42578125" style="43" hidden="1" customWidth="1"/>
    <col min="38" max="38" width="2.7109375" style="43" hidden="1" customWidth="1"/>
    <col min="39" max="39" width="4" style="43" hidden="1" customWidth="1"/>
    <col min="40" max="40" width="5.5703125" style="43" hidden="1" customWidth="1"/>
    <col min="41" max="41" width="17.42578125" style="43" hidden="1" customWidth="1"/>
    <col min="42" max="42" width="2.7109375" style="43" hidden="1" customWidth="1"/>
    <col min="43" max="43" width="3.85546875" style="43" hidden="1" customWidth="1"/>
    <col min="44" max="44" width="5.5703125" style="43" hidden="1" customWidth="1"/>
    <col min="45" max="45" width="17.42578125" style="43" hidden="1" customWidth="1"/>
    <col min="46" max="46" width="2.7109375" style="43" hidden="1" customWidth="1"/>
    <col min="47" max="47" width="4" style="43" hidden="1" customWidth="1"/>
    <col min="48" max="48" width="6" style="43" hidden="1" customWidth="1"/>
    <col min="49" max="49" width="17.42578125" style="43" hidden="1" customWidth="1"/>
    <col min="50" max="50" width="2.7109375" style="43" hidden="1" customWidth="1"/>
    <col min="51" max="51" width="3.7109375" style="43" hidden="1" customWidth="1"/>
    <col min="52" max="52" width="6.42578125" style="43" hidden="1" customWidth="1"/>
    <col min="53" max="53" width="17.42578125" style="43" hidden="1" customWidth="1"/>
    <col min="54" max="54" width="2.7109375" style="43" hidden="1" customWidth="1"/>
    <col min="55" max="55" width="3.85546875" style="43" hidden="1" customWidth="1"/>
    <col min="56" max="56" width="6" style="43" hidden="1" customWidth="1"/>
    <col min="57" max="57" width="17.42578125" style="43" hidden="1" customWidth="1"/>
    <col min="58" max="58" width="2.7109375" style="43" hidden="1" customWidth="1"/>
    <col min="59" max="59" width="3.85546875" style="43" hidden="1" customWidth="1"/>
    <col min="60" max="60" width="6" style="43" hidden="1" customWidth="1"/>
    <col min="61" max="61" width="17.42578125" style="43" hidden="1" customWidth="1"/>
    <col min="62" max="62" width="2.7109375" style="43" hidden="1" customWidth="1"/>
    <col min="63" max="63" width="4" style="43" hidden="1" customWidth="1"/>
    <col min="64" max="64" width="6" style="43" hidden="1" customWidth="1"/>
    <col min="65" max="65" width="17.42578125" style="43" hidden="1" customWidth="1"/>
    <col min="66" max="66" width="2.7109375" style="43" hidden="1" customWidth="1"/>
    <col min="67" max="67" width="4.28515625" style="43" hidden="1" customWidth="1"/>
    <col min="68" max="68" width="6" style="43" hidden="1" customWidth="1"/>
    <col min="69" max="69" width="17.42578125" style="43" hidden="1" customWidth="1"/>
    <col min="70" max="70" width="2.7109375" style="43" hidden="1" customWidth="1"/>
    <col min="71" max="71" width="3.7109375" style="43" hidden="1" customWidth="1"/>
    <col min="72" max="72" width="6" style="43" hidden="1" customWidth="1"/>
    <col min="73" max="73" width="17.42578125" style="43" hidden="1" customWidth="1"/>
    <col min="74" max="74" width="3.5703125" style="43" hidden="1" customWidth="1"/>
    <col min="75" max="75" width="4.28515625" style="43" hidden="1" customWidth="1"/>
    <col min="76" max="76" width="6" style="43" hidden="1" customWidth="1"/>
    <col min="77" max="77" width="17.42578125" style="43" hidden="1" customWidth="1"/>
    <col min="78" max="78" width="3.7109375" style="43" customWidth="1"/>
    <col min="79" max="79" width="4" style="43" customWidth="1"/>
    <col min="80" max="80" width="6.85546875" style="43" customWidth="1"/>
    <col min="81" max="81" width="37.85546875" style="43" customWidth="1"/>
    <col min="82" max="82" width="3.7109375" style="43" customWidth="1"/>
    <col min="83" max="83" width="4" style="43" customWidth="1"/>
    <col min="84" max="84" width="6.85546875" style="43" customWidth="1"/>
    <col min="85" max="85" width="37.85546875" style="43" customWidth="1"/>
    <col min="86" max="86" width="3.7109375" style="43" customWidth="1"/>
    <col min="87" max="87" width="4" style="43" customWidth="1"/>
    <col min="88" max="88" width="6.85546875" style="43" customWidth="1"/>
    <col min="89" max="89" width="37.85546875" style="43" customWidth="1"/>
    <col min="90" max="90" width="3.7109375" style="43" customWidth="1"/>
    <col min="91" max="91" width="4" style="43" customWidth="1"/>
    <col min="92" max="92" width="6.85546875" style="43" customWidth="1"/>
    <col min="93" max="93" width="37.85546875" style="43" customWidth="1"/>
    <col min="94" max="94" width="3.7109375" style="43" customWidth="1"/>
    <col min="95" max="95" width="4" style="43" customWidth="1"/>
    <col min="96" max="96" width="6.85546875" style="43" customWidth="1"/>
    <col min="97" max="97" width="37.85546875" style="43" customWidth="1"/>
    <col min="98" max="16384" width="11.42578125" style="43"/>
  </cols>
  <sheetData>
    <row r="1" spans="1:97" s="1" customFormat="1" ht="15.75" customHeight="1">
      <c r="A1" s="330" t="s">
        <v>155</v>
      </c>
      <c r="B1" s="204">
        <v>1</v>
      </c>
      <c r="C1" s="325" t="str">
        <f>VLOOKUP(B1,Directorio!$A$4:$V$23,3,FALSE)</f>
        <v>CONSORCIO LM &amp; CB</v>
      </c>
      <c r="D1" s="325"/>
      <c r="E1" s="325"/>
      <c r="F1" s="204">
        <f>1+B1</f>
        <v>2</v>
      </c>
      <c r="G1" s="325" t="str">
        <f>VLOOKUP(F1,Directorio!$A$4:$V$23,3,FALSE)</f>
        <v>COMERCIALIZADORA COMSILA SAS</v>
      </c>
      <c r="H1" s="325"/>
      <c r="I1" s="325"/>
      <c r="J1" s="50" t="e">
        <f>1+#REF!</f>
        <v>#REF!</v>
      </c>
      <c r="K1" s="332" t="e">
        <f>VLOOKUP(J1,Directorio!$A$4:$V$23,3,FALSE)</f>
        <v>#REF!</v>
      </c>
      <c r="L1" s="332"/>
      <c r="M1" s="332"/>
      <c r="N1" s="50" t="e">
        <f>1+J1</f>
        <v>#REF!</v>
      </c>
      <c r="O1" s="332" t="e">
        <f>VLOOKUP(N1,Directorio!$A$4:$V$23,3,FALSE)</f>
        <v>#REF!</v>
      </c>
      <c r="P1" s="332"/>
      <c r="Q1" s="332"/>
      <c r="R1" s="50" t="e">
        <f>1+N1</f>
        <v>#REF!</v>
      </c>
      <c r="S1" s="332" t="e">
        <f>VLOOKUP(R1,Directorio!$A$4:$V$23,3,FALSE)</f>
        <v>#REF!</v>
      </c>
      <c r="T1" s="332"/>
      <c r="U1" s="332"/>
      <c r="V1" s="50" t="e">
        <f>1+R1</f>
        <v>#REF!</v>
      </c>
      <c r="W1" s="332" t="e">
        <f>VLOOKUP(V1,Directorio!$A$4:$V$23,3,FALSE)</f>
        <v>#REF!</v>
      </c>
      <c r="X1" s="332"/>
      <c r="Y1" s="332"/>
      <c r="Z1" s="50" t="e">
        <f>1+V1</f>
        <v>#REF!</v>
      </c>
      <c r="AA1" s="332" t="e">
        <f>VLOOKUP(Z1,Directorio!$A$4:$V$23,3,FALSE)</f>
        <v>#REF!</v>
      </c>
      <c r="AB1" s="332"/>
      <c r="AC1" s="332"/>
      <c r="AD1" s="50" t="e">
        <f>1+Z1</f>
        <v>#REF!</v>
      </c>
      <c r="AE1" s="332" t="e">
        <f>VLOOKUP(AD1,Directorio!$A$4:$V$23,3,FALSE)</f>
        <v>#REF!</v>
      </c>
      <c r="AF1" s="332"/>
      <c r="AG1" s="332"/>
      <c r="AH1" s="50" t="e">
        <f>1+AD1</f>
        <v>#REF!</v>
      </c>
      <c r="AI1" s="332" t="e">
        <f>VLOOKUP(AH1,Directorio!$A$4:$V$23,3,FALSE)</f>
        <v>#REF!</v>
      </c>
      <c r="AJ1" s="332"/>
      <c r="AK1" s="332"/>
      <c r="AL1" s="50" t="e">
        <f>1+AH1</f>
        <v>#REF!</v>
      </c>
      <c r="AM1" s="332" t="e">
        <f>VLOOKUP(AL1,Directorio!$A$4:$V$23,3,FALSE)</f>
        <v>#REF!</v>
      </c>
      <c r="AN1" s="332"/>
      <c r="AO1" s="332"/>
      <c r="AP1" s="50" t="e">
        <f>1+AL1</f>
        <v>#REF!</v>
      </c>
      <c r="AQ1" s="332" t="e">
        <f>VLOOKUP(AP1,Directorio!$A$4:$V$23,3,FALSE)</f>
        <v>#REF!</v>
      </c>
      <c r="AR1" s="332"/>
      <c r="AS1" s="332"/>
      <c r="AT1" s="50" t="e">
        <f>1+AP1</f>
        <v>#REF!</v>
      </c>
      <c r="AU1" s="332" t="e">
        <f>VLOOKUP(AT1,Directorio!$A$4:$V$23,3,FALSE)</f>
        <v>#REF!</v>
      </c>
      <c r="AV1" s="332"/>
      <c r="AW1" s="332"/>
      <c r="AX1" s="50" t="e">
        <f>1+AT1</f>
        <v>#REF!</v>
      </c>
      <c r="AY1" s="332" t="e">
        <f>VLOOKUP(AX1,Directorio!$A$4:$V$23,3,FALSE)</f>
        <v>#REF!</v>
      </c>
      <c r="AZ1" s="332"/>
      <c r="BA1" s="332"/>
      <c r="BB1" s="50" t="e">
        <f>1+AX1</f>
        <v>#REF!</v>
      </c>
      <c r="BC1" s="332" t="e">
        <f>VLOOKUP(BB1,Directorio!$A$4:$V$23,3,FALSE)</f>
        <v>#REF!</v>
      </c>
      <c r="BD1" s="332"/>
      <c r="BE1" s="332"/>
      <c r="BF1" s="50" t="e">
        <f>1+BB1</f>
        <v>#REF!</v>
      </c>
      <c r="BG1" s="332" t="e">
        <f>VLOOKUP(BF1,Directorio!$A$4:$V$23,3,FALSE)</f>
        <v>#REF!</v>
      </c>
      <c r="BH1" s="332"/>
      <c r="BI1" s="332"/>
      <c r="BJ1" s="50" t="e">
        <f>1+BF1</f>
        <v>#REF!</v>
      </c>
      <c r="BK1" s="332" t="e">
        <f>VLOOKUP(BJ1,Directorio!$A$4:$V$23,3,FALSE)</f>
        <v>#REF!</v>
      </c>
      <c r="BL1" s="332"/>
      <c r="BM1" s="332"/>
      <c r="BN1" s="50" t="e">
        <f>1+BJ1</f>
        <v>#REF!</v>
      </c>
      <c r="BO1" s="332" t="e">
        <f>VLOOKUP(BN1,Directorio!$A$4:$V$23,3,FALSE)</f>
        <v>#REF!</v>
      </c>
      <c r="BP1" s="332"/>
      <c r="BQ1" s="332"/>
      <c r="BR1" s="50" t="e">
        <f>1+BN1</f>
        <v>#REF!</v>
      </c>
      <c r="BS1" s="332" t="e">
        <f>VLOOKUP(BR1,Directorio!$A$4:$V$23,3,FALSE)</f>
        <v>#REF!</v>
      </c>
      <c r="BT1" s="332"/>
      <c r="BU1" s="332"/>
      <c r="BV1" s="50" t="e">
        <f>1+BR1</f>
        <v>#REF!</v>
      </c>
      <c r="BW1" s="332" t="e">
        <f>VLOOKUP(BV1,Directorio!$A$4:$V$23,3,FALSE)</f>
        <v>#REF!</v>
      </c>
      <c r="BX1" s="332"/>
      <c r="BY1" s="332"/>
      <c r="BZ1" s="234">
        <f>+F1+1</f>
        <v>3</v>
      </c>
      <c r="CA1" s="325" t="str">
        <f>VLOOKUP(BZ1,Directorio!$A$4:$V$23,3,FALSE)</f>
        <v>4P PUBLICIDAD SAS</v>
      </c>
      <c r="CB1" s="325"/>
      <c r="CC1" s="325"/>
      <c r="CD1" s="234">
        <f>+BZ1+1</f>
        <v>4</v>
      </c>
      <c r="CE1" s="325" t="str">
        <f>VLOOKUP(CD1,Directorio!$A$4:$V$23,3,FALSE)</f>
        <v>GN GENERACION DE NEGOCIOS SAS</v>
      </c>
      <c r="CF1" s="325"/>
      <c r="CG1" s="325"/>
      <c r="CH1" s="236">
        <f>+CD1+1</f>
        <v>5</v>
      </c>
      <c r="CI1" s="325" t="str">
        <f>VLOOKUP(CH1,Directorio!$A$4:$V$23,3,FALSE)</f>
        <v>PROMOS LTDA.</v>
      </c>
      <c r="CJ1" s="325"/>
      <c r="CK1" s="325"/>
      <c r="CL1" s="236">
        <f>+CH1+1</f>
        <v>6</v>
      </c>
      <c r="CM1" s="325" t="str">
        <f>VLOOKUP(CL1,Directorio!$A$4:$V$23,3,FALSE)</f>
        <v>Signal Marketing SAS</v>
      </c>
      <c r="CN1" s="325"/>
      <c r="CO1" s="325"/>
      <c r="CP1" s="236">
        <f>+CL1+1</f>
        <v>7</v>
      </c>
      <c r="CQ1" s="325" t="str">
        <f>VLOOKUP(CP1,Directorio!$A$4:$V$23,3,FALSE)</f>
        <v>IMPRIDEAS S.A.S.</v>
      </c>
      <c r="CR1" s="325"/>
      <c r="CS1" s="325"/>
    </row>
    <row r="2" spans="1:97" s="1" customFormat="1" ht="8.25" customHeight="1">
      <c r="A2" s="330"/>
      <c r="B2" s="326" t="str">
        <f>VLOOKUP(B1,Directorio!$A$4:$V$23,13,FALSE)</f>
        <v>(CONSORCIO LM &amp; CB: LITTLE MONKEY BTL SAS 048% - COMERCIALIZADORA CAFÉ BOTERO SAS 052% -  000%)</v>
      </c>
      <c r="C2" s="326"/>
      <c r="D2" s="326"/>
      <c r="E2" s="326"/>
      <c r="F2" s="326" t="str">
        <f>VLOOKUP(F1,Directorio!$A$4:$V$23,13,FALSE)</f>
        <v>(COMERCIALIZADORA COMSILA SAS: COMERCIALIZADORA COMSILA SAS 100% -  000% -  000%)</v>
      </c>
      <c r="G2" s="326"/>
      <c r="H2" s="326"/>
      <c r="I2" s="326"/>
      <c r="J2" s="326" t="e">
        <f>VLOOKUP(J1,Directorio!$A$4:$V$23,13,FALSE)</f>
        <v>#REF!</v>
      </c>
      <c r="K2" s="326"/>
      <c r="L2" s="326"/>
      <c r="M2" s="326"/>
      <c r="N2" s="326" t="e">
        <f>VLOOKUP(N1,Directorio!$A$4:$V$23,13,FALSE)</f>
        <v>#REF!</v>
      </c>
      <c r="O2" s="326"/>
      <c r="P2" s="326"/>
      <c r="Q2" s="326"/>
      <c r="R2" s="326" t="e">
        <f>VLOOKUP(R1,Directorio!$A$4:$V$23,13,FALSE)</f>
        <v>#REF!</v>
      </c>
      <c r="S2" s="326"/>
      <c r="T2" s="326"/>
      <c r="U2" s="326"/>
      <c r="V2" s="333" t="e">
        <f>VLOOKUP(V1,Directorio!$A$4:$V$23,13,FALSE)</f>
        <v>#REF!</v>
      </c>
      <c r="W2" s="333"/>
      <c r="X2" s="333"/>
      <c r="Y2" s="333"/>
      <c r="Z2" s="333" t="e">
        <f>VLOOKUP(Z1,Directorio!$A$4:$V$23,13,FALSE)</f>
        <v>#REF!</v>
      </c>
      <c r="AA2" s="333"/>
      <c r="AB2" s="333"/>
      <c r="AC2" s="333"/>
      <c r="AD2" s="333" t="e">
        <f>VLOOKUP(AD1,Directorio!$A$4:$V$23,13,FALSE)</f>
        <v>#REF!</v>
      </c>
      <c r="AE2" s="333"/>
      <c r="AF2" s="333"/>
      <c r="AG2" s="333"/>
      <c r="AH2" s="333" t="e">
        <f>VLOOKUP(AH1,Directorio!$A$4:$V$23,13,FALSE)</f>
        <v>#REF!</v>
      </c>
      <c r="AI2" s="333"/>
      <c r="AJ2" s="333"/>
      <c r="AK2" s="333"/>
      <c r="AL2" s="333" t="e">
        <f>VLOOKUP(AL1,Directorio!$A$4:$V$23,13,FALSE)</f>
        <v>#REF!</v>
      </c>
      <c r="AM2" s="333"/>
      <c r="AN2" s="333"/>
      <c r="AO2" s="333"/>
      <c r="AP2" s="333" t="e">
        <f>VLOOKUP(AP1,Directorio!$A$4:$V$23,13,FALSE)</f>
        <v>#REF!</v>
      </c>
      <c r="AQ2" s="333"/>
      <c r="AR2" s="333"/>
      <c r="AS2" s="333"/>
      <c r="AT2" s="333" t="e">
        <f>VLOOKUP(AT1,Directorio!$A$4:$V$23,13,FALSE)</f>
        <v>#REF!</v>
      </c>
      <c r="AU2" s="333"/>
      <c r="AV2" s="333"/>
      <c r="AW2" s="333"/>
      <c r="AX2" s="333" t="e">
        <f>VLOOKUP(AX1,Directorio!$A$4:$V$23,13,FALSE)</f>
        <v>#REF!</v>
      </c>
      <c r="AY2" s="333"/>
      <c r="AZ2" s="333"/>
      <c r="BA2" s="333"/>
      <c r="BB2" s="333" t="e">
        <f>VLOOKUP(BB1,Directorio!$A$4:$V$23,13,FALSE)</f>
        <v>#REF!</v>
      </c>
      <c r="BC2" s="333"/>
      <c r="BD2" s="333"/>
      <c r="BE2" s="333"/>
      <c r="BF2" s="333" t="e">
        <f>VLOOKUP(BF1,Directorio!$A$4:$V$23,13,FALSE)</f>
        <v>#REF!</v>
      </c>
      <c r="BG2" s="333"/>
      <c r="BH2" s="333"/>
      <c r="BI2" s="333"/>
      <c r="BJ2" s="333" t="e">
        <f>VLOOKUP(BJ1,Directorio!$A$4:$V$23,13,FALSE)</f>
        <v>#REF!</v>
      </c>
      <c r="BK2" s="333"/>
      <c r="BL2" s="333"/>
      <c r="BM2" s="333"/>
      <c r="BN2" s="333" t="e">
        <f>VLOOKUP(BN1,Directorio!$A$4:$V$23,13,FALSE)</f>
        <v>#REF!</v>
      </c>
      <c r="BO2" s="333"/>
      <c r="BP2" s="333"/>
      <c r="BQ2" s="333"/>
      <c r="BR2" s="333" t="e">
        <f>VLOOKUP(BR1,Directorio!$A$4:$V$23,13,FALSE)</f>
        <v>#REF!</v>
      </c>
      <c r="BS2" s="333"/>
      <c r="BT2" s="333"/>
      <c r="BU2" s="333"/>
      <c r="BV2" s="333" t="e">
        <f>VLOOKUP(BV1,Directorio!$A$4:$V$23,13,FALSE)</f>
        <v>#REF!</v>
      </c>
      <c r="BW2" s="333"/>
      <c r="BX2" s="333"/>
      <c r="BY2" s="333"/>
      <c r="BZ2" s="326" t="str">
        <f>VLOOKUP(BZ1,Directorio!$A$4:$V$23,13,FALSE)</f>
        <v>(4P PUBLICIDAD SAS: 4P PUBLICIDAD SAS 100% -  000% -  000%)</v>
      </c>
      <c r="CA2" s="326"/>
      <c r="CB2" s="326"/>
      <c r="CC2" s="326"/>
      <c r="CD2" s="326" t="str">
        <f>VLOOKUP(CD1,Directorio!$A$4:$V$23,13,FALSE)</f>
        <v>(GN GENERACION DE NEGOCIOS SAS: GN GENERACION DE NEGOCIOS SAS 100% -  000% -  000%)</v>
      </c>
      <c r="CE2" s="326"/>
      <c r="CF2" s="326"/>
      <c r="CG2" s="326"/>
      <c r="CH2" s="326" t="str">
        <f>VLOOKUP(CH1,Directorio!$A$4:$V$23,13,FALSE)</f>
        <v>(PROMOS LTDA.: PROMOS LTDA. 100% -  000% -  000%)</v>
      </c>
      <c r="CI2" s="326"/>
      <c r="CJ2" s="326"/>
      <c r="CK2" s="326"/>
      <c r="CL2" s="326" t="str">
        <f>VLOOKUP(CL1,Directorio!$A$4:$V$23,13,FALSE)</f>
        <v>(Signal Marketing SAS: Signal Marketing SAS 100% -  000% -  000%)</v>
      </c>
      <c r="CM2" s="326"/>
      <c r="CN2" s="326"/>
      <c r="CO2" s="326"/>
      <c r="CP2" s="326" t="str">
        <f>VLOOKUP(CP1,Directorio!$A$4:$V$23,13,FALSE)</f>
        <v>(IMPRIDEAS S.A.S.: IMPRIDEAS S.A.S. 100% -  000% -  000%)</v>
      </c>
      <c r="CQ2" s="326"/>
      <c r="CR2" s="326"/>
      <c r="CS2" s="326"/>
    </row>
    <row r="3" spans="1:97" s="1" customFormat="1" ht="9.75" customHeight="1">
      <c r="A3" s="330"/>
      <c r="B3" s="326"/>
      <c r="C3" s="326"/>
      <c r="D3" s="326"/>
      <c r="E3" s="326"/>
      <c r="F3" s="326"/>
      <c r="G3" s="326"/>
      <c r="H3" s="326"/>
      <c r="I3" s="326"/>
      <c r="J3" s="326"/>
      <c r="K3" s="326"/>
      <c r="L3" s="326"/>
      <c r="M3" s="326"/>
      <c r="N3" s="326"/>
      <c r="O3" s="326"/>
      <c r="P3" s="326"/>
      <c r="Q3" s="326"/>
      <c r="R3" s="326"/>
      <c r="S3" s="326"/>
      <c r="T3" s="326"/>
      <c r="U3" s="326"/>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3"/>
      <c r="AW3" s="333"/>
      <c r="AX3" s="333"/>
      <c r="AY3" s="333"/>
      <c r="AZ3" s="333"/>
      <c r="BA3" s="333"/>
      <c r="BB3" s="333"/>
      <c r="BC3" s="333"/>
      <c r="BD3" s="333"/>
      <c r="BE3" s="333"/>
      <c r="BF3" s="333"/>
      <c r="BG3" s="333"/>
      <c r="BH3" s="333"/>
      <c r="BI3" s="333"/>
      <c r="BJ3" s="333"/>
      <c r="BK3" s="333"/>
      <c r="BL3" s="333"/>
      <c r="BM3" s="333"/>
      <c r="BN3" s="333"/>
      <c r="BO3" s="333"/>
      <c r="BP3" s="333"/>
      <c r="BQ3" s="333"/>
      <c r="BR3" s="333"/>
      <c r="BS3" s="333"/>
      <c r="BT3" s="333"/>
      <c r="BU3" s="333"/>
      <c r="BV3" s="333"/>
      <c r="BW3" s="333"/>
      <c r="BX3" s="333"/>
      <c r="BY3" s="333"/>
      <c r="BZ3" s="326"/>
      <c r="CA3" s="326"/>
      <c r="CB3" s="326"/>
      <c r="CC3" s="326"/>
      <c r="CD3" s="326"/>
      <c r="CE3" s="326"/>
      <c r="CF3" s="326"/>
      <c r="CG3" s="326"/>
      <c r="CH3" s="326"/>
      <c r="CI3" s="326"/>
      <c r="CJ3" s="326"/>
      <c r="CK3" s="326"/>
      <c r="CL3" s="326"/>
      <c r="CM3" s="326"/>
      <c r="CN3" s="326"/>
      <c r="CO3" s="326"/>
      <c r="CP3" s="326"/>
      <c r="CQ3" s="326"/>
      <c r="CR3" s="326"/>
      <c r="CS3" s="326"/>
    </row>
    <row r="4" spans="1:97" ht="3.75" customHeight="1">
      <c r="A4" s="331"/>
    </row>
    <row r="5" spans="1:97">
      <c r="A5" s="41" t="s">
        <v>2</v>
      </c>
      <c r="B5" s="48" t="s">
        <v>3</v>
      </c>
      <c r="C5" s="48" t="s">
        <v>4</v>
      </c>
      <c r="D5" s="42" t="s">
        <v>5</v>
      </c>
      <c r="E5" s="48" t="s">
        <v>37</v>
      </c>
      <c r="F5" s="48" t="s">
        <v>3</v>
      </c>
      <c r="G5" s="48" t="s">
        <v>4</v>
      </c>
      <c r="H5" s="42" t="s">
        <v>5</v>
      </c>
      <c r="I5" s="48" t="s">
        <v>37</v>
      </c>
      <c r="J5" s="48" t="s">
        <v>3</v>
      </c>
      <c r="K5" s="48" t="s">
        <v>4</v>
      </c>
      <c r="L5" s="42" t="s">
        <v>5</v>
      </c>
      <c r="M5" s="48" t="s">
        <v>37</v>
      </c>
      <c r="N5" s="48" t="s">
        <v>3</v>
      </c>
      <c r="O5" s="48" t="s">
        <v>4</v>
      </c>
      <c r="P5" s="42" t="s">
        <v>5</v>
      </c>
      <c r="Q5" s="48" t="s">
        <v>37</v>
      </c>
      <c r="R5" s="48" t="s">
        <v>3</v>
      </c>
      <c r="S5" s="48" t="s">
        <v>4</v>
      </c>
      <c r="T5" s="42" t="s">
        <v>5</v>
      </c>
      <c r="U5" s="48" t="s">
        <v>37</v>
      </c>
      <c r="V5" s="48" t="s">
        <v>3</v>
      </c>
      <c r="W5" s="48" t="s">
        <v>4</v>
      </c>
      <c r="X5" s="42" t="s">
        <v>5</v>
      </c>
      <c r="Y5" s="48" t="s">
        <v>37</v>
      </c>
      <c r="Z5" s="48" t="s">
        <v>3</v>
      </c>
      <c r="AA5" s="48" t="s">
        <v>4</v>
      </c>
      <c r="AB5" s="42" t="s">
        <v>5</v>
      </c>
      <c r="AC5" s="48" t="s">
        <v>37</v>
      </c>
      <c r="AD5" s="48" t="s">
        <v>3</v>
      </c>
      <c r="AE5" s="48" t="s">
        <v>4</v>
      </c>
      <c r="AF5" s="42" t="s">
        <v>5</v>
      </c>
      <c r="AG5" s="48" t="s">
        <v>37</v>
      </c>
      <c r="AH5" s="48" t="s">
        <v>3</v>
      </c>
      <c r="AI5" s="48" t="s">
        <v>4</v>
      </c>
      <c r="AJ5" s="42" t="s">
        <v>5</v>
      </c>
      <c r="AK5" s="48" t="s">
        <v>37</v>
      </c>
      <c r="AL5" s="48" t="s">
        <v>3</v>
      </c>
      <c r="AM5" s="48" t="s">
        <v>4</v>
      </c>
      <c r="AN5" s="42" t="s">
        <v>5</v>
      </c>
      <c r="AO5" s="48" t="s">
        <v>37</v>
      </c>
      <c r="AP5" s="48" t="s">
        <v>3</v>
      </c>
      <c r="AQ5" s="48" t="s">
        <v>4</v>
      </c>
      <c r="AR5" s="42" t="s">
        <v>5</v>
      </c>
      <c r="AS5" s="48" t="s">
        <v>37</v>
      </c>
      <c r="AT5" s="48" t="s">
        <v>3</v>
      </c>
      <c r="AU5" s="48" t="s">
        <v>4</v>
      </c>
      <c r="AV5" s="42" t="s">
        <v>5</v>
      </c>
      <c r="AW5" s="48" t="s">
        <v>37</v>
      </c>
      <c r="AX5" s="48" t="s">
        <v>3</v>
      </c>
      <c r="AY5" s="48" t="s">
        <v>4</v>
      </c>
      <c r="AZ5" s="42" t="s">
        <v>5</v>
      </c>
      <c r="BA5" s="48" t="s">
        <v>37</v>
      </c>
      <c r="BB5" s="48" t="s">
        <v>3</v>
      </c>
      <c r="BC5" s="48" t="s">
        <v>4</v>
      </c>
      <c r="BD5" s="42" t="s">
        <v>5</v>
      </c>
      <c r="BE5" s="48" t="s">
        <v>37</v>
      </c>
      <c r="BF5" s="48" t="s">
        <v>3</v>
      </c>
      <c r="BG5" s="48" t="s">
        <v>4</v>
      </c>
      <c r="BH5" s="42" t="s">
        <v>5</v>
      </c>
      <c r="BI5" s="48" t="s">
        <v>37</v>
      </c>
      <c r="BJ5" s="48" t="s">
        <v>3</v>
      </c>
      <c r="BK5" s="48" t="s">
        <v>4</v>
      </c>
      <c r="BL5" s="42" t="s">
        <v>5</v>
      </c>
      <c r="BM5" s="48" t="s">
        <v>37</v>
      </c>
      <c r="BN5" s="48" t="s">
        <v>3</v>
      </c>
      <c r="BO5" s="48" t="s">
        <v>4</v>
      </c>
      <c r="BP5" s="42" t="s">
        <v>5</v>
      </c>
      <c r="BQ5" s="48" t="s">
        <v>37</v>
      </c>
      <c r="BR5" s="48" t="s">
        <v>3</v>
      </c>
      <c r="BS5" s="48" t="s">
        <v>4</v>
      </c>
      <c r="BT5" s="42" t="s">
        <v>5</v>
      </c>
      <c r="BU5" s="48" t="s">
        <v>37</v>
      </c>
      <c r="BV5" s="48" t="s">
        <v>3</v>
      </c>
      <c r="BW5" s="48" t="s">
        <v>4</v>
      </c>
      <c r="BX5" s="42" t="s">
        <v>5</v>
      </c>
      <c r="BY5" s="48" t="s">
        <v>37</v>
      </c>
      <c r="BZ5" s="233" t="s">
        <v>3</v>
      </c>
      <c r="CA5" s="233" t="s">
        <v>4</v>
      </c>
      <c r="CB5" s="42" t="s">
        <v>5</v>
      </c>
      <c r="CC5" s="233" t="s">
        <v>37</v>
      </c>
      <c r="CD5" s="233" t="s">
        <v>3</v>
      </c>
      <c r="CE5" s="233" t="s">
        <v>4</v>
      </c>
      <c r="CF5" s="42" t="s">
        <v>5</v>
      </c>
      <c r="CG5" s="233" t="s">
        <v>37</v>
      </c>
      <c r="CH5" s="235" t="s">
        <v>3</v>
      </c>
      <c r="CI5" s="235" t="s">
        <v>4</v>
      </c>
      <c r="CJ5" s="42" t="s">
        <v>5</v>
      </c>
      <c r="CK5" s="235" t="s">
        <v>37</v>
      </c>
      <c r="CL5" s="235" t="s">
        <v>3</v>
      </c>
      <c r="CM5" s="235" t="s">
        <v>4</v>
      </c>
      <c r="CN5" s="42" t="s">
        <v>5</v>
      </c>
      <c r="CO5" s="235" t="s">
        <v>37</v>
      </c>
      <c r="CP5" s="235" t="s">
        <v>3</v>
      </c>
      <c r="CQ5" s="235" t="s">
        <v>4</v>
      </c>
      <c r="CR5" s="42" t="s">
        <v>5</v>
      </c>
      <c r="CS5" s="235" t="s">
        <v>37</v>
      </c>
    </row>
    <row r="6" spans="1:97">
      <c r="A6" s="41" t="s">
        <v>56</v>
      </c>
      <c r="B6" s="48"/>
      <c r="C6" s="48"/>
      <c r="D6" s="42"/>
      <c r="E6" s="48"/>
      <c r="F6" s="48"/>
      <c r="G6" s="48"/>
      <c r="H6" s="42"/>
      <c r="I6" s="48"/>
      <c r="J6" s="48"/>
      <c r="K6" s="48"/>
      <c r="L6" s="42"/>
      <c r="M6" s="48"/>
      <c r="N6" s="48"/>
      <c r="O6" s="48"/>
      <c r="P6" s="42"/>
      <c r="Q6" s="48"/>
      <c r="R6" s="48"/>
      <c r="S6" s="48"/>
      <c r="T6" s="42"/>
      <c r="U6" s="48"/>
      <c r="V6" s="48"/>
      <c r="W6" s="48"/>
      <c r="X6" s="42"/>
      <c r="Y6" s="48"/>
      <c r="Z6" s="48"/>
      <c r="AA6" s="48"/>
      <c r="AB6" s="42"/>
      <c r="AC6" s="48"/>
      <c r="AD6" s="48"/>
      <c r="AE6" s="48"/>
      <c r="AF6" s="42"/>
      <c r="AG6" s="48"/>
      <c r="AH6" s="48"/>
      <c r="AI6" s="48"/>
      <c r="AJ6" s="42"/>
      <c r="AK6" s="48"/>
      <c r="AL6" s="48"/>
      <c r="AM6" s="48"/>
      <c r="AN6" s="42"/>
      <c r="AO6" s="48"/>
      <c r="AP6" s="48"/>
      <c r="AQ6" s="48"/>
      <c r="AR6" s="42"/>
      <c r="AS6" s="48"/>
      <c r="AT6" s="48"/>
      <c r="AU6" s="48"/>
      <c r="AV6" s="42"/>
      <c r="AW6" s="48"/>
      <c r="AX6" s="48"/>
      <c r="AY6" s="48"/>
      <c r="AZ6" s="42"/>
      <c r="BA6" s="48"/>
      <c r="BB6" s="48"/>
      <c r="BC6" s="48"/>
      <c r="BD6" s="42"/>
      <c r="BE6" s="48"/>
      <c r="BF6" s="48"/>
      <c r="BG6" s="48"/>
      <c r="BH6" s="42"/>
      <c r="BI6" s="48"/>
      <c r="BJ6" s="48"/>
      <c r="BK6" s="48"/>
      <c r="BL6" s="42"/>
      <c r="BM6" s="48"/>
      <c r="BN6" s="48"/>
      <c r="BO6" s="48"/>
      <c r="BP6" s="42"/>
      <c r="BQ6" s="48"/>
      <c r="BR6" s="48"/>
      <c r="BS6" s="48"/>
      <c r="BT6" s="42"/>
      <c r="BU6" s="48"/>
      <c r="BV6" s="48"/>
      <c r="BW6" s="48"/>
      <c r="BX6" s="42"/>
      <c r="BY6" s="48"/>
      <c r="BZ6" s="233"/>
      <c r="CA6" s="233"/>
      <c r="CB6" s="42"/>
      <c r="CC6" s="233"/>
      <c r="CD6" s="233"/>
      <c r="CE6" s="233"/>
      <c r="CF6" s="42"/>
      <c r="CG6" s="233"/>
      <c r="CH6" s="235"/>
      <c r="CI6" s="235"/>
      <c r="CJ6" s="42"/>
      <c r="CK6" s="235"/>
      <c r="CL6" s="235"/>
      <c r="CM6" s="235"/>
      <c r="CN6" s="42"/>
      <c r="CO6" s="235"/>
      <c r="CP6" s="235"/>
      <c r="CQ6" s="235"/>
      <c r="CR6" s="42"/>
      <c r="CS6" s="235"/>
    </row>
    <row r="7" spans="1:97">
      <c r="A7" s="205" t="s">
        <v>182</v>
      </c>
      <c r="B7" s="29"/>
      <c r="C7" s="29"/>
      <c r="D7" s="243"/>
      <c r="E7" s="223"/>
      <c r="F7" s="29"/>
      <c r="G7" s="29"/>
      <c r="H7" s="243"/>
      <c r="I7" s="223"/>
      <c r="J7" s="29"/>
      <c r="K7" s="29"/>
      <c r="L7" s="243"/>
      <c r="M7" s="223"/>
      <c r="N7" s="29"/>
      <c r="O7" s="29"/>
      <c r="P7" s="243"/>
      <c r="Q7" s="223"/>
      <c r="R7" s="29"/>
      <c r="S7" s="29"/>
      <c r="T7" s="243"/>
      <c r="U7" s="244"/>
      <c r="V7" s="29"/>
      <c r="W7" s="29"/>
      <c r="X7" s="243"/>
      <c r="Y7" s="223"/>
      <c r="Z7" s="29"/>
      <c r="AA7" s="29"/>
      <c r="AB7" s="243"/>
      <c r="AC7" s="223"/>
      <c r="AD7" s="29"/>
      <c r="AE7" s="29"/>
      <c r="AF7" s="243"/>
      <c r="AG7" s="223"/>
      <c r="AH7" s="29"/>
      <c r="AI7" s="29"/>
      <c r="AJ7" s="243"/>
      <c r="AK7" s="223"/>
      <c r="AL7" s="29"/>
      <c r="AM7" s="29"/>
      <c r="AN7" s="243"/>
      <c r="AO7" s="223"/>
      <c r="AP7" s="29"/>
      <c r="AQ7" s="29"/>
      <c r="AR7" s="243"/>
      <c r="AS7" s="223"/>
      <c r="AT7" s="29"/>
      <c r="AU7" s="29"/>
      <c r="AV7" s="243"/>
      <c r="AW7" s="223"/>
      <c r="AX7" s="29"/>
      <c r="AY7" s="29"/>
      <c r="AZ7" s="243"/>
      <c r="BA7" s="223"/>
      <c r="BB7" s="29"/>
      <c r="BC7" s="29"/>
      <c r="BD7" s="243"/>
      <c r="BE7" s="223"/>
      <c r="BF7" s="29"/>
      <c r="BG7" s="29"/>
      <c r="BH7" s="243"/>
      <c r="BI7" s="223"/>
      <c r="BJ7" s="29"/>
      <c r="BK7" s="29"/>
      <c r="BL7" s="243"/>
      <c r="BM7" s="223"/>
      <c r="BN7" s="29"/>
      <c r="BO7" s="29"/>
      <c r="BP7" s="243"/>
      <c r="BQ7" s="223"/>
      <c r="BR7" s="29"/>
      <c r="BS7" s="29"/>
      <c r="BT7" s="243"/>
      <c r="BU7" s="223"/>
      <c r="BV7" s="29"/>
      <c r="BW7" s="29"/>
      <c r="BX7" s="243"/>
      <c r="BY7" s="223"/>
      <c r="BZ7" s="29"/>
      <c r="CA7" s="29"/>
      <c r="CB7" s="243"/>
      <c r="CC7" s="223"/>
      <c r="CD7" s="29"/>
      <c r="CE7" s="29"/>
      <c r="CF7" s="243"/>
      <c r="CG7" s="223"/>
      <c r="CH7" s="29"/>
      <c r="CI7" s="29"/>
      <c r="CJ7" s="243"/>
      <c r="CK7" s="223"/>
      <c r="CL7" s="29"/>
      <c r="CM7" s="29"/>
      <c r="CN7" s="243"/>
      <c r="CO7" s="223"/>
      <c r="CP7" s="29"/>
      <c r="CQ7" s="29"/>
      <c r="CR7" s="243"/>
      <c r="CS7" s="223"/>
    </row>
    <row r="8" spans="1:97" ht="81" customHeight="1" thickBot="1">
      <c r="A8" s="162" t="s">
        <v>183</v>
      </c>
      <c r="B8" s="154" t="s">
        <v>126</v>
      </c>
      <c r="C8" s="3"/>
      <c r="D8" s="5"/>
      <c r="E8" s="4" t="s">
        <v>181</v>
      </c>
      <c r="F8" s="154" t="s">
        <v>126</v>
      </c>
      <c r="G8" s="3"/>
      <c r="H8" s="5"/>
      <c r="I8" s="4" t="s">
        <v>181</v>
      </c>
      <c r="J8" s="154"/>
      <c r="K8" s="3"/>
      <c r="L8" s="5"/>
      <c r="M8" s="4"/>
      <c r="N8" s="3"/>
      <c r="O8" s="3"/>
      <c r="P8" s="5"/>
      <c r="Q8" s="4"/>
      <c r="R8" s="3"/>
      <c r="S8" s="3"/>
      <c r="T8" s="5"/>
      <c r="U8" s="4"/>
      <c r="V8" s="3"/>
      <c r="W8" s="3"/>
      <c r="X8" s="5"/>
      <c r="Y8" s="165"/>
      <c r="Z8" s="3"/>
      <c r="AA8" s="3"/>
      <c r="AB8" s="5"/>
      <c r="AC8" s="4"/>
      <c r="AD8" s="3"/>
      <c r="AE8" s="3"/>
      <c r="AF8" s="5"/>
      <c r="AG8" s="4"/>
      <c r="AH8" s="3"/>
      <c r="AI8" s="3"/>
      <c r="AJ8" s="5"/>
      <c r="AK8" s="4"/>
      <c r="AL8" s="3"/>
      <c r="AM8" s="3"/>
      <c r="AN8" s="5"/>
      <c r="AO8" s="4"/>
      <c r="AP8" s="3"/>
      <c r="AQ8" s="3"/>
      <c r="AR8" s="5"/>
      <c r="AS8" s="4"/>
      <c r="AT8" s="3"/>
      <c r="AU8" s="3"/>
      <c r="AV8" s="5"/>
      <c r="AW8" s="4"/>
      <c r="AX8" s="3"/>
      <c r="AY8" s="3"/>
      <c r="AZ8" s="5"/>
      <c r="BA8" s="4"/>
      <c r="BB8" s="3"/>
      <c r="BC8" s="3"/>
      <c r="BD8" s="5"/>
      <c r="BE8" s="4"/>
      <c r="BF8" s="3"/>
      <c r="BG8" s="3"/>
      <c r="BH8" s="5"/>
      <c r="BI8" s="4"/>
      <c r="BJ8" s="3"/>
      <c r="BK8" s="3"/>
      <c r="BL8" s="5"/>
      <c r="BM8" s="4"/>
      <c r="BN8" s="3"/>
      <c r="BO8" s="3"/>
      <c r="BP8" s="5"/>
      <c r="BQ8" s="4"/>
      <c r="BR8" s="3"/>
      <c r="BS8" s="3"/>
      <c r="BT8" s="5"/>
      <c r="BU8" s="4"/>
      <c r="BV8" s="3"/>
      <c r="BW8" s="3"/>
      <c r="BX8" s="5"/>
      <c r="BY8" s="4"/>
      <c r="BZ8" s="154" t="s">
        <v>126</v>
      </c>
      <c r="CA8" s="3"/>
      <c r="CB8" s="5"/>
      <c r="CC8" s="4" t="s">
        <v>181</v>
      </c>
      <c r="CD8" s="154" t="s">
        <v>126</v>
      </c>
      <c r="CE8" s="3"/>
      <c r="CF8" s="5"/>
      <c r="CG8" s="4" t="s">
        <v>181</v>
      </c>
      <c r="CH8" s="154" t="s">
        <v>126</v>
      </c>
      <c r="CI8" s="3"/>
      <c r="CJ8" s="5"/>
      <c r="CK8" s="4" t="s">
        <v>181</v>
      </c>
      <c r="CL8" s="154" t="s">
        <v>126</v>
      </c>
      <c r="CM8" s="3"/>
      <c r="CN8" s="5"/>
      <c r="CO8" s="4" t="s">
        <v>181</v>
      </c>
      <c r="CP8" s="154" t="s">
        <v>126</v>
      </c>
      <c r="CQ8" s="3"/>
      <c r="CR8" s="5"/>
      <c r="CS8" s="4" t="s">
        <v>181</v>
      </c>
    </row>
    <row r="9" spans="1:97" s="171" customFormat="1" ht="30" customHeight="1" thickBot="1">
      <c r="A9" s="170" t="s">
        <v>57</v>
      </c>
      <c r="B9" s="327" t="s">
        <v>184</v>
      </c>
      <c r="C9" s="328"/>
      <c r="D9" s="328"/>
      <c r="E9" s="329"/>
      <c r="F9" s="327" t="s">
        <v>67</v>
      </c>
      <c r="G9" s="328"/>
      <c r="H9" s="328"/>
      <c r="I9" s="329"/>
      <c r="J9" s="337" t="s">
        <v>65</v>
      </c>
      <c r="K9" s="338"/>
      <c r="L9" s="338"/>
      <c r="M9" s="339"/>
      <c r="N9" s="337" t="s">
        <v>65</v>
      </c>
      <c r="O9" s="338"/>
      <c r="P9" s="338"/>
      <c r="Q9" s="339"/>
      <c r="R9" s="334" t="s">
        <v>67</v>
      </c>
      <c r="S9" s="335"/>
      <c r="T9" s="335"/>
      <c r="U9" s="336"/>
      <c r="V9" s="334" t="s">
        <v>65</v>
      </c>
      <c r="W9" s="335"/>
      <c r="X9" s="335"/>
      <c r="Y9" s="336"/>
      <c r="Z9" s="334" t="s">
        <v>65</v>
      </c>
      <c r="AA9" s="335"/>
      <c r="AB9" s="335"/>
      <c r="AC9" s="336"/>
      <c r="AD9" s="334" t="s">
        <v>65</v>
      </c>
      <c r="AE9" s="335"/>
      <c r="AF9" s="335"/>
      <c r="AG9" s="336"/>
      <c r="AH9" s="334" t="s">
        <v>65</v>
      </c>
      <c r="AI9" s="335"/>
      <c r="AJ9" s="335"/>
      <c r="AK9" s="336"/>
      <c r="AL9" s="334" t="s">
        <v>65</v>
      </c>
      <c r="AM9" s="335"/>
      <c r="AN9" s="335"/>
      <c r="AO9" s="336"/>
      <c r="AP9" s="334" t="s">
        <v>65</v>
      </c>
      <c r="AQ9" s="335"/>
      <c r="AR9" s="335"/>
      <c r="AS9" s="336"/>
      <c r="AT9" s="334" t="s">
        <v>65</v>
      </c>
      <c r="AU9" s="335"/>
      <c r="AV9" s="335"/>
      <c r="AW9" s="336"/>
      <c r="AX9" s="334" t="s">
        <v>65</v>
      </c>
      <c r="AY9" s="335"/>
      <c r="AZ9" s="335"/>
      <c r="BA9" s="336"/>
      <c r="BB9" s="334" t="s">
        <v>65</v>
      </c>
      <c r="BC9" s="335"/>
      <c r="BD9" s="335"/>
      <c r="BE9" s="336"/>
      <c r="BF9" s="334" t="s">
        <v>65</v>
      </c>
      <c r="BG9" s="335"/>
      <c r="BH9" s="335"/>
      <c r="BI9" s="336"/>
      <c r="BJ9" s="334" t="s">
        <v>65</v>
      </c>
      <c r="BK9" s="335"/>
      <c r="BL9" s="335"/>
      <c r="BM9" s="336"/>
      <c r="BN9" s="334" t="s">
        <v>65</v>
      </c>
      <c r="BO9" s="335"/>
      <c r="BP9" s="335"/>
      <c r="BQ9" s="336"/>
      <c r="BR9" s="334" t="s">
        <v>65</v>
      </c>
      <c r="BS9" s="335"/>
      <c r="BT9" s="335"/>
      <c r="BU9" s="336"/>
      <c r="BV9" s="334" t="s">
        <v>65</v>
      </c>
      <c r="BW9" s="335"/>
      <c r="BX9" s="335"/>
      <c r="BY9" s="336"/>
      <c r="BZ9" s="327" t="s">
        <v>67</v>
      </c>
      <c r="CA9" s="328"/>
      <c r="CB9" s="328"/>
      <c r="CC9" s="329"/>
      <c r="CD9" s="327" t="s">
        <v>67</v>
      </c>
      <c r="CE9" s="328"/>
      <c r="CF9" s="328"/>
      <c r="CG9" s="329"/>
      <c r="CH9" s="327" t="s">
        <v>67</v>
      </c>
      <c r="CI9" s="328"/>
      <c r="CJ9" s="328"/>
      <c r="CK9" s="329"/>
      <c r="CL9" s="327" t="s">
        <v>67</v>
      </c>
      <c r="CM9" s="328"/>
      <c r="CN9" s="328"/>
      <c r="CO9" s="329"/>
      <c r="CP9" s="327" t="s">
        <v>67</v>
      </c>
      <c r="CQ9" s="328"/>
      <c r="CR9" s="328"/>
      <c r="CS9" s="329"/>
    </row>
  </sheetData>
  <mergeCells count="73">
    <mergeCell ref="CQ1:CS1"/>
    <mergeCell ref="CP2:CS3"/>
    <mergeCell ref="CP9:CS9"/>
    <mergeCell ref="CI1:CK1"/>
    <mergeCell ref="CH2:CK3"/>
    <mergeCell ref="CH9:CK9"/>
    <mergeCell ref="CM1:CO1"/>
    <mergeCell ref="CL2:CO3"/>
    <mergeCell ref="CL9:CO9"/>
    <mergeCell ref="AY1:BA1"/>
    <mergeCell ref="AX2:BA3"/>
    <mergeCell ref="AX9:BA9"/>
    <mergeCell ref="AQ1:AS1"/>
    <mergeCell ref="AP2:AS3"/>
    <mergeCell ref="AP9:AS9"/>
    <mergeCell ref="AU1:AW1"/>
    <mergeCell ref="AT2:AW3"/>
    <mergeCell ref="AT9:AW9"/>
    <mergeCell ref="AI1:AK1"/>
    <mergeCell ref="AH2:AK3"/>
    <mergeCell ref="AH9:AK9"/>
    <mergeCell ref="AM1:AO1"/>
    <mergeCell ref="AL2:AO3"/>
    <mergeCell ref="AL9:AO9"/>
    <mergeCell ref="AA1:AC1"/>
    <mergeCell ref="Z2:AC3"/>
    <mergeCell ref="Z9:AC9"/>
    <mergeCell ref="AE1:AG1"/>
    <mergeCell ref="AD2:AG3"/>
    <mergeCell ref="AD9:AG9"/>
    <mergeCell ref="R2:U3"/>
    <mergeCell ref="R9:U9"/>
    <mergeCell ref="W1:Y1"/>
    <mergeCell ref="V2:Y3"/>
    <mergeCell ref="V9:Y9"/>
    <mergeCell ref="BG1:BI1"/>
    <mergeCell ref="BF2:BI3"/>
    <mergeCell ref="BF9:BI9"/>
    <mergeCell ref="C1:E1"/>
    <mergeCell ref="G1:I1"/>
    <mergeCell ref="B2:E3"/>
    <mergeCell ref="F2:I3"/>
    <mergeCell ref="B9:E9"/>
    <mergeCell ref="F9:I9"/>
    <mergeCell ref="K1:M1"/>
    <mergeCell ref="J2:M3"/>
    <mergeCell ref="J9:M9"/>
    <mergeCell ref="O1:Q1"/>
    <mergeCell ref="N2:Q3"/>
    <mergeCell ref="N9:Q9"/>
    <mergeCell ref="S1:U1"/>
    <mergeCell ref="A1:A4"/>
    <mergeCell ref="BS1:BU1"/>
    <mergeCell ref="BR2:BU3"/>
    <mergeCell ref="BR9:BU9"/>
    <mergeCell ref="BW1:BY1"/>
    <mergeCell ref="BV2:BY3"/>
    <mergeCell ref="BV9:BY9"/>
    <mergeCell ref="BK1:BM1"/>
    <mergeCell ref="BJ2:BM3"/>
    <mergeCell ref="BJ9:BM9"/>
    <mergeCell ref="BO1:BQ1"/>
    <mergeCell ref="BN2:BQ3"/>
    <mergeCell ref="BN9:BQ9"/>
    <mergeCell ref="BC1:BE1"/>
    <mergeCell ref="BB2:BE3"/>
    <mergeCell ref="BB9:BE9"/>
    <mergeCell ref="CA1:CC1"/>
    <mergeCell ref="BZ2:CC3"/>
    <mergeCell ref="BZ9:CC9"/>
    <mergeCell ref="CE1:CG1"/>
    <mergeCell ref="CD2:CG3"/>
    <mergeCell ref="CD9:CG9"/>
  </mergeCells>
  <printOptions horizontalCentered="1" verticalCentered="1"/>
  <pageMargins left="0.70866141732283472" right="0.70866141732283472" top="0.74803149606299213" bottom="0.74803149606299213" header="0.31496062992125984" footer="0.31496062992125984"/>
  <pageSetup scale="90" fitToWidth="6" orientation="landscape" r:id="rId1"/>
  <headerFooter>
    <oddFooter>&amp;R&amp;P de &amp;N</oddFooter>
  </headerFooter>
  <colBreaks count="1" manualBreakCount="1">
    <brk id="9" max="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_dlc_DocId xmlns="f4d05912-b1f4-4631-ab3d-1c98aa4d2b28">K5ZKFRP4R23U-12-2398</_dlc_DocId>
    <_dlc_DocIdUrl xmlns="f4d05912-b1f4-4631-ab3d-1c98aa4d2b28">
      <Url>http://www.fonade.gov.co/subg/subContratacion/Evaluacion/_layouts/DocIdRedir.aspx?ID=K5ZKFRP4R23U-12-2398</Url>
      <Description>K5ZKFRP4R23U-12-2398</Description>
    </_dlc_DocIdUrl>
  </documentManagement>
</p:properties>
</file>

<file path=customXml/itemProps1.xml><?xml version="1.0" encoding="utf-8"?>
<ds:datastoreItem xmlns:ds="http://schemas.openxmlformats.org/officeDocument/2006/customXml" ds:itemID="{DBF26B23-3A68-419E-968F-C630DD4E5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36EF5A-0AD8-4781-8755-AAB2B8D8E21C}">
  <ds:schemaRefs>
    <ds:schemaRef ds:uri="http://schemas.microsoft.com/sharepoint/events"/>
  </ds:schemaRefs>
</ds:datastoreItem>
</file>

<file path=customXml/itemProps3.xml><?xml version="1.0" encoding="utf-8"?>
<ds:datastoreItem xmlns:ds="http://schemas.openxmlformats.org/officeDocument/2006/customXml" ds:itemID="{A72746B2-BEFE-426C-BB7E-F5AB0BAD3345}">
  <ds:schemaRefs>
    <ds:schemaRef ds:uri="http://schemas.microsoft.com/sharepoint/v3/contenttype/forms"/>
  </ds:schemaRefs>
</ds:datastoreItem>
</file>

<file path=customXml/itemProps4.xml><?xml version="1.0" encoding="utf-8"?>
<ds:datastoreItem xmlns:ds="http://schemas.openxmlformats.org/officeDocument/2006/customXml" ds:itemID="{6AEAE4AF-901C-444D-B760-72729E1118EE}">
  <ds:schemaRefs>
    <ds:schemaRef ds:uri="http://schemas.microsoft.com/office/2006/documentManagement/types"/>
    <ds:schemaRef ds:uri="f4d05912-b1f4-4631-ab3d-1c98aa4d2b28"/>
    <ds:schemaRef ds:uri="http://purl.org/dc/elements/1.1/"/>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SMMLV</vt:lpstr>
      <vt:lpstr>General</vt:lpstr>
      <vt:lpstr>Directorio</vt:lpstr>
      <vt:lpstr>Conclusión de Evaluación</vt:lpstr>
      <vt:lpstr>Exp. Proponente</vt:lpstr>
      <vt:lpstr>Requisitos Técnicos</vt:lpstr>
      <vt:lpstr>'Conclusión de Evaluación'!Área_de_impresión</vt:lpstr>
      <vt:lpstr>Directorio!Área_de_impresión</vt:lpstr>
      <vt:lpstr>'Exp. Proponente'!Área_de_impresión</vt:lpstr>
      <vt:lpstr>'Requisitos Técnicos'!Área_de_impresión</vt:lpstr>
      <vt:lpstr>Directorio!frmMainForm_tblFormContainer_trContentRow_tdLeftColumn_divViewProfilePerspective_tblProfileDetails_trIsGroupContentRow_tdTitleCell_rptIsGroupRepeater_rpteIsGroupConditionalElements_lnkIsGroupConditionalSpan_1</vt:lpstr>
      <vt:lpstr>'Requisitos Técnicos'!Títulos_a_imprimir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Luz Myriam Romero Paez</cp:lastModifiedBy>
  <cp:lastPrinted>2022-02-18T20:43:00Z</cp:lastPrinted>
  <dcterms:created xsi:type="dcterms:W3CDTF">2007-06-12T13:40:37Z</dcterms:created>
  <dcterms:modified xsi:type="dcterms:W3CDTF">2022-08-09T18:52:05Z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cbb736f3-92aa-4733-b93b-c43ad6a375ce</vt:lpwstr>
  </property>
</Properties>
</file>