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giraldo\Documents\AADrGiraldo\backup Juridico\PROCESOS 2019\MINIMA CUANTIA 231.02.06.01-126-2019 MANTENIMIENTO VEHICULO\"/>
    </mc:Choice>
  </mc:AlternateContent>
  <bookViews>
    <workbookView xWindow="240" yWindow="396" windowWidth="8100" windowHeight="2088"/>
  </bookViews>
  <sheets>
    <sheet name="COMPARATIVO VEHICULOS" sheetId="2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K82" i="2" l="1"/>
  <c r="L82" i="2" s="1"/>
  <c r="H82" i="2"/>
  <c r="I82" i="2" s="1"/>
  <c r="E82" i="2"/>
  <c r="F82" i="2" s="1"/>
  <c r="G106" i="2" l="1"/>
  <c r="AG106" i="2" s="1"/>
  <c r="G107" i="2"/>
  <c r="AG107" i="2" s="1"/>
  <c r="G108" i="2"/>
  <c r="AG108" i="2" s="1"/>
  <c r="G109" i="2"/>
  <c r="AG109" i="2" s="1"/>
  <c r="G110" i="2"/>
  <c r="AG110" i="2" s="1"/>
  <c r="G111" i="2"/>
  <c r="AG111" i="2" s="1"/>
  <c r="G112" i="2"/>
  <c r="AG112" i="2" s="1"/>
  <c r="G113" i="2"/>
  <c r="AG113" i="2" s="1"/>
  <c r="G114" i="2"/>
  <c r="AG114" i="2" s="1"/>
  <c r="G115" i="2"/>
  <c r="AG115" i="2" s="1"/>
  <c r="G116" i="2"/>
  <c r="AG116" i="2" s="1"/>
  <c r="G117" i="2"/>
  <c r="AG117" i="2" s="1"/>
  <c r="G118" i="2"/>
  <c r="AG118" i="2" s="1"/>
  <c r="G119" i="2"/>
  <c r="AG119" i="2" s="1"/>
  <c r="G120" i="2"/>
  <c r="AG120" i="2" s="1"/>
  <c r="G121" i="2"/>
  <c r="AG121" i="2" s="1"/>
  <c r="G122" i="2"/>
  <c r="AG122" i="2" s="1"/>
  <c r="G123" i="2"/>
  <c r="AG123" i="2" s="1"/>
  <c r="G124" i="2"/>
  <c r="AG124" i="2" s="1"/>
  <c r="G105" i="2"/>
  <c r="AG105" i="2" s="1"/>
  <c r="H98" i="2"/>
  <c r="I98" i="2" s="1"/>
  <c r="G84" i="2"/>
  <c r="AG84" i="2" s="1"/>
  <c r="G85" i="2"/>
  <c r="G86" i="2"/>
  <c r="AG86" i="2" s="1"/>
  <c r="G87" i="2"/>
  <c r="G88" i="2"/>
  <c r="AG88" i="2" s="1"/>
  <c r="G89" i="2"/>
  <c r="G90" i="2"/>
  <c r="G91" i="2"/>
  <c r="G92" i="2"/>
  <c r="AG92" i="2" s="1"/>
  <c r="G93" i="2"/>
  <c r="G94" i="2"/>
  <c r="G95" i="2"/>
  <c r="G96" i="2"/>
  <c r="AG96" i="2" s="1"/>
  <c r="G97" i="2"/>
  <c r="G98" i="2"/>
  <c r="AG98" i="2" s="1"/>
  <c r="G99" i="2"/>
  <c r="G83" i="2"/>
  <c r="AG83" i="2" s="1"/>
  <c r="AF59" i="2"/>
  <c r="H59" i="2" s="1"/>
  <c r="I59" i="2" s="1"/>
  <c r="AF75" i="2"/>
  <c r="H75" i="2" s="1"/>
  <c r="I75" i="2" s="1"/>
  <c r="G50" i="2"/>
  <c r="G51" i="2"/>
  <c r="AF51" i="2" s="1"/>
  <c r="H51" i="2" s="1"/>
  <c r="I51" i="2" s="1"/>
  <c r="G52" i="2"/>
  <c r="G53" i="2"/>
  <c r="AF53" i="2" s="1"/>
  <c r="H53" i="2" s="1"/>
  <c r="I53" i="2" s="1"/>
  <c r="G54" i="2"/>
  <c r="G55" i="2"/>
  <c r="AF55" i="2" s="1"/>
  <c r="H55" i="2" s="1"/>
  <c r="I55" i="2" s="1"/>
  <c r="G56" i="2"/>
  <c r="G57" i="2"/>
  <c r="G58" i="2"/>
  <c r="G59" i="2"/>
  <c r="G60" i="2"/>
  <c r="G61" i="2"/>
  <c r="AF61" i="2" s="1"/>
  <c r="H61" i="2" s="1"/>
  <c r="I61" i="2" s="1"/>
  <c r="G62" i="2"/>
  <c r="G63" i="2"/>
  <c r="AF63" i="2" s="1"/>
  <c r="H63" i="2" s="1"/>
  <c r="I63" i="2" s="1"/>
  <c r="G64" i="2"/>
  <c r="G65" i="2"/>
  <c r="G66" i="2"/>
  <c r="G67" i="2"/>
  <c r="AF67" i="2" s="1"/>
  <c r="H67" i="2" s="1"/>
  <c r="I67" i="2" s="1"/>
  <c r="G68" i="2"/>
  <c r="G69" i="2"/>
  <c r="AF69" i="2" s="1"/>
  <c r="H69" i="2" s="1"/>
  <c r="I69" i="2" s="1"/>
  <c r="G70" i="2"/>
  <c r="G71" i="2"/>
  <c r="AF71" i="2" s="1"/>
  <c r="H71" i="2" s="1"/>
  <c r="I71" i="2" s="1"/>
  <c r="G72" i="2"/>
  <c r="G73" i="2"/>
  <c r="AF73" i="2" s="1"/>
  <c r="H73" i="2" s="1"/>
  <c r="I73" i="2" s="1"/>
  <c r="G74" i="2"/>
  <c r="G75" i="2"/>
  <c r="G76" i="2"/>
  <c r="G49" i="2"/>
  <c r="AF49" i="2" s="1"/>
  <c r="H49" i="2" s="1"/>
  <c r="I49" i="2" s="1"/>
  <c r="AD77" i="2"/>
  <c r="G29" i="2"/>
  <c r="AF29" i="2" s="1"/>
  <c r="H29" i="2" s="1"/>
  <c r="I29" i="2" s="1"/>
  <c r="G30" i="2"/>
  <c r="G31" i="2"/>
  <c r="AF31" i="2" s="1"/>
  <c r="H31" i="2" s="1"/>
  <c r="I31" i="2" s="1"/>
  <c r="G32" i="2"/>
  <c r="AF32" i="2" s="1"/>
  <c r="H32" i="2" s="1"/>
  <c r="I32" i="2" s="1"/>
  <c r="G33" i="2"/>
  <c r="G34" i="2"/>
  <c r="AF34" i="2" s="1"/>
  <c r="G35" i="2"/>
  <c r="AF35" i="2" s="1"/>
  <c r="H35" i="2" s="1"/>
  <c r="I35" i="2" s="1"/>
  <c r="G36" i="2"/>
  <c r="AF36" i="2" s="1"/>
  <c r="G37" i="2"/>
  <c r="AF37" i="2" s="1"/>
  <c r="H37" i="2" s="1"/>
  <c r="I37" i="2" s="1"/>
  <c r="G38" i="2"/>
  <c r="AF38" i="2" s="1"/>
  <c r="G39" i="2"/>
  <c r="G40" i="2"/>
  <c r="AF40" i="2" s="1"/>
  <c r="G41" i="2"/>
  <c r="G42" i="2"/>
  <c r="AF42" i="2" s="1"/>
  <c r="G43" i="2"/>
  <c r="G44" i="2"/>
  <c r="AF44" i="2" s="1"/>
  <c r="G28" i="2"/>
  <c r="AF28" i="2" s="1"/>
  <c r="I12" i="2"/>
  <c r="I17" i="2"/>
  <c r="I20" i="2"/>
  <c r="AF12" i="2"/>
  <c r="AF17" i="2"/>
  <c r="AF20" i="2"/>
  <c r="G6" i="2"/>
  <c r="AF6" i="2" s="1"/>
  <c r="G7" i="2"/>
  <c r="AF7" i="2" s="1"/>
  <c r="G8" i="2"/>
  <c r="AF8" i="2" s="1"/>
  <c r="H8" i="2" s="1"/>
  <c r="I8" i="2" s="1"/>
  <c r="G9" i="2"/>
  <c r="G10" i="2"/>
  <c r="G11" i="2"/>
  <c r="AF11" i="2" s="1"/>
  <c r="H11" i="2" s="1"/>
  <c r="I11" i="2" s="1"/>
  <c r="G13" i="2"/>
  <c r="G14" i="2"/>
  <c r="G15" i="2"/>
  <c r="AF15" i="2" s="1"/>
  <c r="G16" i="2"/>
  <c r="AF16" i="2" s="1"/>
  <c r="G18" i="2"/>
  <c r="AF18" i="2" s="1"/>
  <c r="H18" i="2" s="1"/>
  <c r="I18" i="2" s="1"/>
  <c r="G19" i="2"/>
  <c r="G21" i="2"/>
  <c r="AF21" i="2" s="1"/>
  <c r="H21" i="2" s="1"/>
  <c r="I21" i="2" s="1"/>
  <c r="G22" i="2"/>
  <c r="G23" i="2"/>
  <c r="G5" i="2"/>
  <c r="AB9" i="2"/>
  <c r="K114" i="2"/>
  <c r="L114" i="2" s="1"/>
  <c r="K116" i="2"/>
  <c r="L116" i="2" s="1"/>
  <c r="K120" i="2"/>
  <c r="L120" i="2" s="1"/>
  <c r="K123" i="2"/>
  <c r="L123" i="2" s="1"/>
  <c r="J105" i="2"/>
  <c r="AC105" i="2" s="1"/>
  <c r="K105" i="2" s="1"/>
  <c r="L105" i="2" s="1"/>
  <c r="J121" i="2"/>
  <c r="J122" i="2"/>
  <c r="J117" i="2"/>
  <c r="J118" i="2"/>
  <c r="AC118" i="2" s="1"/>
  <c r="J119" i="2"/>
  <c r="AC119" i="2" s="1"/>
  <c r="J112" i="2"/>
  <c r="AC112" i="2" s="1"/>
  <c r="J113" i="2"/>
  <c r="J108" i="2"/>
  <c r="AC108" i="2" s="1"/>
  <c r="K108" i="2" s="1"/>
  <c r="L108" i="2" s="1"/>
  <c r="J109" i="2"/>
  <c r="J110" i="2"/>
  <c r="J124" i="2"/>
  <c r="AC124" i="2" s="1"/>
  <c r="K124" i="2" s="1"/>
  <c r="L124" i="2" s="1"/>
  <c r="J115" i="2"/>
  <c r="AC115" i="2" s="1"/>
  <c r="K115" i="2" s="1"/>
  <c r="L115" i="2" s="1"/>
  <c r="J111" i="2"/>
  <c r="J106" i="2"/>
  <c r="J107" i="2"/>
  <c r="AC107" i="2" s="1"/>
  <c r="K107" i="2" s="1"/>
  <c r="L107" i="2" s="1"/>
  <c r="L91" i="2"/>
  <c r="AD91" i="2"/>
  <c r="AD95" i="2"/>
  <c r="K95" i="2" s="1"/>
  <c r="L95" i="2" s="1"/>
  <c r="AD98" i="2"/>
  <c r="K98" i="2" s="1"/>
  <c r="L98" i="2" s="1"/>
  <c r="J99" i="2"/>
  <c r="J96" i="2"/>
  <c r="J97" i="2"/>
  <c r="AD97" i="2" s="1"/>
  <c r="K97" i="2" s="1"/>
  <c r="L97" i="2" s="1"/>
  <c r="J92" i="2"/>
  <c r="J93" i="2"/>
  <c r="J94" i="2"/>
  <c r="AD94" i="2" s="1"/>
  <c r="J88" i="2"/>
  <c r="AD88" i="2" s="1"/>
  <c r="J89" i="2"/>
  <c r="AD89" i="2" s="1"/>
  <c r="J90" i="2"/>
  <c r="AD90" i="2" s="1"/>
  <c r="J86" i="2"/>
  <c r="AD86" i="2" s="1"/>
  <c r="J87" i="2"/>
  <c r="AD87" i="2" s="1"/>
  <c r="K87" i="2" s="1"/>
  <c r="L87" i="2" s="1"/>
  <c r="J83" i="2"/>
  <c r="AD83" i="2" s="1"/>
  <c r="K83" i="2" s="1"/>
  <c r="L83" i="2" s="1"/>
  <c r="J84" i="2"/>
  <c r="AD84" i="2" s="1"/>
  <c r="J85" i="2"/>
  <c r="L67" i="2"/>
  <c r="L68" i="2"/>
  <c r="AA67" i="2"/>
  <c r="AA68" i="2"/>
  <c r="AA72" i="2"/>
  <c r="K72" i="2" s="1"/>
  <c r="L72" i="2" s="1"/>
  <c r="AA75" i="2"/>
  <c r="K75" i="2" s="1"/>
  <c r="L75" i="2" s="1"/>
  <c r="Y65" i="2"/>
  <c r="AA65" i="2" s="1"/>
  <c r="K65" i="2" s="1"/>
  <c r="L65" i="2" s="1"/>
  <c r="Y76" i="2"/>
  <c r="AA76" i="2" s="1"/>
  <c r="K76" i="2" s="1"/>
  <c r="L76" i="2" s="1"/>
  <c r="Y73" i="2"/>
  <c r="AA73" i="2" s="1"/>
  <c r="K73" i="2" s="1"/>
  <c r="Y74" i="2"/>
  <c r="AA74" i="2" s="1"/>
  <c r="K74" i="2" s="1"/>
  <c r="Y71" i="2"/>
  <c r="AA71" i="2" s="1"/>
  <c r="K71" i="2" s="1"/>
  <c r="Y70" i="2"/>
  <c r="AA70" i="2" s="1"/>
  <c r="K70" i="2" s="1"/>
  <c r="L70" i="2" s="1"/>
  <c r="Y69" i="2"/>
  <c r="AA69" i="2" s="1"/>
  <c r="K69" i="2" s="1"/>
  <c r="Y66" i="2"/>
  <c r="AA66" i="2" s="1"/>
  <c r="K66" i="2" s="1"/>
  <c r="L66" i="2" s="1"/>
  <c r="Y64" i="2"/>
  <c r="AA64" i="2" s="1"/>
  <c r="K64" i="2" s="1"/>
  <c r="L64" i="2" s="1"/>
  <c r="Y63" i="2"/>
  <c r="AA63" i="2" s="1"/>
  <c r="K63" i="2" s="1"/>
  <c r="L63" i="2" s="1"/>
  <c r="Y62" i="2"/>
  <c r="AA62" i="2" s="1"/>
  <c r="K62" i="2" s="1"/>
  <c r="L62" i="2" s="1"/>
  <c r="V49" i="2"/>
  <c r="X49" i="2" s="1"/>
  <c r="K49" i="2" s="1"/>
  <c r="L49" i="2" s="1"/>
  <c r="V61" i="2"/>
  <c r="X61" i="2" s="1"/>
  <c r="K61" i="2" s="1"/>
  <c r="L61" i="2" s="1"/>
  <c r="V60" i="2"/>
  <c r="X60" i="2" s="1"/>
  <c r="K60" i="2" s="1"/>
  <c r="L60" i="2" s="1"/>
  <c r="V59" i="2"/>
  <c r="X59" i="2" s="1"/>
  <c r="K59" i="2" s="1"/>
  <c r="L59" i="2" s="1"/>
  <c r="V57" i="2"/>
  <c r="X57" i="2" s="1"/>
  <c r="K57" i="2" s="1"/>
  <c r="L57" i="2" s="1"/>
  <c r="V58" i="2"/>
  <c r="X58" i="2" s="1"/>
  <c r="K58" i="2" s="1"/>
  <c r="L58" i="2" s="1"/>
  <c r="V56" i="2"/>
  <c r="X56" i="2" s="1"/>
  <c r="K56" i="2" s="1"/>
  <c r="L56" i="2" s="1"/>
  <c r="V55" i="2"/>
  <c r="X55" i="2" s="1"/>
  <c r="K55" i="2" s="1"/>
  <c r="L55" i="2" s="1"/>
  <c r="V54" i="2"/>
  <c r="X54" i="2" s="1"/>
  <c r="K54" i="2" s="1"/>
  <c r="L54" i="2" s="1"/>
  <c r="V53" i="2"/>
  <c r="X53" i="2" s="1"/>
  <c r="K53" i="2" s="1"/>
  <c r="L53" i="2" s="1"/>
  <c r="V52" i="2"/>
  <c r="X52" i="2" s="1"/>
  <c r="K52" i="2" s="1"/>
  <c r="L52" i="2" s="1"/>
  <c r="V51" i="2"/>
  <c r="X51" i="2" s="1"/>
  <c r="K51" i="2" s="1"/>
  <c r="L51" i="2" s="1"/>
  <c r="V50" i="2"/>
  <c r="X50" i="2" s="1"/>
  <c r="K50" i="2" s="1"/>
  <c r="L50" i="2" s="1"/>
  <c r="L36" i="2"/>
  <c r="L40" i="2"/>
  <c r="L43" i="2"/>
  <c r="T50" i="2"/>
  <c r="U50" i="2" s="1"/>
  <c r="T35" i="2"/>
  <c r="U35" i="2" s="1"/>
  <c r="K35" i="2" s="1"/>
  <c r="L35" i="2" s="1"/>
  <c r="T36" i="2"/>
  <c r="U36" i="2" s="1"/>
  <c r="T37" i="2"/>
  <c r="U37" i="2" s="1"/>
  <c r="K37" i="2" s="1"/>
  <c r="L37" i="2" s="1"/>
  <c r="T38" i="2"/>
  <c r="U38" i="2" s="1"/>
  <c r="K38" i="2" s="1"/>
  <c r="L38" i="2" s="1"/>
  <c r="T39" i="2"/>
  <c r="U39" i="2" s="1"/>
  <c r="K39" i="2" s="1"/>
  <c r="L39" i="2" s="1"/>
  <c r="T40" i="2"/>
  <c r="U40" i="2" s="1"/>
  <c r="T41" i="2"/>
  <c r="U41" i="2" s="1"/>
  <c r="K41" i="2" s="1"/>
  <c r="T42" i="2"/>
  <c r="U42" i="2" s="1"/>
  <c r="K42" i="2" s="1"/>
  <c r="L42" i="2" s="1"/>
  <c r="T43" i="2"/>
  <c r="U43" i="2" s="1"/>
  <c r="T44" i="2"/>
  <c r="U44" i="2" s="1"/>
  <c r="T45" i="2"/>
  <c r="U45" i="2" s="1"/>
  <c r="T46" i="2"/>
  <c r="U46" i="2" s="1"/>
  <c r="T47" i="2"/>
  <c r="U47" i="2" s="1"/>
  <c r="T48" i="2"/>
  <c r="U48" i="2" s="1"/>
  <c r="T49" i="2"/>
  <c r="U49" i="2" s="1"/>
  <c r="U34" i="2"/>
  <c r="K34" i="2" s="1"/>
  <c r="L34" i="2" s="1"/>
  <c r="U33" i="2"/>
  <c r="K33" i="2" s="1"/>
  <c r="L33" i="2" s="1"/>
  <c r="U32" i="2"/>
  <c r="K32" i="2" s="1"/>
  <c r="L32" i="2" s="1"/>
  <c r="U31" i="2"/>
  <c r="K31" i="2" s="1"/>
  <c r="L31" i="2" s="1"/>
  <c r="U30" i="2"/>
  <c r="K30" i="2" s="1"/>
  <c r="L30" i="2" s="1"/>
  <c r="S28" i="2"/>
  <c r="S29" i="2" s="1"/>
  <c r="K28" i="2" s="1"/>
  <c r="K23" i="2"/>
  <c r="R24" i="2"/>
  <c r="K22" i="2" s="1"/>
  <c r="L22" i="2" s="1"/>
  <c r="R23" i="2" s="1"/>
  <c r="L20" i="2"/>
  <c r="R18" i="2"/>
  <c r="R19" i="2" s="1"/>
  <c r="R16" i="2"/>
  <c r="R17" i="2" s="1"/>
  <c r="K14" i="2" s="1"/>
  <c r="S10" i="2"/>
  <c r="S11" i="2" s="1"/>
  <c r="K13" i="2" s="1"/>
  <c r="R12" i="2"/>
  <c r="R13" i="2" s="1"/>
  <c r="K12" i="2" s="1"/>
  <c r="R10" i="2"/>
  <c r="R11" i="2" s="1"/>
  <c r="K11" i="2" s="1"/>
  <c r="Q8" i="2"/>
  <c r="Q9" i="2" s="1"/>
  <c r="P11" i="2"/>
  <c r="P12" i="2" s="1"/>
  <c r="P9" i="2"/>
  <c r="P10" i="2" s="1"/>
  <c r="P7" i="2"/>
  <c r="P8" i="2" s="1"/>
  <c r="M8" i="2"/>
  <c r="M10" i="2"/>
  <c r="K8" i="2" s="1"/>
  <c r="N5" i="2"/>
  <c r="N6" i="2" s="1"/>
  <c r="N9" i="2"/>
  <c r="AG97" i="2" l="1"/>
  <c r="H97" i="2" s="1"/>
  <c r="I97" i="2" s="1"/>
  <c r="AG99" i="2"/>
  <c r="H99" i="2" s="1"/>
  <c r="I99" i="2" s="1"/>
  <c r="H95" i="2"/>
  <c r="I95" i="2" s="1"/>
  <c r="AG95" i="2"/>
  <c r="H91" i="2"/>
  <c r="I91" i="2" s="1"/>
  <c r="AG91" i="2"/>
  <c r="AG87" i="2"/>
  <c r="H87" i="2" s="1"/>
  <c r="I87" i="2" s="1"/>
  <c r="AG93" i="2"/>
  <c r="H93" i="2" s="1"/>
  <c r="I93" i="2" s="1"/>
  <c r="H89" i="2"/>
  <c r="I89" i="2" s="1"/>
  <c r="AG89" i="2"/>
  <c r="H85" i="2"/>
  <c r="I85" i="2" s="1"/>
  <c r="AG85" i="2"/>
  <c r="AF65" i="2"/>
  <c r="H65" i="2" s="1"/>
  <c r="I65" i="2" s="1"/>
  <c r="AF13" i="2"/>
  <c r="H13" i="2" s="1"/>
  <c r="I13" i="2" s="1"/>
  <c r="AF57" i="2"/>
  <c r="H57" i="2" s="1"/>
  <c r="I57" i="2" s="1"/>
  <c r="AG94" i="2"/>
  <c r="H94" i="2" s="1"/>
  <c r="I94" i="2" s="1"/>
  <c r="AG90" i="2"/>
  <c r="H90" i="2" s="1"/>
  <c r="I90" i="2" s="1"/>
  <c r="H86" i="2"/>
  <c r="I86" i="2" s="1"/>
  <c r="H10" i="2"/>
  <c r="I10" i="2" s="1"/>
  <c r="H6" i="2"/>
  <c r="I6" i="2" s="1"/>
  <c r="H15" i="2"/>
  <c r="I15" i="2" s="1"/>
  <c r="H28" i="2"/>
  <c r="I28" i="2" s="1"/>
  <c r="H40" i="2"/>
  <c r="I40" i="2" s="1"/>
  <c r="H7" i="2"/>
  <c r="I7" i="2" s="1"/>
  <c r="H43" i="2"/>
  <c r="I43" i="2" s="1"/>
  <c r="AF43" i="2"/>
  <c r="H16" i="2"/>
  <c r="I16" i="2" s="1"/>
  <c r="AF10" i="2"/>
  <c r="AF41" i="2"/>
  <c r="H41" i="2" s="1"/>
  <c r="I41" i="2" s="1"/>
  <c r="H44" i="2"/>
  <c r="I44" i="2" s="1"/>
  <c r="AC9" i="2"/>
  <c r="AB10" i="2" s="1"/>
  <c r="H105" i="2"/>
  <c r="I105" i="2" s="1"/>
  <c r="H109" i="2"/>
  <c r="I109" i="2" s="1"/>
  <c r="K9" i="2"/>
  <c r="AF19" i="2"/>
  <c r="H19" i="2" s="1"/>
  <c r="I19" i="2" s="1"/>
  <c r="AF14" i="2"/>
  <c r="H14" i="2" s="1"/>
  <c r="I14" i="2" s="1"/>
  <c r="AF9" i="2"/>
  <c r="H9" i="2"/>
  <c r="I9" i="2" s="1"/>
  <c r="AF5" i="2"/>
  <c r="H5" i="2" s="1"/>
  <c r="I5" i="2" s="1"/>
  <c r="H36" i="2"/>
  <c r="I36" i="2" s="1"/>
  <c r="H121" i="2"/>
  <c r="I121" i="2" s="1"/>
  <c r="H23" i="2"/>
  <c r="I23" i="2" s="1"/>
  <c r="H117" i="2"/>
  <c r="I117" i="2" s="1"/>
  <c r="AF74" i="2"/>
  <c r="H74" i="2" s="1"/>
  <c r="I74" i="2" s="1"/>
  <c r="AF70" i="2"/>
  <c r="H70" i="2" s="1"/>
  <c r="I70" i="2" s="1"/>
  <c r="AF66" i="2"/>
  <c r="H66" i="2" s="1"/>
  <c r="I66" i="2" s="1"/>
  <c r="AF62" i="2"/>
  <c r="H62" i="2" s="1"/>
  <c r="I62" i="2" s="1"/>
  <c r="AF58" i="2"/>
  <c r="H58" i="2" s="1"/>
  <c r="I58" i="2" s="1"/>
  <c r="AF54" i="2"/>
  <c r="H54" i="2" s="1"/>
  <c r="I54" i="2" s="1"/>
  <c r="AF50" i="2"/>
  <c r="H50" i="2" s="1"/>
  <c r="I50" i="2" s="1"/>
  <c r="H83" i="2"/>
  <c r="I83" i="2" s="1"/>
  <c r="H96" i="2"/>
  <c r="I96" i="2" s="1"/>
  <c r="H92" i="2"/>
  <c r="I92" i="2" s="1"/>
  <c r="H88" i="2"/>
  <c r="I88" i="2" s="1"/>
  <c r="H84" i="2"/>
  <c r="I84" i="2" s="1"/>
  <c r="H118" i="2"/>
  <c r="I118" i="2" s="1"/>
  <c r="H110" i="2"/>
  <c r="I110" i="2" s="1"/>
  <c r="H113" i="2"/>
  <c r="I113" i="2" s="1"/>
  <c r="AF23" i="2"/>
  <c r="AF30" i="2"/>
  <c r="H30" i="2" s="1"/>
  <c r="I30" i="2" s="1"/>
  <c r="H38" i="2"/>
  <c r="I38" i="2" s="1"/>
  <c r="H34" i="2"/>
  <c r="I34" i="2" s="1"/>
  <c r="AF76" i="2"/>
  <c r="H76" i="2" s="1"/>
  <c r="I76" i="2" s="1"/>
  <c r="AF72" i="2"/>
  <c r="H72" i="2" s="1"/>
  <c r="I72" i="2" s="1"/>
  <c r="AF68" i="2"/>
  <c r="H68" i="2" s="1"/>
  <c r="I68" i="2" s="1"/>
  <c r="AF64" i="2"/>
  <c r="H64" i="2" s="1"/>
  <c r="I64" i="2" s="1"/>
  <c r="AF60" i="2"/>
  <c r="H60" i="2" s="1"/>
  <c r="I60" i="2" s="1"/>
  <c r="AF56" i="2"/>
  <c r="H56" i="2" s="1"/>
  <c r="I56" i="2" s="1"/>
  <c r="AF52" i="2"/>
  <c r="H52" i="2" s="1"/>
  <c r="I52" i="2" s="1"/>
  <c r="H124" i="2"/>
  <c r="I124" i="2" s="1"/>
  <c r="H120" i="2"/>
  <c r="I120" i="2" s="1"/>
  <c r="H116" i="2"/>
  <c r="I116" i="2" s="1"/>
  <c r="H112" i="2"/>
  <c r="I112" i="2" s="1"/>
  <c r="H108" i="2"/>
  <c r="I108" i="2" s="1"/>
  <c r="AF22" i="2"/>
  <c r="H22" i="2" s="1"/>
  <c r="I22" i="2" s="1"/>
  <c r="H42" i="2"/>
  <c r="I42" i="2" s="1"/>
  <c r="H123" i="2"/>
  <c r="I123" i="2" s="1"/>
  <c r="H119" i="2"/>
  <c r="I119" i="2" s="1"/>
  <c r="H115" i="2"/>
  <c r="I115" i="2" s="1"/>
  <c r="H111" i="2"/>
  <c r="I111" i="2" s="1"/>
  <c r="H107" i="2"/>
  <c r="I107" i="2" s="1"/>
  <c r="H122" i="2"/>
  <c r="I122" i="2" s="1"/>
  <c r="H114" i="2"/>
  <c r="I114" i="2" s="1"/>
  <c r="H106" i="2"/>
  <c r="I106" i="2" s="1"/>
  <c r="K84" i="2"/>
  <c r="L84" i="2" s="1"/>
  <c r="M84" i="2" s="1"/>
  <c r="AD93" i="2"/>
  <c r="K93" i="2" s="1"/>
  <c r="L93" i="2" s="1"/>
  <c r="M93" i="2" s="1"/>
  <c r="K89" i="2"/>
  <c r="L89" i="2" s="1"/>
  <c r="M89" i="2" s="1"/>
  <c r="AD92" i="2"/>
  <c r="K92" i="2" s="1"/>
  <c r="L92" i="2" s="1"/>
  <c r="M92" i="2" s="1"/>
  <c r="K88" i="2"/>
  <c r="L88" i="2" s="1"/>
  <c r="M88" i="2" s="1"/>
  <c r="K118" i="2"/>
  <c r="L118" i="2" s="1"/>
  <c r="M118" i="2" s="1"/>
  <c r="AC117" i="2"/>
  <c r="K117" i="2" s="1"/>
  <c r="L117" i="2" s="1"/>
  <c r="M117" i="2" s="1"/>
  <c r="AD85" i="2"/>
  <c r="K85" i="2" s="1"/>
  <c r="L85" i="2" s="1"/>
  <c r="K112" i="2"/>
  <c r="L112" i="2" s="1"/>
  <c r="M112" i="2" s="1"/>
  <c r="AD96" i="2"/>
  <c r="K96" i="2" s="1"/>
  <c r="L96" i="2" s="1"/>
  <c r="M96" i="2" s="1"/>
  <c r="K90" i="2"/>
  <c r="L90" i="2" s="1"/>
  <c r="M90" i="2" s="1"/>
  <c r="K86" i="2"/>
  <c r="L86" i="2" s="1"/>
  <c r="M86" i="2" s="1"/>
  <c r="K94" i="2"/>
  <c r="L94" i="2" s="1"/>
  <c r="M94" i="2" s="1"/>
  <c r="AC122" i="2"/>
  <c r="K122" i="2" s="1"/>
  <c r="L122" i="2" s="1"/>
  <c r="M122" i="2" s="1"/>
  <c r="AC111" i="2"/>
  <c r="K111" i="2" s="1"/>
  <c r="L111" i="2" s="1"/>
  <c r="M111" i="2" s="1"/>
  <c r="K119" i="2"/>
  <c r="L119" i="2" s="1"/>
  <c r="M119" i="2" s="1"/>
  <c r="AD99" i="2"/>
  <c r="K99" i="2" s="1"/>
  <c r="L99" i="2" s="1"/>
  <c r="M99" i="2" s="1"/>
  <c r="AC121" i="2"/>
  <c r="K121" i="2" s="1"/>
  <c r="L121" i="2" s="1"/>
  <c r="M121" i="2" s="1"/>
  <c r="AC110" i="2"/>
  <c r="K110" i="2" s="1"/>
  <c r="L110" i="2" s="1"/>
  <c r="M110" i="2" s="1"/>
  <c r="AC106" i="2"/>
  <c r="K106" i="2" s="1"/>
  <c r="L106" i="2" s="1"/>
  <c r="AC113" i="2"/>
  <c r="K113" i="2" s="1"/>
  <c r="L113" i="2" s="1"/>
  <c r="M113" i="2" s="1"/>
  <c r="AC109" i="2"/>
  <c r="K109" i="2" s="1"/>
  <c r="L109" i="2" s="1"/>
  <c r="M109" i="2" s="1"/>
  <c r="AF39" i="2"/>
  <c r="H39" i="2" s="1"/>
  <c r="I39" i="2" s="1"/>
  <c r="AF33" i="2"/>
  <c r="H33" i="2" s="1"/>
  <c r="I33" i="2" s="1"/>
  <c r="M24" i="2"/>
  <c r="L77" i="2"/>
  <c r="K44" i="2"/>
  <c r="L44" i="2" s="1"/>
  <c r="K16" i="2"/>
  <c r="K15" i="2"/>
  <c r="K10" i="2"/>
  <c r="Q10" i="2"/>
  <c r="N10" i="2"/>
  <c r="O15" i="2"/>
  <c r="K5" i="2" s="1"/>
  <c r="L5" i="2" s="1"/>
  <c r="L24" i="2" s="1"/>
  <c r="O20" i="2"/>
  <c r="O21" i="2" s="1"/>
  <c r="O22" i="2" s="1"/>
  <c r="M107" i="2"/>
  <c r="M108" i="2"/>
  <c r="M114" i="2"/>
  <c r="M115" i="2"/>
  <c r="M116" i="2"/>
  <c r="M120" i="2"/>
  <c r="M123" i="2"/>
  <c r="M124" i="2"/>
  <c r="M105" i="2"/>
  <c r="M87" i="2"/>
  <c r="M91" i="2"/>
  <c r="M95" i="2"/>
  <c r="M97" i="2"/>
  <c r="M98" i="2"/>
  <c r="M83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49" i="2"/>
  <c r="L28" i="2"/>
  <c r="F123" i="2"/>
  <c r="F116" i="2"/>
  <c r="E117" i="2"/>
  <c r="F117" i="2" s="1"/>
  <c r="E106" i="2"/>
  <c r="F106" i="2" s="1"/>
  <c r="E107" i="2"/>
  <c r="F107" i="2" s="1"/>
  <c r="E108" i="2"/>
  <c r="F108" i="2" s="1"/>
  <c r="E109" i="2"/>
  <c r="F109" i="2" s="1"/>
  <c r="E110" i="2"/>
  <c r="F110" i="2" s="1"/>
  <c r="E111" i="2"/>
  <c r="F111" i="2" s="1"/>
  <c r="E112" i="2"/>
  <c r="F112" i="2" s="1"/>
  <c r="E113" i="2"/>
  <c r="F113" i="2" s="1"/>
  <c r="E114" i="2"/>
  <c r="F114" i="2" s="1"/>
  <c r="E115" i="2"/>
  <c r="F115" i="2" s="1"/>
  <c r="E118" i="2"/>
  <c r="F118" i="2" s="1"/>
  <c r="E119" i="2"/>
  <c r="F119" i="2" s="1"/>
  <c r="E120" i="2"/>
  <c r="F120" i="2" s="1"/>
  <c r="E121" i="2"/>
  <c r="F121" i="2" s="1"/>
  <c r="E122" i="2"/>
  <c r="F122" i="2" s="1"/>
  <c r="E124" i="2"/>
  <c r="F124" i="2" s="1"/>
  <c r="E105" i="2"/>
  <c r="F105" i="2" s="1"/>
  <c r="F98" i="2"/>
  <c r="F91" i="2"/>
  <c r="E84" i="2"/>
  <c r="F84" i="2" s="1"/>
  <c r="E85" i="2"/>
  <c r="F85" i="2" s="1"/>
  <c r="E86" i="2"/>
  <c r="F86" i="2" s="1"/>
  <c r="E87" i="2"/>
  <c r="F87" i="2" s="1"/>
  <c r="E88" i="2"/>
  <c r="F88" i="2" s="1"/>
  <c r="E89" i="2"/>
  <c r="F89" i="2" s="1"/>
  <c r="E90" i="2"/>
  <c r="F90" i="2" s="1"/>
  <c r="E92" i="2"/>
  <c r="F92" i="2" s="1"/>
  <c r="E93" i="2"/>
  <c r="F93" i="2" s="1"/>
  <c r="E94" i="2"/>
  <c r="F94" i="2" s="1"/>
  <c r="E95" i="2"/>
  <c r="F95" i="2" s="1"/>
  <c r="E96" i="2"/>
  <c r="F96" i="2" s="1"/>
  <c r="E97" i="2"/>
  <c r="F97" i="2" s="1"/>
  <c r="E99" i="2"/>
  <c r="F99" i="2" s="1"/>
  <c r="E83" i="2"/>
  <c r="F83" i="2" s="1"/>
  <c r="F67" i="2"/>
  <c r="F68" i="2"/>
  <c r="F75" i="2"/>
  <c r="E50" i="2"/>
  <c r="F50" i="2" s="1"/>
  <c r="E51" i="2"/>
  <c r="F51" i="2" s="1"/>
  <c r="E52" i="2"/>
  <c r="F52" i="2" s="1"/>
  <c r="E53" i="2"/>
  <c r="F53" i="2" s="1"/>
  <c r="E54" i="2"/>
  <c r="F54" i="2" s="1"/>
  <c r="E55" i="2"/>
  <c r="F55" i="2" s="1"/>
  <c r="E56" i="2"/>
  <c r="F56" i="2" s="1"/>
  <c r="E57" i="2"/>
  <c r="F57" i="2" s="1"/>
  <c r="E58" i="2"/>
  <c r="F58" i="2" s="1"/>
  <c r="E59" i="2"/>
  <c r="F59" i="2" s="1"/>
  <c r="E60" i="2"/>
  <c r="F60" i="2" s="1"/>
  <c r="E61" i="2"/>
  <c r="F61" i="2" s="1"/>
  <c r="E62" i="2"/>
  <c r="F62" i="2" s="1"/>
  <c r="E63" i="2"/>
  <c r="F63" i="2" s="1"/>
  <c r="E64" i="2"/>
  <c r="F64" i="2" s="1"/>
  <c r="E65" i="2"/>
  <c r="F65" i="2" s="1"/>
  <c r="E66" i="2"/>
  <c r="F66" i="2" s="1"/>
  <c r="E69" i="2"/>
  <c r="F69" i="2" s="1"/>
  <c r="E70" i="2"/>
  <c r="F70" i="2" s="1"/>
  <c r="E71" i="2"/>
  <c r="F71" i="2" s="1"/>
  <c r="E72" i="2"/>
  <c r="F72" i="2" s="1"/>
  <c r="E73" i="2"/>
  <c r="F73" i="2" s="1"/>
  <c r="E74" i="2"/>
  <c r="F74" i="2" s="1"/>
  <c r="E76" i="2"/>
  <c r="F76" i="2" s="1"/>
  <c r="E49" i="2"/>
  <c r="F49" i="2" s="1"/>
  <c r="F36" i="2"/>
  <c r="F43" i="2"/>
  <c r="E29" i="2"/>
  <c r="F29" i="2" s="1"/>
  <c r="E30" i="2"/>
  <c r="F30" i="2" s="1"/>
  <c r="E31" i="2"/>
  <c r="F31" i="2" s="1"/>
  <c r="E32" i="2"/>
  <c r="F32" i="2" s="1"/>
  <c r="E33" i="2"/>
  <c r="F33" i="2" s="1"/>
  <c r="E34" i="2"/>
  <c r="F34" i="2" s="1"/>
  <c r="E35" i="2"/>
  <c r="F35" i="2" s="1"/>
  <c r="E37" i="2"/>
  <c r="F37" i="2" s="1"/>
  <c r="E38" i="2"/>
  <c r="F38" i="2" s="1"/>
  <c r="E39" i="2"/>
  <c r="F39" i="2" s="1"/>
  <c r="E40" i="2"/>
  <c r="F40" i="2" s="1"/>
  <c r="E41" i="2"/>
  <c r="F41" i="2" s="1"/>
  <c r="E42" i="2"/>
  <c r="F42" i="2" s="1"/>
  <c r="E44" i="2"/>
  <c r="F44" i="2" s="1"/>
  <c r="E28" i="2"/>
  <c r="F28" i="2" s="1"/>
  <c r="F12" i="2"/>
  <c r="F17" i="2"/>
  <c r="E6" i="2"/>
  <c r="F6" i="2" s="1"/>
  <c r="E7" i="2"/>
  <c r="F7" i="2" s="1"/>
  <c r="E8" i="2"/>
  <c r="F8" i="2" s="1"/>
  <c r="E9" i="2"/>
  <c r="F9" i="2" s="1"/>
  <c r="E10" i="2"/>
  <c r="F10" i="2" s="1"/>
  <c r="E11" i="2"/>
  <c r="F11" i="2" s="1"/>
  <c r="E13" i="2"/>
  <c r="F13" i="2" s="1"/>
  <c r="E14" i="2"/>
  <c r="F14" i="2" s="1"/>
  <c r="E15" i="2"/>
  <c r="F15" i="2" s="1"/>
  <c r="E16" i="2"/>
  <c r="F16" i="2" s="1"/>
  <c r="E18" i="2"/>
  <c r="F18" i="2" s="1"/>
  <c r="E19" i="2"/>
  <c r="F19" i="2" s="1"/>
  <c r="E20" i="2"/>
  <c r="F20" i="2" s="1"/>
  <c r="E21" i="2"/>
  <c r="F21" i="2" s="1"/>
  <c r="E22" i="2"/>
  <c r="F22" i="2" s="1"/>
  <c r="E23" i="2"/>
  <c r="F23" i="2" s="1"/>
  <c r="E25" i="2"/>
  <c r="E5" i="2"/>
  <c r="F5" i="2" s="1"/>
  <c r="I125" i="2" l="1"/>
  <c r="I77" i="2"/>
  <c r="I100" i="2"/>
  <c r="I24" i="2"/>
  <c r="L125" i="2"/>
  <c r="L100" i="2"/>
  <c r="M85" i="2"/>
  <c r="M100" i="2" s="1"/>
  <c r="M106" i="2"/>
  <c r="M125" i="2" s="1"/>
  <c r="I45" i="2"/>
  <c r="M77" i="2"/>
  <c r="F125" i="2"/>
  <c r="F100" i="2"/>
  <c r="F45" i="2"/>
  <c r="F77" i="2"/>
  <c r="F24" i="2"/>
  <c r="J131" i="2" l="1"/>
  <c r="J132" i="2"/>
  <c r="J130" i="2"/>
  <c r="J133" i="2" l="1"/>
  <c r="J134" i="2" s="1"/>
  <c r="R20" i="2"/>
  <c r="K18" i="2" s="1"/>
  <c r="J6" i="2"/>
  <c r="O17" i="2" s="1"/>
  <c r="K6" i="2" s="1"/>
  <c r="J7" i="2"/>
  <c r="O11" i="2" s="1"/>
  <c r="K7" i="2" s="1"/>
  <c r="R22" i="2"/>
  <c r="K21" i="2" s="1"/>
  <c r="R21" i="2"/>
  <c r="K19" i="2"/>
  <c r="S30" i="2"/>
  <c r="K29" i="2" s="1"/>
  <c r="L29" i="2" s="1"/>
  <c r="L45" i="2" s="1"/>
  <c r="M46" i="2" l="1"/>
</calcChain>
</file>

<file path=xl/sharedStrings.xml><?xml version="1.0" encoding="utf-8"?>
<sst xmlns="http://schemas.openxmlformats.org/spreadsheetml/2006/main" count="200" uniqueCount="98">
  <si>
    <t>ITEM</t>
  </si>
  <si>
    <t>CANT.</t>
  </si>
  <si>
    <t>V. UNIT</t>
  </si>
  <si>
    <t>VR. IVA</t>
  </si>
  <si>
    <t>VR. TOTAL</t>
  </si>
  <si>
    <t>SINCRONIZACION</t>
  </si>
  <si>
    <t>SERVICIO  ELECTRICO</t>
  </si>
  <si>
    <t>REPARACION DE FRENOS</t>
  </si>
  <si>
    <t xml:space="preserve">MANTENIMIENTO TREN DELANTERO  </t>
  </si>
  <si>
    <t>ALINEACION</t>
  </si>
  <si>
    <t>BALANCEO</t>
  </si>
  <si>
    <t>ENGRASE RODAMIENTOS</t>
  </si>
  <si>
    <t>ACEITE 15W40</t>
  </si>
  <si>
    <t>FILTRO DE ACEITE A -4051</t>
  </si>
  <si>
    <t>FILTRO DE ACEITE A -4052</t>
  </si>
  <si>
    <t>FILTRO DE AIRE PA-2712</t>
  </si>
  <si>
    <t>LIQUIDO DE DIRECCION HIDRAULICA</t>
  </si>
  <si>
    <t>LIQUIDO DE FRENOS</t>
  </si>
  <si>
    <t>AGUA PARA BATERIAS</t>
  </si>
  <si>
    <t>ACEITE CAJA DE VELOCIDADES Y TRANSMISION</t>
  </si>
  <si>
    <t>ENGRASE</t>
  </si>
  <si>
    <t>PLUMILLAS DELANTERAS</t>
  </si>
  <si>
    <t>MANTENIMIENTOS DE MUELLES</t>
  </si>
  <si>
    <t>AG REPUESTOS</t>
  </si>
  <si>
    <t>VR.  +IVA</t>
  </si>
  <si>
    <t>VALOR TOTAL</t>
  </si>
  <si>
    <t>SERVITECA LA CAMPIÑA</t>
  </si>
  <si>
    <t>TALLER SERVI ALARCON</t>
  </si>
  <si>
    <t>DESCRIPCION PLACA OYL 450</t>
  </si>
  <si>
    <t>DESCRIPCION PLACA OYL 451</t>
  </si>
  <si>
    <t>SERVICIO ELECTRICO</t>
  </si>
  <si>
    <t>REPARACIONDE FRENOS</t>
  </si>
  <si>
    <t>CAMBIO DE CORREA ALTERNADOR</t>
  </si>
  <si>
    <t>MANTENIMIENTO RADIADOR</t>
  </si>
  <si>
    <t>PLUMILLAS</t>
  </si>
  <si>
    <t>FILTRO DE ACEITE A 7029</t>
  </si>
  <si>
    <t>FILTRO DE AIRE AP 8040</t>
  </si>
  <si>
    <t>FILTRO DE COMBUSTIBLE AK 570</t>
  </si>
  <si>
    <t>LIQUIDO DIRE.HIDRAULICA</t>
  </si>
  <si>
    <t>LIQUIDO FRENOS</t>
  </si>
  <si>
    <t>LIQUIDO BATERIA</t>
  </si>
  <si>
    <t>ACEITE DE CAJA DE VELO Y TRANSMISION</t>
  </si>
  <si>
    <t>DESCRIPCION PLACA ONK -064</t>
  </si>
  <si>
    <t>PASTILLAS DE FRENOS</t>
  </si>
  <si>
    <t>BANDAS DE FRENO</t>
  </si>
  <si>
    <t>CRUCETAS DE CARDAN</t>
  </si>
  <si>
    <t>BUJIAS</t>
  </si>
  <si>
    <t>CABLES DE ALTA</t>
  </si>
  <si>
    <t>EMPAQUE CUERPO ACELERACION</t>
  </si>
  <si>
    <t>ACEITE HIDRAULICO</t>
  </si>
  <si>
    <t>ACEITE 20W50 CUARTOS</t>
  </si>
  <si>
    <t>FILTRO DE ACEITE A 323</t>
  </si>
  <si>
    <t>FILTRO DE COMBUSTIBLE</t>
  </si>
  <si>
    <t>ACEITE DE VELOCIDADES Y TRASMISION</t>
  </si>
  <si>
    <t>ALINEACION Y BALANCEO</t>
  </si>
  <si>
    <t>MANTENIMIENTO GENERAL DE FRENOS</t>
  </si>
  <si>
    <t>BANDAS DE FRENOS</t>
  </si>
  <si>
    <t>CILINDRO DE FRENOS</t>
  </si>
  <si>
    <t>MANTENIMIENTO AIRE ACONDICIONADO</t>
  </si>
  <si>
    <t>MANTENIMIENTO DRECCION HIDRAULICA</t>
  </si>
  <si>
    <t>CAMBIO DE CRUCETAS CARDAN</t>
  </si>
  <si>
    <t>ENGRACE Y AJUSTE DE RODAMIENTOS</t>
  </si>
  <si>
    <t>CAMBIO DE LIQUIDO DE EMBRAGUE</t>
  </si>
  <si>
    <t>MANTENIMIENTO DE RADIADOR</t>
  </si>
  <si>
    <t>REFRIGERANTE</t>
  </si>
  <si>
    <t>CAMBIO DE ACEITE HIDRAULICO</t>
  </si>
  <si>
    <t>FILTRO DE AIRE AP 3195</t>
  </si>
  <si>
    <t>LIQUIDO DE BATERIA</t>
  </si>
  <si>
    <t>AJUSTE SUSPENCSION DELANTERA Y TRASEA</t>
  </si>
  <si>
    <t>PASTILLAS DE FREN0</t>
  </si>
  <si>
    <t>CAMBIO REFRIGERANTE</t>
  </si>
  <si>
    <t>FILTRO DE ACEITE A-323</t>
  </si>
  <si>
    <t>FILTRO AIRE AP-3195</t>
  </si>
  <si>
    <t>LIQUIDO HIDRAULICO</t>
  </si>
  <si>
    <t>ENGRASE RODAMIENTO DEL</t>
  </si>
  <si>
    <t>CABLES ALTA</t>
  </si>
  <si>
    <t>MANTENIMIENTO DE FRENOS GENERAL</t>
  </si>
  <si>
    <t>PASTILLAS DE FRENO</t>
  </si>
  <si>
    <t>AJUSTE SUSPENSION DELANTERA Y TRASERA</t>
  </si>
  <si>
    <t>FILTRO DE ACEITE</t>
  </si>
  <si>
    <t>FILTRO DE AIRE</t>
  </si>
  <si>
    <t>LIQUIDO DIRECCION HIDRAULICA</t>
  </si>
  <si>
    <t>ACEITE VELOCIDADES Y TRANSMISION</t>
  </si>
  <si>
    <t>FILTRO DE COMBUSTIBLE P-596,AK-570</t>
  </si>
  <si>
    <t>VR + IVA</t>
  </si>
  <si>
    <t>valor total:</t>
  </si>
  <si>
    <t>VR TOTAL</t>
  </si>
  <si>
    <t>VR. +IVA</t>
  </si>
  <si>
    <t>PROMEDIO</t>
  </si>
  <si>
    <t>LA CAMPIÑA</t>
  </si>
  <si>
    <t>SUMATORIA TOTAL</t>
  </si>
  <si>
    <t xml:space="preserve">        SERVITECA LA CAMPIÑA</t>
  </si>
  <si>
    <t xml:space="preserve">           SERVITECA LA CAMPIÑA</t>
  </si>
  <si>
    <t>EMPRESA</t>
  </si>
  <si>
    <t>VALOR</t>
  </si>
  <si>
    <t>ESTUDIO DE MERCADO Y ANÁLISIS DE PRECIOS</t>
  </si>
  <si>
    <t>DESCRIPCION PLACA SUZUKI ONK804</t>
  </si>
  <si>
    <t>DESCRIPCION PLACA NISSAN FRONTIER - ONK691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</si>
</sst>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&quot;$&quot;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rgb="FF000000"/>
      <name val="Verdana"/>
      <family val="2"/>
    </font>
    <font>
      <sz val="9"/>
      <color rgb="FF000000"/>
      <name val="Verdana"/>
      <family val="2"/>
    </font>
    <font>
      <sz val="9"/>
      <color theme="1"/>
      <name val="Verdana"/>
      <family val="2"/>
    </font>
    <font>
      <sz val="9"/>
      <color theme="0"/>
      <name val="Verdana"/>
      <family val="2"/>
    </font>
    <font>
      <b/>
      <sz val="9"/>
      <color theme="1"/>
      <name val="Verdana"/>
      <family val="2"/>
    </font>
    <font>
      <i/>
      <sz val="9"/>
      <color theme="1"/>
      <name val="Verdana"/>
      <family val="2"/>
    </font>
    <font>
      <sz val="12"/>
      <color indexed="8"/>
      <name val="Arial"/>
      <family val="2"/>
    </font>
    <font>
      <sz val="9"/>
      <color indexed="8"/>
      <name val="Verdana"/>
      <family val="2"/>
    </font>
    <font>
      <b/>
      <sz val="9"/>
      <color theme="0"/>
      <name val="Verdana"/>
      <family val="2"/>
    </font>
    <font>
      <b/>
      <sz val="9"/>
      <name val="Verdana"/>
      <family val="2"/>
    </font>
    <font>
      <b/>
      <sz val="20"/>
      <color theme="1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5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2" fillId="0" borderId="0">
      <alignment vertical="center"/>
    </xf>
  </cellStyleXfs>
  <cellXfs count="333">
    <xf numFmtId="0" fontId="0" fillId="0" borderId="0" xfId="0"/>
    <xf numFmtId="0" fontId="3" fillId="0" borderId="1" xfId="0" applyFont="1" applyBorder="1" applyAlignment="1">
      <alignment horizontal="center" vertical="top" wrapText="1"/>
    </xf>
    <xf numFmtId="164" fontId="5" fillId="3" borderId="4" xfId="0" applyNumberFormat="1" applyFont="1" applyFill="1" applyBorder="1" applyAlignment="1">
      <alignment horizontal="center" vertical="top"/>
    </xf>
    <xf numFmtId="164" fontId="5" fillId="3" borderId="1" xfId="0" applyNumberFormat="1" applyFont="1" applyFill="1" applyBorder="1" applyAlignment="1">
      <alignment horizontal="center" vertical="top"/>
    </xf>
    <xf numFmtId="167" fontId="5" fillId="2" borderId="8" xfId="0" applyNumberFormat="1" applyFont="1" applyFill="1" applyBorder="1" applyAlignment="1">
      <alignment horizontal="center" vertical="top" wrapText="1"/>
    </xf>
    <xf numFmtId="167" fontId="4" fillId="7" borderId="1" xfId="1" applyNumberFormat="1" applyFont="1" applyFill="1" applyBorder="1" applyAlignment="1">
      <alignment horizontal="center" vertical="top"/>
    </xf>
    <xf numFmtId="166" fontId="5" fillId="7" borderId="1" xfId="0" applyNumberFormat="1" applyFont="1" applyFill="1" applyBorder="1" applyAlignment="1">
      <alignment horizontal="center" vertical="top"/>
    </xf>
    <xf numFmtId="167" fontId="5" fillId="2" borderId="8" xfId="0" applyNumberFormat="1" applyFont="1" applyFill="1" applyBorder="1" applyAlignment="1">
      <alignment vertical="top" wrapText="1"/>
    </xf>
    <xf numFmtId="167" fontId="5" fillId="3" borderId="4" xfId="0" applyNumberFormat="1" applyFont="1" applyFill="1" applyBorder="1" applyAlignment="1">
      <alignment horizontal="center" vertical="top"/>
    </xf>
    <xf numFmtId="167" fontId="5" fillId="3" borderId="1" xfId="0" applyNumberFormat="1" applyFont="1" applyFill="1" applyBorder="1" applyAlignment="1">
      <alignment horizontal="center" vertical="top"/>
    </xf>
    <xf numFmtId="166" fontId="5" fillId="2" borderId="1" xfId="0" applyNumberFormat="1" applyFont="1" applyFill="1" applyBorder="1" applyAlignment="1">
      <alignment horizontal="center" vertical="top"/>
    </xf>
    <xf numFmtId="166" fontId="4" fillId="7" borderId="1" xfId="1" applyNumberFormat="1" applyFont="1" applyFill="1" applyBorder="1" applyAlignment="1">
      <alignment horizontal="center" vertical="top"/>
    </xf>
    <xf numFmtId="167" fontId="4" fillId="3" borderId="8" xfId="0" applyNumberFormat="1" applyFont="1" applyFill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167" fontId="5" fillId="3" borderId="8" xfId="0" applyNumberFormat="1" applyFont="1" applyFill="1" applyBorder="1" applyAlignment="1">
      <alignment horizontal="center" vertical="top"/>
    </xf>
    <xf numFmtId="166" fontId="6" fillId="4" borderId="1" xfId="0" applyNumberFormat="1" applyFont="1" applyFill="1" applyBorder="1" applyAlignment="1">
      <alignment horizontal="center" vertical="top"/>
    </xf>
    <xf numFmtId="166" fontId="5" fillId="2" borderId="8" xfId="0" applyNumberFormat="1" applyFont="1" applyFill="1" applyBorder="1" applyAlignment="1">
      <alignment horizontal="center" vertical="top"/>
    </xf>
    <xf numFmtId="167" fontId="5" fillId="7" borderId="1" xfId="0" applyNumberFormat="1" applyFont="1" applyFill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167" fontId="5" fillId="7" borderId="1" xfId="0" applyNumberFormat="1" applyFont="1" applyFill="1" applyBorder="1" applyAlignment="1">
      <alignment horizontal="center" vertical="top" wrapText="1"/>
    </xf>
    <xf numFmtId="164" fontId="5" fillId="3" borderId="8" xfId="0" applyNumberFormat="1" applyFont="1" applyFill="1" applyBorder="1" applyAlignment="1">
      <alignment horizontal="center" vertical="top"/>
    </xf>
    <xf numFmtId="166" fontId="5" fillId="7" borderId="8" xfId="0" applyNumberFormat="1" applyFont="1" applyFill="1" applyBorder="1" applyAlignment="1">
      <alignment horizontal="center" vertical="top"/>
    </xf>
    <xf numFmtId="0" fontId="5" fillId="0" borderId="0" xfId="0" applyFont="1" applyAlignment="1">
      <alignment vertical="top"/>
    </xf>
    <xf numFmtId="166" fontId="5" fillId="0" borderId="0" xfId="0" applyNumberFormat="1" applyFont="1" applyFill="1" applyAlignment="1">
      <alignment vertical="top"/>
    </xf>
    <xf numFmtId="167" fontId="5" fillId="0" borderId="0" xfId="0" applyNumberFormat="1" applyFont="1" applyBorder="1" applyAlignment="1">
      <alignment horizontal="center" vertical="top" wrapText="1"/>
    </xf>
    <xf numFmtId="167" fontId="5" fillId="0" borderId="0" xfId="0" applyNumberFormat="1" applyFont="1" applyAlignment="1">
      <alignment vertical="top"/>
    </xf>
    <xf numFmtId="167" fontId="5" fillId="2" borderId="8" xfId="0" applyNumberFormat="1" applyFont="1" applyFill="1" applyBorder="1" applyAlignment="1">
      <alignment vertical="top"/>
    </xf>
    <xf numFmtId="167" fontId="5" fillId="3" borderId="8" xfId="0" applyNumberFormat="1" applyFont="1" applyFill="1" applyBorder="1" applyAlignment="1">
      <alignment horizontal="center" vertical="top" wrapText="1"/>
    </xf>
    <xf numFmtId="167" fontId="5" fillId="7" borderId="8" xfId="0" applyNumberFormat="1" applyFont="1" applyFill="1" applyBorder="1" applyAlignment="1">
      <alignment horizontal="center" vertical="top"/>
    </xf>
    <xf numFmtId="167" fontId="5" fillId="7" borderId="8" xfId="0" applyNumberFormat="1" applyFont="1" applyFill="1" applyBorder="1" applyAlignment="1">
      <alignment vertical="top"/>
    </xf>
    <xf numFmtId="166" fontId="5" fillId="7" borderId="8" xfId="0" applyNumberFormat="1" applyFont="1" applyFill="1" applyBorder="1" applyAlignment="1">
      <alignment vertical="top"/>
    </xf>
    <xf numFmtId="0" fontId="5" fillId="0" borderId="2" xfId="0" applyFont="1" applyBorder="1" applyAlignment="1">
      <alignment horizontal="center" vertical="top"/>
    </xf>
    <xf numFmtId="167" fontId="4" fillId="3" borderId="8" xfId="0" applyNumberFormat="1" applyFont="1" applyFill="1" applyBorder="1" applyAlignment="1">
      <alignment horizontal="center" vertical="top" wrapText="1"/>
    </xf>
    <xf numFmtId="0" fontId="5" fillId="0" borderId="8" xfId="0" applyFont="1" applyBorder="1" applyAlignment="1">
      <alignment vertical="top" wrapText="1"/>
    </xf>
    <xf numFmtId="0" fontId="5" fillId="0" borderId="2" xfId="0" applyFont="1" applyFill="1" applyBorder="1" applyAlignment="1">
      <alignment horizontal="center" vertical="top"/>
    </xf>
    <xf numFmtId="167" fontId="4" fillId="0" borderId="0" xfId="0" applyNumberFormat="1" applyFont="1" applyBorder="1" applyAlignment="1">
      <alignment horizontal="center" vertical="top" wrapText="1"/>
    </xf>
    <xf numFmtId="0" fontId="8" fillId="6" borderId="13" xfId="0" applyFont="1" applyFill="1" applyBorder="1" applyAlignment="1">
      <alignment horizontal="center" vertical="top"/>
    </xf>
    <xf numFmtId="167" fontId="8" fillId="3" borderId="8" xfId="0" applyNumberFormat="1" applyFont="1" applyFill="1" applyBorder="1" applyAlignment="1">
      <alignment vertical="top"/>
    </xf>
    <xf numFmtId="0" fontId="8" fillId="6" borderId="0" xfId="0" applyFont="1" applyFill="1" applyBorder="1" applyAlignment="1">
      <alignment horizontal="center" vertical="top"/>
    </xf>
    <xf numFmtId="0" fontId="8" fillId="6" borderId="2" xfId="0" applyFont="1" applyFill="1" applyBorder="1" applyAlignment="1">
      <alignment horizontal="center" vertical="top"/>
    </xf>
    <xf numFmtId="0" fontId="8" fillId="6" borderId="9" xfId="0" applyFont="1" applyFill="1" applyBorder="1" applyAlignment="1">
      <alignment horizontal="center" vertical="top"/>
    </xf>
    <xf numFmtId="3" fontId="8" fillId="3" borderId="9" xfId="0" applyNumberFormat="1" applyFont="1" applyFill="1" applyBorder="1" applyAlignment="1">
      <alignment vertical="top"/>
    </xf>
    <xf numFmtId="0" fontId="8" fillId="6" borderId="12" xfId="0" applyFont="1" applyFill="1" applyBorder="1" applyAlignment="1">
      <alignment vertical="top" wrapText="1"/>
    </xf>
    <xf numFmtId="3" fontId="8" fillId="3" borderId="13" xfId="0" applyNumberFormat="1" applyFont="1" applyFill="1" applyBorder="1" applyAlignment="1">
      <alignment vertical="top"/>
    </xf>
    <xf numFmtId="3" fontId="5" fillId="3" borderId="8" xfId="0" applyNumberFormat="1" applyFont="1" applyFill="1" applyBorder="1" applyAlignment="1">
      <alignment vertical="top"/>
    </xf>
    <xf numFmtId="0" fontId="5" fillId="0" borderId="11" xfId="0" applyFont="1" applyFill="1" applyBorder="1" applyAlignment="1">
      <alignment horizontal="center" vertical="top"/>
    </xf>
    <xf numFmtId="3" fontId="5" fillId="3" borderId="14" xfId="0" applyNumberFormat="1" applyFont="1" applyFill="1" applyBorder="1" applyAlignment="1">
      <alignment vertical="top"/>
    </xf>
    <xf numFmtId="0" fontId="5" fillId="0" borderId="8" xfId="0" applyFont="1" applyBorder="1" applyAlignment="1">
      <alignment horizontal="center" vertical="top"/>
    </xf>
    <xf numFmtId="3" fontId="8" fillId="3" borderId="8" xfId="0" applyNumberFormat="1" applyFont="1" applyFill="1" applyBorder="1" applyAlignment="1">
      <alignment vertical="top"/>
    </xf>
    <xf numFmtId="166" fontId="5" fillId="0" borderId="0" xfId="0" applyNumberFormat="1" applyFont="1" applyAlignment="1">
      <alignment vertical="top"/>
    </xf>
    <xf numFmtId="167" fontId="9" fillId="0" borderId="15" xfId="2" applyNumberFormat="1" applyFont="1" applyBorder="1" applyAlignment="1" applyProtection="1">
      <alignment horizontal="center" vertical="center"/>
      <protection locked="0"/>
    </xf>
    <xf numFmtId="167" fontId="9" fillId="0" borderId="16" xfId="2" applyNumberFormat="1" applyFont="1" applyBorder="1" applyAlignment="1" applyProtection="1">
      <alignment horizontal="center" vertical="center"/>
      <protection locked="0"/>
    </xf>
    <xf numFmtId="166" fontId="9" fillId="0" borderId="17" xfId="2" applyNumberFormat="1" applyFont="1" applyBorder="1" applyAlignment="1" applyProtection="1">
      <alignment vertical="center"/>
      <protection locked="0"/>
    </xf>
    <xf numFmtId="166" fontId="9" fillId="0" borderId="18" xfId="2" applyNumberFormat="1" applyFont="1" applyBorder="1" applyAlignment="1" applyProtection="1">
      <alignment vertical="center"/>
      <protection locked="0"/>
    </xf>
    <xf numFmtId="166" fontId="9" fillId="5" borderId="17" xfId="2" applyNumberFormat="1" applyFont="1" applyFill="1" applyBorder="1" applyAlignment="1" applyProtection="1">
      <alignment vertical="center"/>
      <protection locked="0"/>
    </xf>
    <xf numFmtId="167" fontId="9" fillId="0" borderId="19" xfId="2" applyNumberFormat="1" applyFont="1" applyBorder="1" applyAlignment="1" applyProtection="1">
      <alignment vertical="center"/>
      <protection locked="0"/>
    </xf>
    <xf numFmtId="166" fontId="5" fillId="2" borderId="2" xfId="0" applyNumberFormat="1" applyFont="1" applyFill="1" applyBorder="1" applyAlignment="1">
      <alignment horizontal="center" vertical="top"/>
    </xf>
    <xf numFmtId="167" fontId="5" fillId="7" borderId="8" xfId="0" applyNumberFormat="1" applyFont="1" applyFill="1" applyBorder="1" applyAlignment="1">
      <alignment horizontal="center" vertical="center"/>
    </xf>
    <xf numFmtId="167" fontId="10" fillId="7" borderId="8" xfId="2" applyNumberFormat="1" applyFont="1" applyFill="1" applyBorder="1" applyAlignment="1" applyProtection="1">
      <alignment horizontal="center" wrapText="1"/>
      <protection locked="0"/>
    </xf>
    <xf numFmtId="166" fontId="5" fillId="7" borderId="8" xfId="0" applyNumberFormat="1" applyFont="1" applyFill="1" applyBorder="1" applyAlignment="1">
      <alignment horizontal="center" wrapText="1"/>
    </xf>
    <xf numFmtId="166" fontId="5" fillId="7" borderId="5" xfId="0" applyNumberFormat="1" applyFont="1" applyFill="1" applyBorder="1" applyAlignment="1">
      <alignment horizontal="center" wrapText="1"/>
    </xf>
    <xf numFmtId="167" fontId="4" fillId="7" borderId="8" xfId="1" applyNumberFormat="1" applyFont="1" applyFill="1" applyBorder="1" applyAlignment="1">
      <alignment horizontal="center" wrapText="1"/>
    </xf>
    <xf numFmtId="167" fontId="5" fillId="7" borderId="8" xfId="0" applyNumberFormat="1" applyFont="1" applyFill="1" applyBorder="1" applyAlignment="1">
      <alignment horizontal="center" wrapText="1"/>
    </xf>
    <xf numFmtId="167" fontId="5" fillId="7" borderId="1" xfId="0" applyNumberFormat="1" applyFont="1" applyFill="1" applyBorder="1" applyAlignment="1">
      <alignment horizontal="center" wrapText="1"/>
    </xf>
    <xf numFmtId="167" fontId="4" fillId="7" borderId="1" xfId="1" applyNumberFormat="1" applyFont="1" applyFill="1" applyBorder="1" applyAlignment="1">
      <alignment horizontal="center" vertical="center"/>
    </xf>
    <xf numFmtId="167" fontId="5" fillId="7" borderId="1" xfId="0" applyNumberFormat="1" applyFont="1" applyFill="1" applyBorder="1" applyAlignment="1">
      <alignment horizontal="center" vertical="center"/>
    </xf>
    <xf numFmtId="167" fontId="5" fillId="7" borderId="0" xfId="0" applyNumberFormat="1" applyFont="1" applyFill="1" applyAlignment="1">
      <alignment horizontal="center" vertical="center"/>
    </xf>
    <xf numFmtId="167" fontId="10" fillId="7" borderId="8" xfId="2" applyNumberFormat="1" applyFont="1" applyFill="1" applyBorder="1" applyAlignment="1" applyProtection="1">
      <alignment wrapText="1"/>
      <protection locked="0"/>
    </xf>
    <xf numFmtId="167" fontId="10" fillId="7" borderId="19" xfId="2" applyNumberFormat="1" applyFont="1" applyFill="1" applyBorder="1" applyAlignment="1" applyProtection="1">
      <alignment horizontal="center" vertical="center" wrapText="1"/>
      <protection locked="0"/>
    </xf>
    <xf numFmtId="167" fontId="10" fillId="7" borderId="19" xfId="2" applyNumberFormat="1" applyFont="1" applyFill="1" applyBorder="1" applyAlignment="1" applyProtection="1">
      <alignment horizontal="center" vertical="center"/>
      <protection locked="0"/>
    </xf>
    <xf numFmtId="167" fontId="5" fillId="0" borderId="0" xfId="0" applyNumberFormat="1" applyFont="1" applyAlignment="1">
      <alignment vertical="top" wrapText="1"/>
    </xf>
    <xf numFmtId="164" fontId="5" fillId="3" borderId="20" xfId="0" applyNumberFormat="1" applyFont="1" applyFill="1" applyBorder="1" applyAlignment="1">
      <alignment horizontal="center" vertical="top"/>
    </xf>
    <xf numFmtId="0" fontId="5" fillId="5" borderId="0" xfId="0" applyFont="1" applyFill="1" applyAlignment="1">
      <alignment vertical="top"/>
    </xf>
    <xf numFmtId="167" fontId="5" fillId="5" borderId="0" xfId="0" applyNumberFormat="1" applyFont="1" applyFill="1" applyAlignment="1">
      <alignment vertical="top"/>
    </xf>
    <xf numFmtId="0" fontId="7" fillId="0" borderId="8" xfId="0" applyFont="1" applyBorder="1" applyAlignment="1">
      <alignment horizontal="center" vertical="top"/>
    </xf>
    <xf numFmtId="0" fontId="5" fillId="4" borderId="0" xfId="0" applyFont="1" applyFill="1" applyAlignment="1">
      <alignment vertical="top"/>
    </xf>
    <xf numFmtId="0" fontId="3" fillId="9" borderId="2" xfId="0" applyFont="1" applyFill="1" applyBorder="1" applyAlignment="1">
      <alignment vertical="top"/>
    </xf>
    <xf numFmtId="0" fontId="3" fillId="9" borderId="3" xfId="0" applyFont="1" applyFill="1" applyBorder="1" applyAlignment="1">
      <alignment vertical="top"/>
    </xf>
    <xf numFmtId="0" fontId="3" fillId="9" borderId="8" xfId="0" applyFont="1" applyFill="1" applyBorder="1" applyAlignment="1">
      <alignment vertical="top"/>
    </xf>
    <xf numFmtId="164" fontId="3" fillId="9" borderId="1" xfId="0" applyNumberFormat="1" applyFont="1" applyFill="1" applyBorder="1" applyAlignment="1">
      <alignment horizontal="center" vertical="top"/>
    </xf>
    <xf numFmtId="0" fontId="3" fillId="9" borderId="1" xfId="0" applyFont="1" applyFill="1" applyBorder="1" applyAlignment="1">
      <alignment horizontal="center" vertical="top"/>
    </xf>
    <xf numFmtId="0" fontId="3" fillId="0" borderId="6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center" vertical="top"/>
    </xf>
    <xf numFmtId="167" fontId="5" fillId="3" borderId="6" xfId="0" applyNumberFormat="1" applyFont="1" applyFill="1" applyBorder="1" applyAlignment="1">
      <alignment horizontal="center" vertical="top" wrapText="1"/>
    </xf>
    <xf numFmtId="164" fontId="5" fillId="3" borderId="6" xfId="0" applyNumberFormat="1" applyFont="1" applyFill="1" applyBorder="1" applyAlignment="1">
      <alignment horizontal="center" vertical="top"/>
    </xf>
    <xf numFmtId="167" fontId="5" fillId="2" borderId="6" xfId="0" applyNumberFormat="1" applyFont="1" applyFill="1" applyBorder="1" applyAlignment="1">
      <alignment vertical="top"/>
    </xf>
    <xf numFmtId="167" fontId="5" fillId="2" borderId="6" xfId="0" applyNumberFormat="1" applyFont="1" applyFill="1" applyBorder="1" applyAlignment="1">
      <alignment horizontal="center" vertical="top" wrapText="1"/>
    </xf>
    <xf numFmtId="167" fontId="4" fillId="7" borderId="6" xfId="1" applyNumberFormat="1" applyFont="1" applyFill="1" applyBorder="1" applyAlignment="1">
      <alignment horizontal="center" vertical="top"/>
    </xf>
    <xf numFmtId="166" fontId="5" fillId="7" borderId="6" xfId="0" applyNumberFormat="1" applyFont="1" applyFill="1" applyBorder="1" applyAlignment="1">
      <alignment horizontal="center" vertical="top"/>
    </xf>
    <xf numFmtId="0" fontId="3" fillId="9" borderId="26" xfId="0" applyFont="1" applyFill="1" applyBorder="1" applyAlignment="1">
      <alignment vertical="top"/>
    </xf>
    <xf numFmtId="0" fontId="3" fillId="9" borderId="27" xfId="0" applyFont="1" applyFill="1" applyBorder="1" applyAlignment="1">
      <alignment vertical="top"/>
    </xf>
    <xf numFmtId="0" fontId="3" fillId="9" borderId="29" xfId="0" applyFont="1" applyFill="1" applyBorder="1" applyAlignment="1">
      <alignment vertical="top"/>
    </xf>
    <xf numFmtId="164" fontId="3" fillId="9" borderId="34" xfId="0" applyNumberFormat="1" applyFont="1" applyFill="1" applyBorder="1" applyAlignment="1">
      <alignment horizontal="center" vertical="top"/>
    </xf>
    <xf numFmtId="164" fontId="3" fillId="9" borderId="35" xfId="0" applyNumberFormat="1" applyFont="1" applyFill="1" applyBorder="1" applyAlignment="1">
      <alignment horizontal="center" vertical="top"/>
    </xf>
    <xf numFmtId="167" fontId="3" fillId="9" borderId="35" xfId="0" applyNumberFormat="1" applyFont="1" applyFill="1" applyBorder="1" applyAlignment="1">
      <alignment horizontal="center" vertical="top"/>
    </xf>
    <xf numFmtId="0" fontId="3" fillId="9" borderId="35" xfId="0" applyFont="1" applyFill="1" applyBorder="1" applyAlignment="1">
      <alignment horizontal="center" vertical="top"/>
    </xf>
    <xf numFmtId="0" fontId="5" fillId="9" borderId="9" xfId="0" applyFont="1" applyFill="1" applyBorder="1" applyAlignment="1">
      <alignment vertical="top"/>
    </xf>
    <xf numFmtId="0" fontId="3" fillId="9" borderId="1" xfId="0" applyFont="1" applyFill="1" applyBorder="1" applyAlignment="1">
      <alignment horizontal="center" vertical="top" wrapText="1"/>
    </xf>
    <xf numFmtId="167" fontId="3" fillId="9" borderId="8" xfId="0" applyNumberFormat="1" applyFont="1" applyFill="1" applyBorder="1" applyAlignment="1">
      <alignment horizontal="center" vertical="top" wrapText="1"/>
    </xf>
    <xf numFmtId="167" fontId="3" fillId="9" borderId="1" xfId="0" applyNumberFormat="1" applyFont="1" applyFill="1" applyBorder="1" applyAlignment="1">
      <alignment horizontal="center" vertical="top"/>
    </xf>
    <xf numFmtId="164" fontId="3" fillId="9" borderId="10" xfId="0" applyNumberFormat="1" applyFont="1" applyFill="1" applyBorder="1" applyAlignment="1">
      <alignment horizontal="center" vertical="top"/>
    </xf>
    <xf numFmtId="0" fontId="3" fillId="9" borderId="2" xfId="0" applyFont="1" applyFill="1" applyBorder="1" applyAlignment="1">
      <alignment horizontal="center" vertical="top" wrapText="1"/>
    </xf>
    <xf numFmtId="0" fontId="7" fillId="9" borderId="0" xfId="0" applyFont="1" applyFill="1" applyAlignment="1">
      <alignment vertical="top"/>
    </xf>
    <xf numFmtId="167" fontId="7" fillId="9" borderId="0" xfId="0" applyNumberFormat="1" applyFont="1" applyFill="1" applyBorder="1" applyAlignment="1">
      <alignment horizontal="center" vertical="top" wrapText="1"/>
    </xf>
    <xf numFmtId="0" fontId="7" fillId="9" borderId="8" xfId="0" applyFont="1" applyFill="1" applyBorder="1" applyAlignment="1">
      <alignment vertical="top"/>
    </xf>
    <xf numFmtId="0" fontId="7" fillId="9" borderId="8" xfId="0" applyFont="1" applyFill="1" applyBorder="1" applyAlignment="1">
      <alignment horizontal="center" vertical="center" wrapText="1"/>
    </xf>
    <xf numFmtId="164" fontId="7" fillId="9" borderId="8" xfId="0" applyNumberFormat="1" applyFont="1" applyFill="1" applyBorder="1" applyAlignment="1">
      <alignment horizontal="center" vertical="center" wrapText="1"/>
    </xf>
    <xf numFmtId="167" fontId="7" fillId="9" borderId="8" xfId="0" applyNumberFormat="1" applyFont="1" applyFill="1" applyBorder="1" applyAlignment="1">
      <alignment horizontal="center" vertical="center" wrapText="1"/>
    </xf>
    <xf numFmtId="166" fontId="7" fillId="9" borderId="8" xfId="0" applyNumberFormat="1" applyFont="1" applyFill="1" applyBorder="1" applyAlignment="1">
      <alignment horizontal="center" vertical="center" wrapText="1"/>
    </xf>
    <xf numFmtId="0" fontId="7" fillId="9" borderId="0" xfId="0" applyFont="1" applyFill="1" applyAlignment="1">
      <alignment horizontal="center" vertical="center" wrapText="1"/>
    </xf>
    <xf numFmtId="167" fontId="7" fillId="9" borderId="8" xfId="0" applyNumberFormat="1" applyFont="1" applyFill="1" applyBorder="1" applyAlignment="1">
      <alignment horizontal="center" vertical="top" wrapText="1"/>
    </xf>
    <xf numFmtId="167" fontId="7" fillId="9" borderId="8" xfId="0" applyNumberFormat="1" applyFont="1" applyFill="1" applyBorder="1" applyAlignment="1">
      <alignment horizontal="center" vertical="center"/>
    </xf>
    <xf numFmtId="167" fontId="7" fillId="9" borderId="8" xfId="0" applyNumberFormat="1" applyFont="1" applyFill="1" applyBorder="1" applyAlignment="1">
      <alignment vertical="center"/>
    </xf>
    <xf numFmtId="0" fontId="7" fillId="9" borderId="8" xfId="0" applyFont="1" applyFill="1" applyBorder="1" applyAlignment="1">
      <alignment vertical="center"/>
    </xf>
    <xf numFmtId="166" fontId="7" fillId="9" borderId="2" xfId="0" applyNumberFormat="1" applyFont="1" applyFill="1" applyBorder="1" applyAlignment="1">
      <alignment vertical="center"/>
    </xf>
    <xf numFmtId="166" fontId="7" fillId="9" borderId="8" xfId="0" applyNumberFormat="1" applyFont="1" applyFill="1" applyBorder="1" applyAlignment="1">
      <alignment vertical="center"/>
    </xf>
    <xf numFmtId="0" fontId="5" fillId="0" borderId="0" xfId="0" applyFont="1" applyAlignment="1">
      <alignment horizontal="center" vertical="top"/>
    </xf>
    <xf numFmtId="0" fontId="7" fillId="9" borderId="22" xfId="0" applyFont="1" applyFill="1" applyBorder="1" applyAlignment="1">
      <alignment horizontal="center" vertical="center"/>
    </xf>
    <xf numFmtId="167" fontId="5" fillId="4" borderId="37" xfId="0" applyNumberFormat="1" applyFont="1" applyFill="1" applyBorder="1" applyAlignment="1">
      <alignment vertical="top"/>
    </xf>
    <xf numFmtId="167" fontId="5" fillId="4" borderId="38" xfId="0" applyNumberFormat="1" applyFont="1" applyFill="1" applyBorder="1" applyAlignment="1">
      <alignment vertical="top"/>
    </xf>
    <xf numFmtId="167" fontId="5" fillId="4" borderId="39" xfId="0" applyNumberFormat="1" applyFont="1" applyFill="1" applyBorder="1" applyAlignment="1">
      <alignment vertical="top"/>
    </xf>
    <xf numFmtId="0" fontId="7" fillId="9" borderId="36" xfId="0" applyFont="1" applyFill="1" applyBorder="1" applyAlignment="1">
      <alignment vertical="center"/>
    </xf>
    <xf numFmtId="167" fontId="7" fillId="9" borderId="22" xfId="0" applyNumberFormat="1" applyFont="1" applyFill="1" applyBorder="1" applyAlignment="1">
      <alignment vertical="center"/>
    </xf>
    <xf numFmtId="167" fontId="5" fillId="9" borderId="37" xfId="0" applyNumberFormat="1" applyFont="1" applyFill="1" applyBorder="1" applyAlignment="1">
      <alignment vertical="top"/>
    </xf>
    <xf numFmtId="167" fontId="5" fillId="9" borderId="38" xfId="0" applyNumberFormat="1" applyFont="1" applyFill="1" applyBorder="1" applyAlignment="1">
      <alignment vertical="top"/>
    </xf>
    <xf numFmtId="167" fontId="5" fillId="9" borderId="38" xfId="0" applyNumberFormat="1" applyFont="1" applyFill="1" applyBorder="1" applyAlignment="1">
      <alignment vertical="top" wrapText="1"/>
    </xf>
    <xf numFmtId="0" fontId="5" fillId="9" borderId="39" xfId="0" applyFont="1" applyFill="1" applyBorder="1" applyAlignment="1">
      <alignment vertical="top" wrapText="1"/>
    </xf>
    <xf numFmtId="0" fontId="7" fillId="9" borderId="22" xfId="0" applyFont="1" applyFill="1" applyBorder="1" applyAlignment="1">
      <alignment vertical="center"/>
    </xf>
    <xf numFmtId="167" fontId="3" fillId="9" borderId="41" xfId="0" applyNumberFormat="1" applyFont="1" applyFill="1" applyBorder="1" applyAlignment="1">
      <alignment horizontal="center" vertical="top" wrapText="1"/>
    </xf>
    <xf numFmtId="164" fontId="3" fillId="9" borderId="42" xfId="0" applyNumberFormat="1" applyFont="1" applyFill="1" applyBorder="1" applyAlignment="1">
      <alignment horizontal="center" vertical="top"/>
    </xf>
    <xf numFmtId="167" fontId="3" fillId="9" borderId="43" xfId="0" applyNumberFormat="1" applyFont="1" applyFill="1" applyBorder="1" applyAlignment="1">
      <alignment horizontal="center" vertical="top"/>
    </xf>
    <xf numFmtId="0" fontId="3" fillId="9" borderId="42" xfId="0" applyFont="1" applyFill="1" applyBorder="1" applyAlignment="1">
      <alignment horizontal="center" vertical="top"/>
    </xf>
    <xf numFmtId="0" fontId="3" fillId="9" borderId="43" xfId="0" applyFont="1" applyFill="1" applyBorder="1" applyAlignment="1">
      <alignment horizontal="center" vertical="top"/>
    </xf>
    <xf numFmtId="0" fontId="3" fillId="0" borderId="5" xfId="0" applyFont="1" applyBorder="1" applyAlignment="1">
      <alignment horizontal="center" vertical="top" wrapText="1"/>
    </xf>
    <xf numFmtId="167" fontId="5" fillId="3" borderId="6" xfId="0" applyNumberFormat="1" applyFont="1" applyFill="1" applyBorder="1" applyAlignment="1">
      <alignment horizontal="center" vertical="top"/>
    </xf>
    <xf numFmtId="167" fontId="5" fillId="3" borderId="20" xfId="0" applyNumberFormat="1" applyFont="1" applyFill="1" applyBorder="1" applyAlignment="1">
      <alignment horizontal="center" vertical="top"/>
    </xf>
    <xf numFmtId="166" fontId="5" fillId="2" borderId="6" xfId="0" applyNumberFormat="1" applyFont="1" applyFill="1" applyBorder="1" applyAlignment="1">
      <alignment horizontal="center" vertical="top"/>
    </xf>
    <xf numFmtId="166" fontId="4" fillId="7" borderId="6" xfId="1" applyNumberFormat="1" applyFont="1" applyFill="1" applyBorder="1" applyAlignment="1">
      <alignment horizontal="center" vertical="top"/>
    </xf>
    <xf numFmtId="167" fontId="3" fillId="9" borderId="35" xfId="0" applyNumberFormat="1" applyFont="1" applyFill="1" applyBorder="1" applyAlignment="1">
      <alignment horizontal="center" vertical="top" wrapText="1"/>
    </xf>
    <xf numFmtId="167" fontId="5" fillId="4" borderId="0" xfId="0" applyNumberFormat="1" applyFont="1" applyFill="1" applyBorder="1" applyAlignment="1">
      <alignment horizontal="center" vertical="top" wrapText="1"/>
    </xf>
    <xf numFmtId="167" fontId="5" fillId="4" borderId="0" xfId="0" applyNumberFormat="1" applyFont="1" applyFill="1" applyAlignment="1">
      <alignment vertical="top"/>
    </xf>
    <xf numFmtId="0" fontId="5" fillId="0" borderId="11" xfId="0" applyFont="1" applyBorder="1" applyAlignment="1">
      <alignment horizontal="center" vertical="top"/>
    </xf>
    <xf numFmtId="167" fontId="4" fillId="3" borderId="5" xfId="0" applyNumberFormat="1" applyFont="1" applyFill="1" applyBorder="1" applyAlignment="1">
      <alignment horizontal="center" vertical="top" wrapText="1"/>
    </xf>
    <xf numFmtId="164" fontId="5" fillId="3" borderId="10" xfId="0" applyNumberFormat="1" applyFont="1" applyFill="1" applyBorder="1" applyAlignment="1">
      <alignment horizontal="center" vertical="top"/>
    </xf>
    <xf numFmtId="164" fontId="5" fillId="3" borderId="5" xfId="0" applyNumberFormat="1" applyFont="1" applyFill="1" applyBorder="1" applyAlignment="1">
      <alignment horizontal="center" vertical="top"/>
    </xf>
    <xf numFmtId="167" fontId="5" fillId="2" borderId="5" xfId="0" applyNumberFormat="1" applyFont="1" applyFill="1" applyBorder="1" applyAlignment="1">
      <alignment vertical="top"/>
    </xf>
    <xf numFmtId="167" fontId="5" fillId="2" borderId="5" xfId="0" applyNumberFormat="1" applyFont="1" applyFill="1" applyBorder="1" applyAlignment="1">
      <alignment horizontal="center" vertical="top" wrapText="1"/>
    </xf>
    <xf numFmtId="167" fontId="4" fillId="7" borderId="5" xfId="1" applyNumberFormat="1" applyFont="1" applyFill="1" applyBorder="1" applyAlignment="1">
      <alignment horizontal="center" vertical="top"/>
    </xf>
    <xf numFmtId="166" fontId="5" fillId="7" borderId="5" xfId="0" applyNumberFormat="1" applyFont="1" applyFill="1" applyBorder="1" applyAlignment="1">
      <alignment horizontal="center" vertical="top"/>
    </xf>
    <xf numFmtId="0" fontId="3" fillId="4" borderId="21" xfId="0" applyFont="1" applyFill="1" applyBorder="1" applyAlignment="1">
      <alignment horizontal="center" vertical="top" wrapText="1"/>
    </xf>
    <xf numFmtId="164" fontId="5" fillId="4" borderId="47" xfId="0" applyNumberFormat="1" applyFont="1" applyFill="1" applyBorder="1" applyAlignment="1">
      <alignment horizontal="center" vertical="top"/>
    </xf>
    <xf numFmtId="0" fontId="3" fillId="9" borderId="48" xfId="0" applyFont="1" applyFill="1" applyBorder="1" applyAlignment="1">
      <alignment horizontal="center" vertical="top" wrapText="1"/>
    </xf>
    <xf numFmtId="0" fontId="7" fillId="9" borderId="49" xfId="0" applyFont="1" applyFill="1" applyBorder="1" applyAlignment="1">
      <alignment vertical="top"/>
    </xf>
    <xf numFmtId="167" fontId="7" fillId="9" borderId="49" xfId="0" applyNumberFormat="1" applyFont="1" applyFill="1" applyBorder="1" applyAlignment="1">
      <alignment horizontal="center" vertical="top" wrapText="1"/>
    </xf>
    <xf numFmtId="164" fontId="7" fillId="9" borderId="50" xfId="0" applyNumberFormat="1" applyFont="1" applyFill="1" applyBorder="1" applyAlignment="1">
      <alignment horizontal="center" vertical="top"/>
    </xf>
    <xf numFmtId="164" fontId="7" fillId="9" borderId="50" xfId="0" applyNumberFormat="1" applyFont="1" applyFill="1" applyBorder="1" applyAlignment="1">
      <alignment vertical="top"/>
    </xf>
    <xf numFmtId="167" fontId="7" fillId="9" borderId="50" xfId="0" applyNumberFormat="1" applyFont="1" applyFill="1" applyBorder="1" applyAlignment="1">
      <alignment vertical="top" wrapText="1"/>
    </xf>
    <xf numFmtId="166" fontId="7" fillId="9" borderId="51" xfId="0" applyNumberFormat="1" applyFont="1" applyFill="1" applyBorder="1" applyAlignment="1">
      <alignment vertical="top"/>
    </xf>
    <xf numFmtId="167" fontId="4" fillId="3" borderId="5" xfId="0" applyNumberFormat="1" applyFont="1" applyFill="1" applyBorder="1" applyAlignment="1">
      <alignment horizontal="center" vertical="top"/>
    </xf>
    <xf numFmtId="167" fontId="5" fillId="3" borderId="10" xfId="0" applyNumberFormat="1" applyFont="1" applyFill="1" applyBorder="1" applyAlignment="1">
      <alignment horizontal="center" vertical="top"/>
    </xf>
    <xf numFmtId="167" fontId="5" fillId="3" borderId="5" xfId="0" applyNumberFormat="1" applyFont="1" applyFill="1" applyBorder="1" applyAlignment="1">
      <alignment horizontal="center" vertical="top"/>
    </xf>
    <xf numFmtId="166" fontId="5" fillId="2" borderId="5" xfId="0" applyNumberFormat="1" applyFont="1" applyFill="1" applyBorder="1" applyAlignment="1">
      <alignment horizontal="center" vertical="top"/>
    </xf>
    <xf numFmtId="166" fontId="4" fillId="7" borderId="5" xfId="1" applyNumberFormat="1" applyFont="1" applyFill="1" applyBorder="1" applyAlignment="1">
      <alignment horizontal="center" vertical="top"/>
    </xf>
    <xf numFmtId="164" fontId="5" fillId="4" borderId="20" xfId="0" applyNumberFormat="1" applyFont="1" applyFill="1" applyBorder="1" applyAlignment="1">
      <alignment horizontal="center" vertical="top"/>
    </xf>
    <xf numFmtId="164" fontId="5" fillId="4" borderId="6" xfId="0" applyNumberFormat="1" applyFont="1" applyFill="1" applyBorder="1" applyAlignment="1">
      <alignment horizontal="center" vertical="top"/>
    </xf>
    <xf numFmtId="167" fontId="6" fillId="4" borderId="6" xfId="1" applyNumberFormat="1" applyFont="1" applyFill="1" applyBorder="1" applyAlignment="1">
      <alignment horizontal="center" vertical="top"/>
    </xf>
    <xf numFmtId="166" fontId="6" fillId="4" borderId="6" xfId="0" applyNumberFormat="1" applyFont="1" applyFill="1" applyBorder="1" applyAlignment="1">
      <alignment horizontal="center" vertical="top"/>
    </xf>
    <xf numFmtId="166" fontId="6" fillId="4" borderId="6" xfId="1" applyNumberFormat="1" applyFont="1" applyFill="1" applyBorder="1" applyAlignment="1">
      <alignment horizontal="center" vertical="top"/>
    </xf>
    <xf numFmtId="0" fontId="3" fillId="9" borderId="36" xfId="0" applyFont="1" applyFill="1" applyBorder="1" applyAlignment="1">
      <alignment horizontal="center" vertical="top" wrapText="1"/>
    </xf>
    <xf numFmtId="0" fontId="7" fillId="9" borderId="49" xfId="0" applyFont="1" applyFill="1" applyBorder="1" applyAlignment="1">
      <alignment horizontal="center" vertical="top"/>
    </xf>
    <xf numFmtId="167" fontId="7" fillId="9" borderId="49" xfId="0" applyNumberFormat="1" applyFont="1" applyFill="1" applyBorder="1" applyAlignment="1">
      <alignment vertical="top"/>
    </xf>
    <xf numFmtId="167" fontId="7" fillId="9" borderId="50" xfId="0" applyNumberFormat="1" applyFont="1" applyFill="1" applyBorder="1" applyAlignment="1">
      <alignment horizontal="center" vertical="top"/>
    </xf>
    <xf numFmtId="167" fontId="11" fillId="9" borderId="50" xfId="1" applyNumberFormat="1" applyFont="1" applyFill="1" applyBorder="1" applyAlignment="1">
      <alignment horizontal="center" vertical="top"/>
    </xf>
    <xf numFmtId="166" fontId="12" fillId="9" borderId="50" xfId="0" applyNumberFormat="1" applyFont="1" applyFill="1" applyBorder="1" applyAlignment="1">
      <alignment horizontal="center" vertical="top"/>
    </xf>
    <xf numFmtId="166" fontId="12" fillId="9" borderId="50" xfId="1" applyNumberFormat="1" applyFont="1" applyFill="1" applyBorder="1" applyAlignment="1">
      <alignment horizontal="center" vertical="top"/>
    </xf>
    <xf numFmtId="166" fontId="12" fillId="9" borderId="51" xfId="0" applyNumberFormat="1" applyFont="1" applyFill="1" applyBorder="1" applyAlignment="1">
      <alignment horizontal="center" vertical="top"/>
    </xf>
    <xf numFmtId="167" fontId="5" fillId="7" borderId="4" xfId="0" applyNumberFormat="1" applyFont="1" applyFill="1" applyBorder="1" applyAlignment="1">
      <alignment vertical="top"/>
    </xf>
    <xf numFmtId="0" fontId="5" fillId="0" borderId="5" xfId="0" applyFont="1" applyBorder="1" applyAlignment="1">
      <alignment vertical="top"/>
    </xf>
    <xf numFmtId="167" fontId="5" fillId="3" borderId="5" xfId="0" applyNumberFormat="1" applyFont="1" applyFill="1" applyBorder="1" applyAlignment="1">
      <alignment horizontal="center" vertical="top" wrapText="1"/>
    </xf>
    <xf numFmtId="167" fontId="5" fillId="7" borderId="5" xfId="0" applyNumberFormat="1" applyFont="1" applyFill="1" applyBorder="1" applyAlignment="1">
      <alignment horizontal="center" vertical="center"/>
    </xf>
    <xf numFmtId="0" fontId="7" fillId="9" borderId="50" xfId="0" applyFont="1" applyFill="1" applyBorder="1" applyAlignment="1">
      <alignment horizontal="center" vertical="center"/>
    </xf>
    <xf numFmtId="167" fontId="7" fillId="9" borderId="51" xfId="0" applyNumberFormat="1" applyFont="1" applyFill="1" applyBorder="1" applyAlignment="1">
      <alignment horizontal="center" vertical="center"/>
    </xf>
    <xf numFmtId="0" fontId="7" fillId="9" borderId="49" xfId="0" applyFont="1" applyFill="1" applyBorder="1" applyAlignment="1">
      <alignment vertical="center"/>
    </xf>
    <xf numFmtId="167" fontId="7" fillId="9" borderId="49" xfId="0" applyNumberFormat="1" applyFont="1" applyFill="1" applyBorder="1" applyAlignment="1">
      <alignment horizontal="center" vertical="center" wrapText="1"/>
    </xf>
    <xf numFmtId="0" fontId="7" fillId="9" borderId="50" xfId="0" applyFont="1" applyFill="1" applyBorder="1" applyAlignment="1">
      <alignment vertical="center"/>
    </xf>
    <xf numFmtId="164" fontId="7" fillId="9" borderId="50" xfId="0" applyNumberFormat="1" applyFont="1" applyFill="1" applyBorder="1" applyAlignment="1">
      <alignment vertical="center"/>
    </xf>
    <xf numFmtId="167" fontId="7" fillId="9" borderId="50" xfId="0" applyNumberFormat="1" applyFont="1" applyFill="1" applyBorder="1" applyAlignment="1">
      <alignment vertical="center"/>
    </xf>
    <xf numFmtId="166" fontId="7" fillId="9" borderId="50" xfId="0" applyNumberFormat="1" applyFont="1" applyFill="1" applyBorder="1" applyAlignment="1">
      <alignment vertical="center"/>
    </xf>
    <xf numFmtId="0" fontId="4" fillId="0" borderId="6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center" vertical="top"/>
    </xf>
    <xf numFmtId="167" fontId="4" fillId="3" borderId="6" xfId="0" applyNumberFormat="1" applyFont="1" applyFill="1" applyBorder="1" applyAlignment="1">
      <alignment horizontal="center" vertical="top"/>
    </xf>
    <xf numFmtId="164" fontId="4" fillId="3" borderId="6" xfId="0" applyNumberFormat="1" applyFont="1" applyFill="1" applyBorder="1" applyAlignment="1">
      <alignment horizontal="center" vertical="top"/>
    </xf>
    <xf numFmtId="167" fontId="4" fillId="2" borderId="6" xfId="0" applyNumberFormat="1" applyFont="1" applyFill="1" applyBorder="1" applyAlignment="1">
      <alignment horizontal="center" vertical="top"/>
    </xf>
    <xf numFmtId="164" fontId="4" fillId="2" borderId="6" xfId="0" applyNumberFormat="1" applyFont="1" applyFill="1" applyBorder="1" applyAlignment="1">
      <alignment horizontal="center" vertical="top"/>
    </xf>
    <xf numFmtId="167" fontId="4" fillId="7" borderId="6" xfId="0" applyNumberFormat="1" applyFont="1" applyFill="1" applyBorder="1" applyAlignment="1">
      <alignment horizontal="center" vertical="top"/>
    </xf>
    <xf numFmtId="164" fontId="4" fillId="7" borderId="20" xfId="0" applyNumberFormat="1" applyFont="1" applyFill="1" applyBorder="1" applyAlignment="1">
      <alignment horizontal="center" vertical="top"/>
    </xf>
    <xf numFmtId="164" fontId="4" fillId="7" borderId="6" xfId="0" applyNumberFormat="1" applyFont="1" applyFill="1" applyBorder="1" applyAlignment="1">
      <alignment horizontal="center" vertical="top"/>
    </xf>
    <xf numFmtId="0" fontId="3" fillId="5" borderId="6" xfId="0" applyFont="1" applyFill="1" applyBorder="1" applyAlignment="1">
      <alignment horizontal="center" vertical="top"/>
    </xf>
    <xf numFmtId="0" fontId="7" fillId="8" borderId="46" xfId="0" applyFont="1" applyFill="1" applyBorder="1" applyAlignment="1">
      <alignment vertical="top"/>
    </xf>
    <xf numFmtId="0" fontId="3" fillId="8" borderId="26" xfId="0" applyFont="1" applyFill="1" applyBorder="1" applyAlignment="1">
      <alignment vertical="top"/>
    </xf>
    <xf numFmtId="0" fontId="3" fillId="8" borderId="27" xfId="0" applyFont="1" applyFill="1" applyBorder="1" applyAlignment="1">
      <alignment vertical="top"/>
    </xf>
    <xf numFmtId="0" fontId="3" fillId="8" borderId="29" xfId="0" applyFont="1" applyFill="1" applyBorder="1" applyAlignment="1">
      <alignment vertical="top"/>
    </xf>
    <xf numFmtId="0" fontId="7" fillId="8" borderId="41" xfId="0" applyFont="1" applyFill="1" applyBorder="1" applyAlignment="1">
      <alignment vertical="top"/>
    </xf>
    <xf numFmtId="167" fontId="3" fillId="8" borderId="13" xfId="0" applyNumberFormat="1" applyFont="1" applyFill="1" applyBorder="1" applyAlignment="1">
      <alignment horizontal="center" vertical="top" wrapText="1"/>
    </xf>
    <xf numFmtId="164" fontId="3" fillId="8" borderId="34" xfId="0" applyNumberFormat="1" applyFont="1" applyFill="1" applyBorder="1" applyAlignment="1">
      <alignment horizontal="center" vertical="top"/>
    </xf>
    <xf numFmtId="164" fontId="3" fillId="8" borderId="35" xfId="0" applyNumberFormat="1" applyFont="1" applyFill="1" applyBorder="1" applyAlignment="1">
      <alignment horizontal="center" vertical="top"/>
    </xf>
    <xf numFmtId="167" fontId="3" fillId="8" borderId="35" xfId="0" applyNumberFormat="1" applyFont="1" applyFill="1" applyBorder="1" applyAlignment="1">
      <alignment horizontal="center" vertical="top"/>
    </xf>
    <xf numFmtId="0" fontId="3" fillId="8" borderId="35" xfId="0" applyFont="1" applyFill="1" applyBorder="1" applyAlignment="1">
      <alignment horizontal="center" vertical="top"/>
    </xf>
    <xf numFmtId="0" fontId="3" fillId="8" borderId="42" xfId="0" applyFont="1" applyFill="1" applyBorder="1" applyAlignment="1">
      <alignment horizontal="center" vertical="top"/>
    </xf>
    <xf numFmtId="3" fontId="5" fillId="3" borderId="6" xfId="0" applyNumberFormat="1" applyFont="1" applyFill="1" applyBorder="1" applyAlignment="1">
      <alignment vertical="top"/>
    </xf>
    <xf numFmtId="166" fontId="5" fillId="2" borderId="7" xfId="0" applyNumberFormat="1" applyFont="1" applyFill="1" applyBorder="1" applyAlignment="1">
      <alignment horizontal="center" vertical="top"/>
    </xf>
    <xf numFmtId="167" fontId="10" fillId="7" borderId="6" xfId="2" applyNumberFormat="1" applyFont="1" applyFill="1" applyBorder="1" applyAlignment="1" applyProtection="1">
      <alignment horizontal="center" wrapText="1"/>
      <protection locked="0"/>
    </xf>
    <xf numFmtId="166" fontId="5" fillId="7" borderId="6" xfId="0" applyNumberFormat="1" applyFont="1" applyFill="1" applyBorder="1" applyAlignment="1">
      <alignment horizontal="center" wrapText="1"/>
    </xf>
    <xf numFmtId="0" fontId="7" fillId="8" borderId="46" xfId="0" applyFont="1" applyFill="1" applyBorder="1" applyAlignment="1">
      <alignment horizontal="center" vertical="top"/>
    </xf>
    <xf numFmtId="0" fontId="7" fillId="8" borderId="41" xfId="0" applyFont="1" applyFill="1" applyBorder="1" applyAlignment="1">
      <alignment horizontal="center" vertical="top"/>
    </xf>
    <xf numFmtId="0" fontId="3" fillId="8" borderId="32" xfId="0" applyFont="1" applyFill="1" applyBorder="1" applyAlignment="1">
      <alignment horizontal="center" vertical="top"/>
    </xf>
    <xf numFmtId="0" fontId="3" fillId="8" borderId="53" xfId="0" applyFont="1" applyFill="1" applyBorder="1" applyAlignment="1">
      <alignment horizontal="center" vertical="top"/>
    </xf>
    <xf numFmtId="167" fontId="3" fillId="8" borderId="41" xfId="0" applyNumberFormat="1" applyFont="1" applyFill="1" applyBorder="1" applyAlignment="1">
      <alignment horizontal="center" vertical="top" wrapText="1"/>
    </xf>
    <xf numFmtId="164" fontId="3" fillId="8" borderId="42" xfId="0" applyNumberFormat="1" applyFont="1" applyFill="1" applyBorder="1" applyAlignment="1">
      <alignment horizontal="center" vertical="top"/>
    </xf>
    <xf numFmtId="0" fontId="3" fillId="8" borderId="40" xfId="0" applyFont="1" applyFill="1" applyBorder="1" applyAlignment="1">
      <alignment vertical="top"/>
    </xf>
    <xf numFmtId="0" fontId="3" fillId="8" borderId="30" xfId="0" applyFont="1" applyFill="1" applyBorder="1" applyAlignment="1">
      <alignment vertical="top" wrapText="1"/>
    </xf>
    <xf numFmtId="167" fontId="3" fillId="8" borderId="43" xfId="0" applyNumberFormat="1" applyFont="1" applyFill="1" applyBorder="1" applyAlignment="1">
      <alignment horizontal="center" vertical="top"/>
    </xf>
    <xf numFmtId="0" fontId="3" fillId="8" borderId="40" xfId="0" applyFont="1" applyFill="1" applyBorder="1" applyAlignment="1">
      <alignment vertical="top" wrapText="1"/>
    </xf>
    <xf numFmtId="0" fontId="3" fillId="8" borderId="31" xfId="0" applyFont="1" applyFill="1" applyBorder="1" applyAlignment="1">
      <alignment horizontal="center" vertical="top"/>
    </xf>
    <xf numFmtId="0" fontId="7" fillId="9" borderId="50" xfId="0" applyFont="1" applyFill="1" applyBorder="1" applyAlignment="1">
      <alignment horizontal="center" vertical="top"/>
    </xf>
    <xf numFmtId="0" fontId="5" fillId="4" borderId="0" xfId="0" applyFont="1" applyFill="1" applyAlignment="1">
      <alignment horizontal="center" vertical="top"/>
    </xf>
    <xf numFmtId="167" fontId="4" fillId="7" borderId="1" xfId="1" applyNumberFormat="1" applyFont="1" applyFill="1" applyBorder="1" applyAlignment="1">
      <alignment horizontal="center" wrapText="1"/>
    </xf>
    <xf numFmtId="167" fontId="4" fillId="7" borderId="6" xfId="1" applyNumberFormat="1" applyFont="1" applyFill="1" applyBorder="1" applyAlignment="1">
      <alignment horizontal="center" wrapText="1"/>
    </xf>
    <xf numFmtId="167" fontId="4" fillId="7" borderId="5" xfId="1" applyNumberFormat="1" applyFont="1" applyFill="1" applyBorder="1" applyAlignment="1">
      <alignment horizontal="center" wrapText="1"/>
    </xf>
    <xf numFmtId="0" fontId="7" fillId="9" borderId="8" xfId="0" applyFont="1" applyFill="1" applyBorder="1" applyAlignment="1">
      <alignment horizontal="center" vertical="center"/>
    </xf>
    <xf numFmtId="0" fontId="7" fillId="9" borderId="8" xfId="0" applyFont="1" applyFill="1" applyBorder="1" applyAlignment="1">
      <alignment vertical="center" wrapText="1"/>
    </xf>
    <xf numFmtId="0" fontId="3" fillId="9" borderId="27" xfId="0" applyFont="1" applyFill="1" applyBorder="1" applyAlignment="1">
      <alignment vertical="center"/>
    </xf>
    <xf numFmtId="164" fontId="3" fillId="9" borderId="34" xfId="0" applyNumberFormat="1" applyFont="1" applyFill="1" applyBorder="1" applyAlignment="1">
      <alignment vertical="center"/>
    </xf>
    <xf numFmtId="167" fontId="5" fillId="2" borderId="6" xfId="0" applyNumberFormat="1" applyFont="1" applyFill="1" applyBorder="1" applyAlignment="1">
      <alignment vertical="center" wrapText="1"/>
    </xf>
    <xf numFmtId="167" fontId="5" fillId="2" borderId="8" xfId="0" applyNumberFormat="1" applyFont="1" applyFill="1" applyBorder="1" applyAlignment="1">
      <alignment vertical="center" wrapText="1"/>
    </xf>
    <xf numFmtId="167" fontId="5" fillId="2" borderId="5" xfId="0" applyNumberFormat="1" applyFont="1" applyFill="1" applyBorder="1" applyAlignment="1">
      <alignment vertical="center" wrapText="1"/>
    </xf>
    <xf numFmtId="167" fontId="7" fillId="9" borderId="50" xfId="0" applyNumberFormat="1" applyFont="1" applyFill="1" applyBorder="1" applyAlignment="1">
      <alignment vertical="center" wrapText="1"/>
    </xf>
    <xf numFmtId="0" fontId="5" fillId="4" borderId="0" xfId="0" applyFont="1" applyFill="1" applyAlignment="1">
      <alignment vertical="center"/>
    </xf>
    <xf numFmtId="0" fontId="3" fillId="9" borderId="35" xfId="0" applyFont="1" applyFill="1" applyBorder="1" applyAlignment="1">
      <alignment vertical="center"/>
    </xf>
    <xf numFmtId="166" fontId="5" fillId="2" borderId="6" xfId="0" applyNumberFormat="1" applyFont="1" applyFill="1" applyBorder="1" applyAlignment="1">
      <alignment vertical="center"/>
    </xf>
    <xf numFmtId="166" fontId="5" fillId="2" borderId="1" xfId="0" applyNumberFormat="1" applyFont="1" applyFill="1" applyBorder="1" applyAlignment="1">
      <alignment vertical="center"/>
    </xf>
    <xf numFmtId="166" fontId="5" fillId="2" borderId="5" xfId="0" applyNumberFormat="1" applyFont="1" applyFill="1" applyBorder="1" applyAlignment="1">
      <alignment vertical="center"/>
    </xf>
    <xf numFmtId="166" fontId="12" fillId="9" borderId="50" xfId="0" applyNumberFormat="1" applyFont="1" applyFill="1" applyBorder="1" applyAlignment="1">
      <alignment vertical="center"/>
    </xf>
    <xf numFmtId="166" fontId="6" fillId="4" borderId="6" xfId="0" applyNumberFormat="1" applyFont="1" applyFill="1" applyBorder="1" applyAlignment="1">
      <alignment vertical="center"/>
    </xf>
    <xf numFmtId="0" fontId="3" fillId="9" borderId="3" xfId="0" applyFont="1" applyFill="1" applyBorder="1" applyAlignment="1">
      <alignment vertical="center"/>
    </xf>
    <xf numFmtId="0" fontId="3" fillId="9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3" fillId="8" borderId="27" xfId="0" applyFont="1" applyFill="1" applyBorder="1" applyAlignment="1">
      <alignment vertical="center"/>
    </xf>
    <xf numFmtId="0" fontId="3" fillId="8" borderId="35" xfId="0" applyFont="1" applyFill="1" applyBorder="1" applyAlignment="1">
      <alignment vertical="center"/>
    </xf>
    <xf numFmtId="164" fontId="4" fillId="2" borderId="20" xfId="0" applyNumberFormat="1" applyFont="1" applyFill="1" applyBorder="1" applyAlignment="1">
      <alignment vertical="center"/>
    </xf>
    <xf numFmtId="0" fontId="3" fillId="8" borderId="27" xfId="0" applyFont="1" applyFill="1" applyBorder="1" applyAlignment="1">
      <alignment vertical="center" wrapText="1"/>
    </xf>
    <xf numFmtId="166" fontId="5" fillId="2" borderId="8" xfId="0" applyNumberFormat="1" applyFont="1" applyFill="1" applyBorder="1" applyAlignment="1">
      <alignment vertical="center"/>
    </xf>
    <xf numFmtId="0" fontId="5" fillId="0" borderId="0" xfId="0" applyFont="1" applyBorder="1" applyAlignment="1">
      <alignment vertical="top"/>
    </xf>
    <xf numFmtId="167" fontId="7" fillId="0" borderId="0" xfId="0" applyNumberFormat="1" applyFont="1" applyBorder="1" applyAlignment="1">
      <alignment horizontal="left" vertical="top" wrapText="1"/>
    </xf>
    <xf numFmtId="167" fontId="5" fillId="0" borderId="0" xfId="0" applyNumberFormat="1" applyFont="1" applyBorder="1" applyAlignment="1">
      <alignment vertical="top"/>
    </xf>
    <xf numFmtId="0" fontId="5" fillId="4" borderId="0" xfId="0" applyFont="1" applyFill="1" applyBorder="1" applyAlignment="1">
      <alignment vertical="top"/>
    </xf>
    <xf numFmtId="0" fontId="7" fillId="4" borderId="0" xfId="0" applyFont="1" applyFill="1" applyBorder="1" applyAlignment="1">
      <alignment vertical="center"/>
    </xf>
    <xf numFmtId="167" fontId="7" fillId="4" borderId="0" xfId="0" applyNumberFormat="1" applyFont="1" applyFill="1" applyBorder="1" applyAlignment="1">
      <alignment vertical="center" wrapText="1"/>
    </xf>
    <xf numFmtId="0" fontId="5" fillId="0" borderId="55" xfId="0" applyFont="1" applyBorder="1" applyAlignment="1">
      <alignment vertical="top"/>
    </xf>
    <xf numFmtId="167" fontId="5" fillId="0" borderId="55" xfId="0" applyNumberFormat="1" applyFont="1" applyBorder="1" applyAlignment="1">
      <alignment horizontal="center" vertical="top" wrapText="1"/>
    </xf>
    <xf numFmtId="167" fontId="5" fillId="0" borderId="55" xfId="0" applyNumberFormat="1" applyFont="1" applyBorder="1" applyAlignment="1">
      <alignment vertical="top"/>
    </xf>
    <xf numFmtId="0" fontId="5" fillId="0" borderId="55" xfId="0" applyFont="1" applyBorder="1" applyAlignment="1">
      <alignment vertical="center"/>
    </xf>
    <xf numFmtId="0" fontId="5" fillId="0" borderId="55" xfId="0" applyFont="1" applyBorder="1" applyAlignment="1">
      <alignment horizontal="center" vertical="top"/>
    </xf>
    <xf numFmtId="0" fontId="5" fillId="0" borderId="56" xfId="0" applyFont="1" applyBorder="1" applyAlignment="1">
      <alignment vertical="top"/>
    </xf>
    <xf numFmtId="0" fontId="5" fillId="0" borderId="14" xfId="0" applyFont="1" applyBorder="1" applyAlignment="1">
      <alignment vertical="top"/>
    </xf>
    <xf numFmtId="0" fontId="5" fillId="0" borderId="46" xfId="0" applyFont="1" applyBorder="1" applyAlignment="1">
      <alignment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7" fillId="9" borderId="49" xfId="0" applyFont="1" applyFill="1" applyBorder="1" applyAlignment="1">
      <alignment vertical="top" wrapText="1"/>
    </xf>
    <xf numFmtId="0" fontId="5" fillId="4" borderId="0" xfId="0" applyFont="1" applyFill="1" applyAlignment="1">
      <alignment vertical="top" wrapText="1"/>
    </xf>
    <xf numFmtId="0" fontId="5" fillId="0" borderId="8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/>
    </xf>
    <xf numFmtId="0" fontId="7" fillId="9" borderId="49" xfId="0" applyFont="1" applyFill="1" applyBorder="1" applyAlignment="1">
      <alignment horizontal="left" vertical="top" wrapText="1"/>
    </xf>
    <xf numFmtId="0" fontId="5" fillId="0" borderId="5" xfId="0" applyFont="1" applyBorder="1" applyAlignment="1">
      <alignment vertical="top" wrapText="1"/>
    </xf>
    <xf numFmtId="0" fontId="7" fillId="9" borderId="49" xfId="0" applyFont="1" applyFill="1" applyBorder="1" applyAlignment="1">
      <alignment vertical="center" wrapText="1"/>
    </xf>
    <xf numFmtId="0" fontId="5" fillId="0" borderId="0" xfId="0" applyFont="1" applyAlignment="1">
      <alignment vertical="top" wrapText="1"/>
    </xf>
    <xf numFmtId="0" fontId="7" fillId="9" borderId="0" xfId="0" applyFont="1" applyFill="1" applyAlignment="1">
      <alignment vertical="top" wrapText="1"/>
    </xf>
    <xf numFmtId="0" fontId="7" fillId="9" borderId="8" xfId="0" applyFont="1" applyFill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4" borderId="0" xfId="0" applyFont="1" applyFill="1" applyBorder="1" applyAlignment="1">
      <alignment vertical="top" wrapText="1"/>
    </xf>
    <xf numFmtId="0" fontId="7" fillId="4" borderId="0" xfId="0" applyFont="1" applyFill="1" applyBorder="1" applyAlignment="1">
      <alignment vertical="center" wrapText="1"/>
    </xf>
    <xf numFmtId="0" fontId="3" fillId="9" borderId="2" xfId="0" applyFont="1" applyFill="1" applyBorder="1" applyAlignment="1">
      <alignment horizontal="center" vertical="top"/>
    </xf>
    <xf numFmtId="0" fontId="3" fillId="9" borderId="3" xfId="0" applyFont="1" applyFill="1" applyBorder="1" applyAlignment="1">
      <alignment horizontal="center" vertical="top"/>
    </xf>
    <xf numFmtId="0" fontId="3" fillId="9" borderId="4" xfId="0" applyFont="1" applyFill="1" applyBorder="1" applyAlignment="1">
      <alignment horizontal="center" vertical="top"/>
    </xf>
    <xf numFmtId="0" fontId="3" fillId="9" borderId="46" xfId="0" applyFont="1" applyFill="1" applyBorder="1" applyAlignment="1">
      <alignment horizontal="center" vertical="center" wrapText="1"/>
    </xf>
    <xf numFmtId="0" fontId="3" fillId="9" borderId="41" xfId="0" applyFont="1" applyFill="1" applyBorder="1" applyAlignment="1">
      <alignment horizontal="center" vertical="center" wrapText="1"/>
    </xf>
    <xf numFmtId="0" fontId="3" fillId="9" borderId="44" xfId="0" applyFont="1" applyFill="1" applyBorder="1" applyAlignment="1">
      <alignment horizontal="center" vertical="center" wrapText="1"/>
    </xf>
    <xf numFmtId="0" fontId="3" fillId="9" borderId="45" xfId="0" applyFont="1" applyFill="1" applyBorder="1" applyAlignment="1">
      <alignment horizontal="center" vertical="center" wrapText="1"/>
    </xf>
    <xf numFmtId="0" fontId="3" fillId="9" borderId="44" xfId="0" applyFont="1" applyFill="1" applyBorder="1" applyAlignment="1">
      <alignment horizontal="center" vertical="center"/>
    </xf>
    <xf numFmtId="0" fontId="3" fillId="9" borderId="45" xfId="0" applyFont="1" applyFill="1" applyBorder="1" applyAlignment="1">
      <alignment horizontal="center" vertical="center"/>
    </xf>
    <xf numFmtId="164" fontId="3" fillId="9" borderId="40" xfId="0" applyNumberFormat="1" applyFont="1" applyFill="1" applyBorder="1" applyAlignment="1">
      <alignment horizontal="center" vertical="top"/>
    </xf>
    <xf numFmtId="164" fontId="3" fillId="9" borderId="27" xfId="0" applyNumberFormat="1" applyFont="1" applyFill="1" applyBorder="1" applyAlignment="1">
      <alignment horizontal="center" vertical="top"/>
    </xf>
    <xf numFmtId="164" fontId="3" fillId="9" borderId="30" xfId="0" applyNumberFormat="1" applyFont="1" applyFill="1" applyBorder="1" applyAlignment="1">
      <alignment horizontal="center" vertical="top"/>
    </xf>
    <xf numFmtId="0" fontId="3" fillId="9" borderId="23" xfId="0" applyFont="1" applyFill="1" applyBorder="1" applyAlignment="1">
      <alignment horizontal="center" vertical="center" wrapText="1"/>
    </xf>
    <xf numFmtId="0" fontId="3" fillId="9" borderId="31" xfId="0" applyFont="1" applyFill="1" applyBorder="1" applyAlignment="1">
      <alignment horizontal="center" vertical="center" wrapText="1"/>
    </xf>
    <xf numFmtId="0" fontId="3" fillId="9" borderId="40" xfId="0" applyFont="1" applyFill="1" applyBorder="1" applyAlignment="1">
      <alignment horizontal="center" vertical="top"/>
    </xf>
    <xf numFmtId="0" fontId="3" fillId="9" borderId="27" xfId="0" applyFont="1" applyFill="1" applyBorder="1" applyAlignment="1">
      <alignment horizontal="center" vertical="top"/>
    </xf>
    <xf numFmtId="0" fontId="3" fillId="9" borderId="30" xfId="0" applyFont="1" applyFill="1" applyBorder="1" applyAlignment="1">
      <alignment horizontal="center" vertical="top"/>
    </xf>
    <xf numFmtId="0" fontId="13" fillId="0" borderId="5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" fillId="8" borderId="54" xfId="0" applyFont="1" applyFill="1" applyBorder="1" applyAlignment="1">
      <alignment horizontal="center" vertical="top" wrapText="1"/>
    </xf>
    <xf numFmtId="0" fontId="3" fillId="8" borderId="53" xfId="0" applyFont="1" applyFill="1" applyBorder="1" applyAlignment="1">
      <alignment horizontal="center" vertical="top" wrapText="1"/>
    </xf>
    <xf numFmtId="0" fontId="3" fillId="8" borderId="44" xfId="0" applyFont="1" applyFill="1" applyBorder="1" applyAlignment="1">
      <alignment horizontal="center" vertical="top"/>
    </xf>
    <xf numFmtId="0" fontId="3" fillId="8" borderId="45" xfId="0" applyFont="1" applyFill="1" applyBorder="1" applyAlignment="1">
      <alignment horizontal="center" vertical="top"/>
    </xf>
    <xf numFmtId="164" fontId="3" fillId="8" borderId="40" xfId="0" applyNumberFormat="1" applyFont="1" applyFill="1" applyBorder="1" applyAlignment="1">
      <alignment horizontal="center" vertical="top"/>
    </xf>
    <xf numFmtId="164" fontId="3" fillId="8" borderId="27" xfId="0" applyNumberFormat="1" applyFont="1" applyFill="1" applyBorder="1" applyAlignment="1">
      <alignment horizontal="center" vertical="top"/>
    </xf>
    <xf numFmtId="164" fontId="3" fillId="8" borderId="30" xfId="0" applyNumberFormat="1" applyFont="1" applyFill="1" applyBorder="1" applyAlignment="1">
      <alignment horizontal="center" vertical="top"/>
    </xf>
    <xf numFmtId="0" fontId="3" fillId="8" borderId="28" xfId="0" applyFont="1" applyFill="1" applyBorder="1" applyAlignment="1">
      <alignment horizontal="center" vertical="top"/>
    </xf>
    <xf numFmtId="0" fontId="3" fillId="8" borderId="29" xfId="0" applyFont="1" applyFill="1" applyBorder="1" applyAlignment="1">
      <alignment horizontal="center" vertical="top"/>
    </xf>
    <xf numFmtId="0" fontId="3" fillId="8" borderId="52" xfId="0" applyFont="1" applyFill="1" applyBorder="1" applyAlignment="1">
      <alignment horizontal="center" vertical="top"/>
    </xf>
    <xf numFmtId="0" fontId="3" fillId="9" borderId="24" xfId="0" applyFont="1" applyFill="1" applyBorder="1" applyAlignment="1">
      <alignment horizontal="center" vertical="center" wrapText="1"/>
    </xf>
    <xf numFmtId="0" fontId="3" fillId="9" borderId="32" xfId="0" applyFont="1" applyFill="1" applyBorder="1" applyAlignment="1">
      <alignment horizontal="center" vertical="center" wrapText="1"/>
    </xf>
    <xf numFmtId="0" fontId="3" fillId="9" borderId="24" xfId="0" applyFont="1" applyFill="1" applyBorder="1" applyAlignment="1">
      <alignment horizontal="center" vertical="center"/>
    </xf>
    <xf numFmtId="0" fontId="3" fillId="9" borderId="32" xfId="0" applyFont="1" applyFill="1" applyBorder="1" applyAlignment="1">
      <alignment horizontal="center" vertical="center"/>
    </xf>
    <xf numFmtId="164" fontId="3" fillId="9" borderId="26" xfId="0" applyNumberFormat="1" applyFont="1" applyFill="1" applyBorder="1" applyAlignment="1">
      <alignment horizontal="center" vertical="top"/>
    </xf>
    <xf numFmtId="164" fontId="3" fillId="9" borderId="28" xfId="0" applyNumberFormat="1" applyFont="1" applyFill="1" applyBorder="1" applyAlignment="1">
      <alignment horizontal="center" vertical="top"/>
    </xf>
    <xf numFmtId="0" fontId="3" fillId="9" borderId="26" xfId="0" applyFont="1" applyFill="1" applyBorder="1" applyAlignment="1">
      <alignment horizontal="center" vertical="top"/>
    </xf>
    <xf numFmtId="0" fontId="3" fillId="8" borderId="25" xfId="0" applyFont="1" applyFill="1" applyBorder="1" applyAlignment="1">
      <alignment horizontal="center" vertical="center" wrapText="1"/>
    </xf>
    <xf numFmtId="0" fontId="3" fillId="8" borderId="33" xfId="0" applyFont="1" applyFill="1" applyBorder="1" applyAlignment="1">
      <alignment horizontal="center" vertical="center" wrapText="1"/>
    </xf>
    <xf numFmtId="0" fontId="3" fillId="8" borderId="44" xfId="0" applyFont="1" applyFill="1" applyBorder="1" applyAlignment="1">
      <alignment horizontal="center" vertical="center"/>
    </xf>
    <xf numFmtId="0" fontId="3" fillId="8" borderId="45" xfId="0" applyFont="1" applyFill="1" applyBorder="1" applyAlignment="1">
      <alignment horizontal="center" vertical="center"/>
    </xf>
    <xf numFmtId="164" fontId="3" fillId="8" borderId="28" xfId="0" applyNumberFormat="1" applyFont="1" applyFill="1" applyBorder="1" applyAlignment="1">
      <alignment horizontal="center" vertical="top"/>
    </xf>
    <xf numFmtId="0" fontId="3" fillId="8" borderId="26" xfId="0" applyFont="1" applyFill="1" applyBorder="1" applyAlignment="1">
      <alignment horizontal="center" vertical="top"/>
    </xf>
    <xf numFmtId="0" fontId="3" fillId="8" borderId="27" xfId="0" applyFont="1" applyFill="1" applyBorder="1" applyAlignment="1">
      <alignment horizontal="center" vertical="top"/>
    </xf>
    <xf numFmtId="0" fontId="3" fillId="8" borderId="30" xfId="0" applyFont="1" applyFill="1" applyBorder="1" applyAlignment="1">
      <alignment horizontal="center" vertical="top"/>
    </xf>
    <xf numFmtId="0" fontId="3" fillId="9" borderId="5" xfId="0" applyFont="1" applyFill="1" applyBorder="1" applyAlignment="1">
      <alignment horizontal="center" vertical="top" wrapText="1"/>
    </xf>
    <xf numFmtId="0" fontId="3" fillId="9" borderId="6" xfId="0" applyFont="1" applyFill="1" applyBorder="1" applyAlignment="1">
      <alignment horizontal="center" vertical="top" wrapText="1"/>
    </xf>
    <xf numFmtId="0" fontId="3" fillId="9" borderId="11" xfId="0" applyFont="1" applyFill="1" applyBorder="1" applyAlignment="1">
      <alignment horizontal="center" vertical="top"/>
    </xf>
    <xf numFmtId="0" fontId="3" fillId="9" borderId="7" xfId="0" applyFont="1" applyFill="1" applyBorder="1" applyAlignment="1">
      <alignment horizontal="center" vertical="top"/>
    </xf>
    <xf numFmtId="164" fontId="3" fillId="9" borderId="2" xfId="0" applyNumberFormat="1" applyFont="1" applyFill="1" applyBorder="1" applyAlignment="1">
      <alignment horizontal="center" vertical="top"/>
    </xf>
    <xf numFmtId="164" fontId="3" fillId="9" borderId="3" xfId="0" applyNumberFormat="1" applyFont="1" applyFill="1" applyBorder="1" applyAlignment="1">
      <alignment horizontal="center" vertical="top"/>
    </xf>
    <xf numFmtId="164" fontId="3" fillId="9" borderId="4" xfId="0" applyNumberFormat="1" applyFont="1" applyFill="1" applyBorder="1" applyAlignment="1">
      <alignment horizontal="center" vertical="top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57150</xdr:rowOff>
    </xdr:from>
    <xdr:to>
      <xdr:col>1</xdr:col>
      <xdr:colOff>367665</xdr:colOff>
      <xdr:row>1</xdr:row>
      <xdr:rowOff>203835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57150"/>
          <a:ext cx="748665" cy="46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mac&#233;n/Desktop/Copia%20de%20Copia%20de%20PLANTILLA(716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ISSAN"/>
      <sheetName val="ONK-064"/>
      <sheetName val="SUZUKI VITARA"/>
      <sheetName val="OYL-451"/>
      <sheetName val="OYL-450"/>
      <sheetName val="Hoja1"/>
    </sheetNames>
    <sheetDataSet>
      <sheetData sheetId="0">
        <row r="12">
          <cell r="H12">
            <v>60000</v>
          </cell>
        </row>
        <row r="13">
          <cell r="H13">
            <v>70000</v>
          </cell>
        </row>
        <row r="14">
          <cell r="H14">
            <v>180000</v>
          </cell>
        </row>
        <row r="15">
          <cell r="H15">
            <v>110000</v>
          </cell>
        </row>
        <row r="16">
          <cell r="H16">
            <v>160000</v>
          </cell>
        </row>
        <row r="17">
          <cell r="H17">
            <v>20000</v>
          </cell>
        </row>
        <row r="25">
          <cell r="H25">
            <v>25000</v>
          </cell>
        </row>
        <row r="26">
          <cell r="H26">
            <v>90000</v>
          </cell>
        </row>
        <row r="27">
          <cell r="H27">
            <v>40000</v>
          </cell>
        </row>
        <row r="28">
          <cell r="H28">
            <v>200000</v>
          </cell>
        </row>
        <row r="29">
          <cell r="H29">
            <v>85000</v>
          </cell>
        </row>
        <row r="31">
          <cell r="H31">
            <v>17000</v>
          </cell>
        </row>
        <row r="32">
          <cell r="H32">
            <v>29000</v>
          </cell>
        </row>
        <row r="33">
          <cell r="H33">
            <v>30000</v>
          </cell>
        </row>
        <row r="35">
          <cell r="H35">
            <v>10000</v>
          </cell>
        </row>
        <row r="36">
          <cell r="H36">
            <v>2000</v>
          </cell>
        </row>
      </sheetData>
      <sheetData sheetId="1">
        <row r="12">
          <cell r="H12">
            <v>60000</v>
          </cell>
        </row>
        <row r="13">
          <cell r="H13">
            <v>70000</v>
          </cell>
        </row>
        <row r="14">
          <cell r="H14">
            <v>180000</v>
          </cell>
        </row>
        <row r="15">
          <cell r="H15">
            <v>110000</v>
          </cell>
        </row>
        <row r="16">
          <cell r="H16">
            <v>40000</v>
          </cell>
        </row>
        <row r="17">
          <cell r="H17">
            <v>20000</v>
          </cell>
        </row>
        <row r="18">
          <cell r="H18">
            <v>160000</v>
          </cell>
        </row>
        <row r="19">
          <cell r="H19">
            <v>130000</v>
          </cell>
        </row>
        <row r="20">
          <cell r="H20">
            <v>300000</v>
          </cell>
        </row>
        <row r="21">
          <cell r="H21">
            <v>100000</v>
          </cell>
        </row>
        <row r="22">
          <cell r="H22">
            <v>130000</v>
          </cell>
        </row>
        <row r="26">
          <cell r="H26">
            <v>150000</v>
          </cell>
        </row>
        <row r="27">
          <cell r="H27">
            <v>90000</v>
          </cell>
        </row>
        <row r="28">
          <cell r="H28">
            <v>130000</v>
          </cell>
        </row>
        <row r="29">
          <cell r="H29">
            <v>55000</v>
          </cell>
        </row>
        <row r="30">
          <cell r="H30">
            <v>15000</v>
          </cell>
        </row>
        <row r="31">
          <cell r="H31">
            <v>65000</v>
          </cell>
        </row>
        <row r="32">
          <cell r="H32">
            <v>30000</v>
          </cell>
        </row>
        <row r="33">
          <cell r="H33">
            <v>40000</v>
          </cell>
        </row>
        <row r="36">
          <cell r="H36">
            <v>17000</v>
          </cell>
        </row>
        <row r="37">
          <cell r="H37">
            <v>27000</v>
          </cell>
        </row>
        <row r="38">
          <cell r="H38">
            <v>25000</v>
          </cell>
        </row>
        <row r="40">
          <cell r="H40">
            <v>10000</v>
          </cell>
        </row>
        <row r="41">
          <cell r="H41">
            <v>2000</v>
          </cell>
        </row>
      </sheetData>
      <sheetData sheetId="2">
        <row r="12">
          <cell r="H12">
            <v>100000</v>
          </cell>
        </row>
        <row r="13">
          <cell r="H13">
            <v>70000</v>
          </cell>
        </row>
        <row r="14">
          <cell r="H14">
            <v>130000</v>
          </cell>
        </row>
        <row r="15">
          <cell r="H15">
            <v>70000</v>
          </cell>
        </row>
        <row r="16">
          <cell r="H16">
            <v>15000</v>
          </cell>
        </row>
        <row r="26">
          <cell r="H26">
            <v>1700000</v>
          </cell>
        </row>
        <row r="27">
          <cell r="H27">
            <v>90000</v>
          </cell>
        </row>
        <row r="28">
          <cell r="H28">
            <v>40000</v>
          </cell>
        </row>
        <row r="29">
          <cell r="H29">
            <v>30000</v>
          </cell>
        </row>
        <row r="32">
          <cell r="H32">
            <v>17000</v>
          </cell>
        </row>
        <row r="33">
          <cell r="H33">
            <v>30000</v>
          </cell>
        </row>
        <row r="34">
          <cell r="H34">
            <v>30000</v>
          </cell>
        </row>
        <row r="36">
          <cell r="H36">
            <v>10000</v>
          </cell>
        </row>
        <row r="37">
          <cell r="H37">
            <v>2000</v>
          </cell>
        </row>
      </sheetData>
      <sheetData sheetId="3">
        <row r="27">
          <cell r="H27">
            <v>40000</v>
          </cell>
        </row>
        <row r="28">
          <cell r="H28">
            <v>30000</v>
          </cell>
        </row>
        <row r="29">
          <cell r="H29">
            <v>25000</v>
          </cell>
        </row>
        <row r="30">
          <cell r="H30">
            <v>42000</v>
          </cell>
        </row>
        <row r="31">
          <cell r="H31">
            <v>35000</v>
          </cell>
        </row>
        <row r="32">
          <cell r="H32">
            <v>30000</v>
          </cell>
        </row>
        <row r="33">
          <cell r="H33">
            <v>10000</v>
          </cell>
        </row>
        <row r="34">
          <cell r="H34">
            <v>2000</v>
          </cell>
        </row>
        <row r="35">
          <cell r="H35">
            <v>30000</v>
          </cell>
        </row>
        <row r="36">
          <cell r="H36">
            <v>17000</v>
          </cell>
        </row>
        <row r="37">
          <cell r="H37">
            <v>27000</v>
          </cell>
        </row>
        <row r="38">
          <cell r="H38">
            <v>25000</v>
          </cell>
        </row>
        <row r="39">
          <cell r="H39">
            <v>30000</v>
          </cell>
        </row>
        <row r="40">
          <cell r="H40">
            <v>10000</v>
          </cell>
        </row>
        <row r="41">
          <cell r="H41">
            <v>2000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137"/>
  <sheetViews>
    <sheetView tabSelected="1" topLeftCell="A37" zoomScaleNormal="100" workbookViewId="0">
      <selection activeCell="K137" sqref="K137"/>
    </sheetView>
  </sheetViews>
  <sheetFormatPr baseColWidth="10" defaultColWidth="17.6640625" defaultRowHeight="24.75" customHeight="1" x14ac:dyDescent="0.3"/>
  <cols>
    <col min="1" max="1" width="6" style="22" bestFit="1" customWidth="1"/>
    <col min="2" max="2" width="36.33203125" style="276" customWidth="1"/>
    <col min="3" max="3" width="7" style="22" bestFit="1" customWidth="1"/>
    <col min="4" max="4" width="11.33203125" style="24" bestFit="1" customWidth="1"/>
    <col min="5" max="5" width="16.88671875" style="22" bestFit="1" customWidth="1"/>
    <col min="6" max="6" width="13.44140625" style="22" bestFit="1" customWidth="1"/>
    <col min="7" max="7" width="11.33203125" style="25" customWidth="1"/>
    <col min="8" max="8" width="17.109375" style="247" customWidth="1"/>
    <col min="9" max="9" width="15.33203125" style="22" bestFit="1" customWidth="1"/>
    <col min="10" max="10" width="15.109375" style="22" customWidth="1"/>
    <col min="11" max="11" width="16.88671875" style="117" bestFit="1" customWidth="1"/>
    <col min="12" max="12" width="15.33203125" style="22" bestFit="1" customWidth="1"/>
    <col min="13" max="13" width="13.109375" style="22" hidden="1" customWidth="1"/>
    <col min="14" max="16" width="0" style="22" hidden="1" customWidth="1"/>
    <col min="17" max="18" width="0" style="25" hidden="1" customWidth="1"/>
    <col min="19" max="23" width="0" style="22" hidden="1" customWidth="1"/>
    <col min="24" max="24" width="2.44140625" style="22" hidden="1" customWidth="1"/>
    <col min="25" max="32" width="0" style="22" hidden="1" customWidth="1"/>
    <col min="33" max="33" width="8.44140625" style="75" bestFit="1" customWidth="1"/>
    <col min="34" max="76" width="17.6640625" style="75"/>
    <col min="77" max="16384" width="17.6640625" style="22"/>
  </cols>
  <sheetData>
    <row r="1" spans="1:76" ht="24.75" customHeight="1" x14ac:dyDescent="0.3">
      <c r="B1" s="266"/>
      <c r="C1" s="259"/>
      <c r="D1" s="260"/>
      <c r="E1" s="259"/>
      <c r="F1" s="259"/>
      <c r="G1" s="261"/>
      <c r="H1" s="262"/>
      <c r="I1" s="259"/>
      <c r="J1" s="259"/>
      <c r="K1" s="263"/>
      <c r="L1" s="259"/>
      <c r="M1" s="264"/>
    </row>
    <row r="2" spans="1:76" ht="24.75" customHeight="1" thickBot="1" x14ac:dyDescent="0.35">
      <c r="B2" s="299" t="s">
        <v>95</v>
      </c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265"/>
    </row>
    <row r="3" spans="1:76" s="72" customFormat="1" ht="24.75" customHeight="1" x14ac:dyDescent="0.3">
      <c r="A3" s="285" t="s">
        <v>0</v>
      </c>
      <c r="B3" s="287" t="s">
        <v>28</v>
      </c>
      <c r="C3" s="289" t="s">
        <v>1</v>
      </c>
      <c r="D3" s="291" t="s">
        <v>23</v>
      </c>
      <c r="E3" s="292"/>
      <c r="F3" s="293"/>
      <c r="G3" s="296" t="s">
        <v>26</v>
      </c>
      <c r="H3" s="297"/>
      <c r="I3" s="298"/>
      <c r="J3" s="296" t="s">
        <v>27</v>
      </c>
      <c r="K3" s="297"/>
      <c r="L3" s="297"/>
      <c r="M3" s="298"/>
      <c r="Q3" s="73"/>
      <c r="R3" s="73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</row>
    <row r="4" spans="1:76" s="72" customFormat="1" ht="18.75" customHeight="1" thickBot="1" x14ac:dyDescent="0.35">
      <c r="A4" s="286"/>
      <c r="B4" s="288"/>
      <c r="C4" s="290"/>
      <c r="D4" s="129" t="s">
        <v>2</v>
      </c>
      <c r="E4" s="93" t="s">
        <v>24</v>
      </c>
      <c r="F4" s="130" t="s">
        <v>4</v>
      </c>
      <c r="G4" s="131" t="s">
        <v>2</v>
      </c>
      <c r="H4" s="233" t="s">
        <v>87</v>
      </c>
      <c r="I4" s="132" t="s">
        <v>4</v>
      </c>
      <c r="J4" s="133" t="s">
        <v>2</v>
      </c>
      <c r="K4" s="96" t="s">
        <v>84</v>
      </c>
      <c r="L4" s="96" t="s">
        <v>4</v>
      </c>
      <c r="M4" s="97"/>
      <c r="N4" s="72">
        <v>15000</v>
      </c>
      <c r="Q4" s="73"/>
      <c r="R4" s="73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</row>
    <row r="5" spans="1:76" ht="24.75" customHeight="1" x14ac:dyDescent="0.3">
      <c r="A5" s="81">
        <v>1</v>
      </c>
      <c r="B5" s="82" t="s">
        <v>5</v>
      </c>
      <c r="C5" s="83">
        <v>1</v>
      </c>
      <c r="D5" s="84">
        <v>1400000</v>
      </c>
      <c r="E5" s="71">
        <f>D5*19%+D5</f>
        <v>1666000</v>
      </c>
      <c r="F5" s="85">
        <f>C5*E5</f>
        <v>1666000</v>
      </c>
      <c r="G5" s="86">
        <f t="shared" ref="G5:G11" si="0">AD5/1.19</f>
        <v>756302.52100840339</v>
      </c>
      <c r="H5" s="234">
        <f>G5+AF5</f>
        <v>900000</v>
      </c>
      <c r="I5" s="87">
        <f>H5*C5</f>
        <v>900000</v>
      </c>
      <c r="J5" s="88">
        <v>1260504</v>
      </c>
      <c r="K5" s="89">
        <f>J5+19%+O15</f>
        <v>1500000.19</v>
      </c>
      <c r="L5" s="89">
        <f>K5*C5</f>
        <v>1500000.19</v>
      </c>
      <c r="N5" s="22">
        <f>15000/1.19</f>
        <v>12605.042016806723</v>
      </c>
      <c r="O5" s="25"/>
      <c r="AD5" s="4">
        <v>900000</v>
      </c>
      <c r="AF5" s="25">
        <f>AD5-G5</f>
        <v>143697.47899159661</v>
      </c>
    </row>
    <row r="6" spans="1:76" ht="24.75" customHeight="1" x14ac:dyDescent="0.3">
      <c r="A6" s="1">
        <v>2</v>
      </c>
      <c r="B6" s="267" t="s">
        <v>6</v>
      </c>
      <c r="C6" s="31">
        <v>1</v>
      </c>
      <c r="D6" s="27">
        <v>200000</v>
      </c>
      <c r="E6" s="2">
        <f t="shared" ref="E6:E25" si="1">D6*19%+D6</f>
        <v>238000</v>
      </c>
      <c r="F6" s="3">
        <f t="shared" ref="F6:F23" si="2">C6*E6</f>
        <v>238000</v>
      </c>
      <c r="G6" s="26">
        <f t="shared" si="0"/>
        <v>210084.03361344538</v>
      </c>
      <c r="H6" s="235">
        <f t="shared" ref="H6:H11" si="3">G6+AF6</f>
        <v>250000</v>
      </c>
      <c r="I6" s="4">
        <f t="shared" ref="I6:I23" si="4">H6*C6</f>
        <v>250000</v>
      </c>
      <c r="J6" s="5">
        <f>L6/1.19</f>
        <v>168067.22689075631</v>
      </c>
      <c r="K6" s="6">
        <f>J6+O17</f>
        <v>200000</v>
      </c>
      <c r="L6" s="6">
        <v>200000</v>
      </c>
      <c r="N6" s="22">
        <f>N4-N5</f>
        <v>2394.957983193277</v>
      </c>
      <c r="O6" s="25"/>
      <c r="AD6" s="7">
        <v>250000</v>
      </c>
      <c r="AF6" s="25">
        <f t="shared" ref="AF6:AF23" si="5">AD6-G6</f>
        <v>39915.966386554617</v>
      </c>
    </row>
    <row r="7" spans="1:76" ht="24.75" customHeight="1" x14ac:dyDescent="0.3">
      <c r="A7" s="1">
        <v>3</v>
      </c>
      <c r="B7" s="267" t="s">
        <v>7</v>
      </c>
      <c r="C7" s="31">
        <v>2</v>
      </c>
      <c r="D7" s="27">
        <v>250000</v>
      </c>
      <c r="E7" s="2">
        <f t="shared" si="1"/>
        <v>297500</v>
      </c>
      <c r="F7" s="3">
        <f t="shared" si="2"/>
        <v>595000</v>
      </c>
      <c r="G7" s="26">
        <f t="shared" si="0"/>
        <v>252100.84033613445</v>
      </c>
      <c r="H7" s="235">
        <f t="shared" si="3"/>
        <v>300000</v>
      </c>
      <c r="I7" s="4">
        <f t="shared" si="4"/>
        <v>600000</v>
      </c>
      <c r="J7" s="5">
        <f>L7/1.19</f>
        <v>252100.84033613445</v>
      </c>
      <c r="K7" s="6">
        <f>J7+O11</f>
        <v>300000</v>
      </c>
      <c r="L7" s="6">
        <v>300000</v>
      </c>
      <c r="O7" s="25"/>
      <c r="P7" s="22">
        <f>15000/1.19</f>
        <v>12605.042016806723</v>
      </c>
      <c r="AD7" s="7">
        <v>300000</v>
      </c>
      <c r="AF7" s="25">
        <f t="shared" si="5"/>
        <v>47899.159663865546</v>
      </c>
    </row>
    <row r="8" spans="1:76" ht="24.75" customHeight="1" x14ac:dyDescent="0.3">
      <c r="A8" s="1">
        <v>4</v>
      </c>
      <c r="B8" s="267" t="s">
        <v>8</v>
      </c>
      <c r="C8" s="31">
        <v>1</v>
      </c>
      <c r="D8" s="27">
        <v>250000</v>
      </c>
      <c r="E8" s="2">
        <f t="shared" si="1"/>
        <v>297500</v>
      </c>
      <c r="F8" s="3">
        <f t="shared" si="2"/>
        <v>297500</v>
      </c>
      <c r="G8" s="26">
        <f t="shared" si="0"/>
        <v>504201.68067226891</v>
      </c>
      <c r="H8" s="235">
        <f t="shared" si="3"/>
        <v>600000</v>
      </c>
      <c r="I8" s="4">
        <f t="shared" si="4"/>
        <v>600000</v>
      </c>
      <c r="J8" s="5">
        <v>210084</v>
      </c>
      <c r="K8" s="6">
        <f>J8+M10</f>
        <v>250000</v>
      </c>
      <c r="L8" s="6">
        <v>250000</v>
      </c>
      <c r="M8" s="22">
        <f>250/1.19</f>
        <v>210.0840336134454</v>
      </c>
      <c r="N8" s="25">
        <v>70000</v>
      </c>
      <c r="O8" s="25"/>
      <c r="P8" s="25">
        <f>J10-P7</f>
        <v>-4.2016806723040645E-2</v>
      </c>
      <c r="Q8" s="25">
        <f>15000/1.19</f>
        <v>12605.042016806723</v>
      </c>
      <c r="AD8" s="7">
        <v>600000</v>
      </c>
      <c r="AF8" s="25">
        <f t="shared" si="5"/>
        <v>95798.319327731093</v>
      </c>
    </row>
    <row r="9" spans="1:76" ht="24.75" customHeight="1" x14ac:dyDescent="0.3">
      <c r="A9" s="1">
        <v>6</v>
      </c>
      <c r="B9" s="267" t="s">
        <v>9</v>
      </c>
      <c r="C9" s="31">
        <v>1</v>
      </c>
      <c r="D9" s="27">
        <v>50000</v>
      </c>
      <c r="E9" s="2">
        <f t="shared" si="1"/>
        <v>59500</v>
      </c>
      <c r="F9" s="3">
        <f t="shared" si="2"/>
        <v>59500</v>
      </c>
      <c r="G9" s="26">
        <f t="shared" si="0"/>
        <v>84033.613445378156</v>
      </c>
      <c r="H9" s="235">
        <f t="shared" si="3"/>
        <v>100000</v>
      </c>
      <c r="I9" s="4">
        <f t="shared" si="4"/>
        <v>100000</v>
      </c>
      <c r="J9" s="5">
        <v>58824</v>
      </c>
      <c r="K9" s="6">
        <f>N9+AC9</f>
        <v>70000</v>
      </c>
      <c r="L9" s="6">
        <v>70000</v>
      </c>
      <c r="M9" s="6">
        <v>250000</v>
      </c>
      <c r="N9" s="25">
        <f>70000/1.19</f>
        <v>58823.529411764706</v>
      </c>
      <c r="O9" s="25"/>
      <c r="P9" s="25">
        <f>70000/1.19</f>
        <v>58823.529411764706</v>
      </c>
      <c r="Q9" s="25">
        <f>15000-Q8</f>
        <v>2394.957983193277</v>
      </c>
      <c r="AB9" s="25">
        <f>70000/1.19</f>
        <v>58823.529411764706</v>
      </c>
      <c r="AC9" s="25">
        <f>70000-AB9</f>
        <v>11176.470588235294</v>
      </c>
      <c r="AD9" s="7">
        <v>100000</v>
      </c>
      <c r="AF9" s="25">
        <f t="shared" si="5"/>
        <v>15966.386554621844</v>
      </c>
    </row>
    <row r="10" spans="1:76" ht="24.75" customHeight="1" x14ac:dyDescent="0.3">
      <c r="A10" s="1">
        <v>7</v>
      </c>
      <c r="B10" s="267" t="s">
        <v>10</v>
      </c>
      <c r="C10" s="31">
        <v>4</v>
      </c>
      <c r="D10" s="27">
        <v>15000</v>
      </c>
      <c r="E10" s="2">
        <f t="shared" si="1"/>
        <v>17850</v>
      </c>
      <c r="F10" s="3">
        <f t="shared" si="2"/>
        <v>71400</v>
      </c>
      <c r="G10" s="26">
        <f t="shared" si="0"/>
        <v>12605.042016806723</v>
      </c>
      <c r="H10" s="235">
        <f t="shared" si="3"/>
        <v>15000</v>
      </c>
      <c r="I10" s="4">
        <f t="shared" si="4"/>
        <v>60000</v>
      </c>
      <c r="J10" s="5">
        <v>12605</v>
      </c>
      <c r="K10" s="6">
        <f>Q8+Q9</f>
        <v>15000</v>
      </c>
      <c r="L10" s="6">
        <v>60000</v>
      </c>
      <c r="M10" s="49">
        <f>250000-210084</f>
        <v>39916</v>
      </c>
      <c r="N10" s="25">
        <f>N8-N9</f>
        <v>11176.470588235294</v>
      </c>
      <c r="O10" s="25"/>
      <c r="P10" s="25">
        <f>J11-P9</f>
        <v>0.47058823529368965</v>
      </c>
      <c r="Q10" s="25">
        <f>Q8+Q9</f>
        <v>15000</v>
      </c>
      <c r="R10" s="25">
        <f>70000/1.19</f>
        <v>58823.529411764706</v>
      </c>
      <c r="S10" s="25">
        <f>25000/1.19</f>
        <v>21008.403361344539</v>
      </c>
      <c r="AB10" s="25">
        <f>AB9+AC9</f>
        <v>70000</v>
      </c>
      <c r="AD10" s="7">
        <v>15000</v>
      </c>
      <c r="AF10" s="25">
        <f t="shared" si="5"/>
        <v>2394.957983193277</v>
      </c>
    </row>
    <row r="11" spans="1:76" ht="24.75" customHeight="1" x14ac:dyDescent="0.3">
      <c r="A11" s="1">
        <v>8</v>
      </c>
      <c r="B11" s="267" t="s">
        <v>11</v>
      </c>
      <c r="C11" s="31">
        <v>4</v>
      </c>
      <c r="D11" s="27">
        <v>50000</v>
      </c>
      <c r="E11" s="2">
        <f t="shared" si="1"/>
        <v>59500</v>
      </c>
      <c r="F11" s="3">
        <f t="shared" si="2"/>
        <v>238000</v>
      </c>
      <c r="G11" s="26">
        <f t="shared" si="0"/>
        <v>37815.126050420171</v>
      </c>
      <c r="H11" s="235">
        <f t="shared" si="3"/>
        <v>45000</v>
      </c>
      <c r="I11" s="4">
        <f t="shared" si="4"/>
        <v>180000</v>
      </c>
      <c r="J11" s="5">
        <v>58824</v>
      </c>
      <c r="K11" s="6">
        <f>J11+R11</f>
        <v>70000.470588235301</v>
      </c>
      <c r="L11" s="6">
        <v>70000</v>
      </c>
      <c r="O11" s="25">
        <f>L7-J7</f>
        <v>47899.159663865546</v>
      </c>
      <c r="P11" s="22">
        <f>30000/1.19</f>
        <v>25210.084033613446</v>
      </c>
      <c r="R11" s="25">
        <f>70000-R10</f>
        <v>11176.470588235294</v>
      </c>
      <c r="S11" s="25">
        <f>25000-S10</f>
        <v>3991.596638655461</v>
      </c>
      <c r="AD11" s="7">
        <v>45000</v>
      </c>
      <c r="AF11" s="25">
        <f t="shared" si="5"/>
        <v>7184.8739495798291</v>
      </c>
    </row>
    <row r="12" spans="1:76" ht="24.75" customHeight="1" x14ac:dyDescent="0.3">
      <c r="A12" s="1">
        <v>9</v>
      </c>
      <c r="B12" s="267" t="s">
        <v>12</v>
      </c>
      <c r="C12" s="31">
        <v>24</v>
      </c>
      <c r="D12" s="27">
        <v>30000</v>
      </c>
      <c r="E12" s="8">
        <v>0</v>
      </c>
      <c r="F12" s="3">
        <f>D12*C12</f>
        <v>720000</v>
      </c>
      <c r="G12" s="26">
        <v>22000</v>
      </c>
      <c r="H12" s="235">
        <v>22000</v>
      </c>
      <c r="I12" s="4">
        <f t="shared" si="4"/>
        <v>528000</v>
      </c>
      <c r="J12" s="5">
        <v>25210</v>
      </c>
      <c r="K12" s="6">
        <f>J12+R13</f>
        <v>29999.915966386554</v>
      </c>
      <c r="L12" s="6">
        <v>720000</v>
      </c>
      <c r="O12" s="25"/>
      <c r="P12" s="25">
        <f>J12-P11</f>
        <v>-8.403361344608129E-2</v>
      </c>
      <c r="R12" s="25">
        <f>30000/1.19</f>
        <v>25210.084033613446</v>
      </c>
      <c r="AD12" s="7">
        <v>22000</v>
      </c>
      <c r="AF12" s="25">
        <f t="shared" si="5"/>
        <v>0</v>
      </c>
    </row>
    <row r="13" spans="1:76" ht="24.75" customHeight="1" x14ac:dyDescent="0.3">
      <c r="A13" s="1">
        <v>10</v>
      </c>
      <c r="B13" s="267" t="s">
        <v>13</v>
      </c>
      <c r="C13" s="31">
        <v>2</v>
      </c>
      <c r="D13" s="27">
        <v>14000</v>
      </c>
      <c r="E13" s="2">
        <f t="shared" si="1"/>
        <v>16660</v>
      </c>
      <c r="F13" s="3">
        <f t="shared" si="2"/>
        <v>33320</v>
      </c>
      <c r="G13" s="26">
        <f>AD13/1.19</f>
        <v>16386.55462184874</v>
      </c>
      <c r="H13" s="235">
        <f>G13+AF13</f>
        <v>19500</v>
      </c>
      <c r="I13" s="4">
        <f t="shared" si="4"/>
        <v>39000</v>
      </c>
      <c r="J13" s="5">
        <v>21008</v>
      </c>
      <c r="K13" s="6">
        <f>J13+S11</f>
        <v>24999.596638655461</v>
      </c>
      <c r="L13" s="6">
        <v>50000</v>
      </c>
      <c r="O13" s="25">
        <v>252101</v>
      </c>
      <c r="R13" s="25">
        <f>30000-R12</f>
        <v>4789.9159663865539</v>
      </c>
      <c r="AD13" s="7">
        <v>19500</v>
      </c>
      <c r="AF13" s="25">
        <f t="shared" si="5"/>
        <v>3113.4453781512602</v>
      </c>
    </row>
    <row r="14" spans="1:76" ht="24.75" customHeight="1" x14ac:dyDescent="0.3">
      <c r="A14" s="1">
        <v>11</v>
      </c>
      <c r="B14" s="267" t="s">
        <v>14</v>
      </c>
      <c r="C14" s="31">
        <v>2</v>
      </c>
      <c r="D14" s="27">
        <v>16000</v>
      </c>
      <c r="E14" s="2">
        <f t="shared" si="1"/>
        <v>19040</v>
      </c>
      <c r="F14" s="3">
        <f t="shared" si="2"/>
        <v>38080</v>
      </c>
      <c r="G14" s="26">
        <f>AD14/1.19</f>
        <v>16806.722689075632</v>
      </c>
      <c r="H14" s="235">
        <f t="shared" ref="H14:H16" si="6">G14+AF14</f>
        <v>20000</v>
      </c>
      <c r="I14" s="4">
        <f t="shared" si="4"/>
        <v>40000</v>
      </c>
      <c r="J14" s="5">
        <v>15126</v>
      </c>
      <c r="K14" s="6">
        <f>J14+R17</f>
        <v>17999.949579831933</v>
      </c>
      <c r="L14" s="6">
        <v>36000</v>
      </c>
      <c r="O14" s="25"/>
      <c r="AD14" s="7">
        <v>20000</v>
      </c>
      <c r="AF14" s="25">
        <f t="shared" si="5"/>
        <v>3193.2773109243681</v>
      </c>
    </row>
    <row r="15" spans="1:76" ht="24.75" customHeight="1" x14ac:dyDescent="0.3">
      <c r="A15" s="1">
        <v>12</v>
      </c>
      <c r="B15" s="267" t="s">
        <v>15</v>
      </c>
      <c r="C15" s="31">
        <v>2</v>
      </c>
      <c r="D15" s="27">
        <v>40000</v>
      </c>
      <c r="E15" s="2">
        <f t="shared" si="1"/>
        <v>47600</v>
      </c>
      <c r="F15" s="3">
        <f t="shared" si="2"/>
        <v>95200</v>
      </c>
      <c r="G15" s="26">
        <f>AD15/1.19</f>
        <v>29411.764705882353</v>
      </c>
      <c r="H15" s="235">
        <f t="shared" si="6"/>
        <v>35000</v>
      </c>
      <c r="I15" s="4">
        <f t="shared" si="4"/>
        <v>70000</v>
      </c>
      <c r="J15" s="5">
        <v>35294</v>
      </c>
      <c r="K15" s="6">
        <f>J15+R19</f>
        <v>41999.882352941175</v>
      </c>
      <c r="L15" s="6">
        <v>84000</v>
      </c>
      <c r="O15" s="25">
        <f>1500000-J5</f>
        <v>239496</v>
      </c>
      <c r="AD15" s="7">
        <v>35000</v>
      </c>
      <c r="AF15" s="25">
        <f t="shared" si="5"/>
        <v>5588.2352941176468</v>
      </c>
    </row>
    <row r="16" spans="1:76" ht="24.75" customHeight="1" x14ac:dyDescent="0.3">
      <c r="A16" s="1">
        <v>13</v>
      </c>
      <c r="B16" s="267" t="s">
        <v>83</v>
      </c>
      <c r="C16" s="31">
        <v>2</v>
      </c>
      <c r="D16" s="27">
        <v>25000</v>
      </c>
      <c r="E16" s="2">
        <f t="shared" si="1"/>
        <v>29750</v>
      </c>
      <c r="F16" s="3">
        <f t="shared" si="2"/>
        <v>59500</v>
      </c>
      <c r="G16" s="26">
        <f>AD16/1.19</f>
        <v>18487.394957983193</v>
      </c>
      <c r="H16" s="235">
        <f t="shared" si="6"/>
        <v>22000</v>
      </c>
      <c r="I16" s="4">
        <f t="shared" si="4"/>
        <v>44000</v>
      </c>
      <c r="J16" s="5">
        <v>35294</v>
      </c>
      <c r="K16" s="6">
        <f>J16+R19</f>
        <v>41999.882352941175</v>
      </c>
      <c r="L16" s="6">
        <v>84000</v>
      </c>
      <c r="O16" s="25">
        <v>168067</v>
      </c>
      <c r="R16" s="25">
        <f>18000/1.19</f>
        <v>15126.050420168069</v>
      </c>
      <c r="AD16" s="7">
        <v>22000</v>
      </c>
      <c r="AF16" s="25">
        <f t="shared" si="5"/>
        <v>3512.6050420168067</v>
      </c>
    </row>
    <row r="17" spans="1:32" ht="24.75" customHeight="1" x14ac:dyDescent="0.3">
      <c r="A17" s="1">
        <v>14</v>
      </c>
      <c r="B17" s="267" t="s">
        <v>16</v>
      </c>
      <c r="C17" s="31">
        <v>1</v>
      </c>
      <c r="D17" s="32">
        <v>30000</v>
      </c>
      <c r="E17" s="8">
        <v>0</v>
      </c>
      <c r="F17" s="3">
        <f>D17</f>
        <v>30000</v>
      </c>
      <c r="G17" s="26">
        <v>30000</v>
      </c>
      <c r="H17" s="235">
        <v>30000</v>
      </c>
      <c r="I17" s="4">
        <f t="shared" si="4"/>
        <v>30000</v>
      </c>
      <c r="J17" s="5">
        <v>30000</v>
      </c>
      <c r="K17" s="6">
        <v>30000</v>
      </c>
      <c r="L17" s="6">
        <v>30000</v>
      </c>
      <c r="O17" s="25">
        <f>L6-J6</f>
        <v>31932.773109243688</v>
      </c>
      <c r="R17" s="25">
        <f>18000-R16</f>
        <v>2873.9495798319313</v>
      </c>
      <c r="AD17" s="7">
        <v>30000</v>
      </c>
      <c r="AF17" s="25">
        <f t="shared" si="5"/>
        <v>0</v>
      </c>
    </row>
    <row r="18" spans="1:32" ht="24.75" customHeight="1" x14ac:dyDescent="0.3">
      <c r="A18" s="1">
        <v>15</v>
      </c>
      <c r="B18" s="267" t="s">
        <v>17</v>
      </c>
      <c r="C18" s="31">
        <v>1</v>
      </c>
      <c r="D18" s="32">
        <v>10000</v>
      </c>
      <c r="E18" s="2">
        <f t="shared" si="1"/>
        <v>11900</v>
      </c>
      <c r="F18" s="3">
        <f t="shared" si="2"/>
        <v>11900</v>
      </c>
      <c r="G18" s="26">
        <f>AD18/1.19</f>
        <v>10084.033613445379</v>
      </c>
      <c r="H18" s="235">
        <f>G18+AF18</f>
        <v>12000</v>
      </c>
      <c r="I18" s="4">
        <f t="shared" si="4"/>
        <v>12000</v>
      </c>
      <c r="J18" s="5">
        <v>8403</v>
      </c>
      <c r="K18" s="6">
        <f>J18+R20</f>
        <v>10000</v>
      </c>
      <c r="L18" s="6">
        <v>10000</v>
      </c>
      <c r="R18" s="25">
        <f>42000/1.19</f>
        <v>35294.117647058825</v>
      </c>
      <c r="AD18" s="7">
        <v>12000</v>
      </c>
      <c r="AF18" s="25">
        <f t="shared" si="5"/>
        <v>1915.9663865546208</v>
      </c>
    </row>
    <row r="19" spans="1:32" ht="24.75" customHeight="1" x14ac:dyDescent="0.3">
      <c r="A19" s="1">
        <v>16</v>
      </c>
      <c r="B19" s="267" t="s">
        <v>18</v>
      </c>
      <c r="C19" s="31">
        <v>1</v>
      </c>
      <c r="D19" s="32">
        <v>2000</v>
      </c>
      <c r="E19" s="2">
        <f t="shared" si="1"/>
        <v>2380</v>
      </c>
      <c r="F19" s="3">
        <f t="shared" si="2"/>
        <v>2380</v>
      </c>
      <c r="G19" s="26">
        <f>AD19/1.19</f>
        <v>2100.840336134454</v>
      </c>
      <c r="H19" s="235">
        <f>G19+AF19</f>
        <v>2500</v>
      </c>
      <c r="I19" s="4">
        <f t="shared" si="4"/>
        <v>2500</v>
      </c>
      <c r="J19" s="5">
        <v>1681</v>
      </c>
      <c r="K19" s="6">
        <f>J19+R21</f>
        <v>2000</v>
      </c>
      <c r="L19" s="6">
        <v>2000</v>
      </c>
      <c r="R19" s="25">
        <f>42000-R18</f>
        <v>6705.8823529411748</v>
      </c>
      <c r="AD19" s="7">
        <v>2500</v>
      </c>
      <c r="AF19" s="25">
        <f t="shared" si="5"/>
        <v>399.15966386554601</v>
      </c>
    </row>
    <row r="20" spans="1:32" ht="29.25" customHeight="1" x14ac:dyDescent="0.3">
      <c r="A20" s="1">
        <v>17</v>
      </c>
      <c r="B20" s="33" t="s">
        <v>19</v>
      </c>
      <c r="C20" s="31">
        <v>8</v>
      </c>
      <c r="D20" s="32">
        <v>10000</v>
      </c>
      <c r="E20" s="2">
        <f t="shared" si="1"/>
        <v>11900</v>
      </c>
      <c r="F20" s="3">
        <f t="shared" si="2"/>
        <v>95200</v>
      </c>
      <c r="G20" s="26">
        <v>25000</v>
      </c>
      <c r="H20" s="235">
        <v>25000</v>
      </c>
      <c r="I20" s="4">
        <f t="shared" si="4"/>
        <v>200000</v>
      </c>
      <c r="J20" s="5">
        <v>30000</v>
      </c>
      <c r="K20" s="5">
        <v>30000</v>
      </c>
      <c r="L20" s="6">
        <f>J20*C20</f>
        <v>240000</v>
      </c>
      <c r="O20" s="22">
        <f>650000/1.19</f>
        <v>546218.48739495804</v>
      </c>
      <c r="R20" s="25">
        <f>L18-8403</f>
        <v>1597</v>
      </c>
      <c r="AD20" s="7">
        <v>25000</v>
      </c>
      <c r="AF20" s="25">
        <f t="shared" si="5"/>
        <v>0</v>
      </c>
    </row>
    <row r="21" spans="1:32" ht="24.75" customHeight="1" x14ac:dyDescent="0.3">
      <c r="A21" s="1">
        <v>18</v>
      </c>
      <c r="B21" s="267" t="s">
        <v>20</v>
      </c>
      <c r="C21" s="31">
        <v>1</v>
      </c>
      <c r="D21" s="32">
        <v>15000</v>
      </c>
      <c r="E21" s="2">
        <f t="shared" si="1"/>
        <v>17850</v>
      </c>
      <c r="F21" s="3">
        <f t="shared" si="2"/>
        <v>17850</v>
      </c>
      <c r="G21" s="26">
        <f>AD21/1.19</f>
        <v>15126.050420168069</v>
      </c>
      <c r="H21" s="235">
        <f>G21+AF21</f>
        <v>18000</v>
      </c>
      <c r="I21" s="4">
        <f t="shared" si="4"/>
        <v>18000</v>
      </c>
      <c r="J21" s="5">
        <v>12605</v>
      </c>
      <c r="K21" s="6">
        <f>J21+R22</f>
        <v>15000</v>
      </c>
      <c r="L21" s="6">
        <v>15000</v>
      </c>
      <c r="O21" s="22">
        <f>650000-O20</f>
        <v>103781.51260504196</v>
      </c>
      <c r="R21" s="25">
        <f>L19-J19</f>
        <v>319</v>
      </c>
      <c r="AD21" s="7">
        <v>18000</v>
      </c>
      <c r="AF21" s="25">
        <f t="shared" si="5"/>
        <v>2873.9495798319313</v>
      </c>
    </row>
    <row r="22" spans="1:32" ht="24.75" customHeight="1" x14ac:dyDescent="0.3">
      <c r="A22" s="1">
        <v>19</v>
      </c>
      <c r="B22" s="267" t="s">
        <v>21</v>
      </c>
      <c r="C22" s="31">
        <v>2</v>
      </c>
      <c r="D22" s="32">
        <v>40000</v>
      </c>
      <c r="E22" s="2">
        <f t="shared" si="1"/>
        <v>47600</v>
      </c>
      <c r="F22" s="3">
        <f t="shared" si="2"/>
        <v>95200</v>
      </c>
      <c r="G22" s="26">
        <f>AD22/1.19</f>
        <v>36974.789915966387</v>
      </c>
      <c r="H22" s="235">
        <f t="shared" ref="H22:H23" si="7">G22+AF22</f>
        <v>44000</v>
      </c>
      <c r="I22" s="4">
        <f t="shared" si="4"/>
        <v>88000</v>
      </c>
      <c r="J22" s="5">
        <v>33613</v>
      </c>
      <c r="K22" s="6">
        <f>J22+R24</f>
        <v>40000</v>
      </c>
      <c r="L22" s="6">
        <f>K22*C22</f>
        <v>80000</v>
      </c>
      <c r="O22" s="22">
        <f>SUM(O20:O21)</f>
        <v>650000</v>
      </c>
      <c r="R22" s="25">
        <f>L21-J21</f>
        <v>2395</v>
      </c>
      <c r="AD22" s="7">
        <v>44000</v>
      </c>
      <c r="AF22" s="25">
        <f t="shared" si="5"/>
        <v>7025.2100840336134</v>
      </c>
    </row>
    <row r="23" spans="1:32" ht="24.75" customHeight="1" thickBot="1" x14ac:dyDescent="0.35">
      <c r="A23" s="134">
        <v>20</v>
      </c>
      <c r="B23" s="268" t="s">
        <v>22</v>
      </c>
      <c r="C23" s="142">
        <v>4</v>
      </c>
      <c r="D23" s="143">
        <v>300000</v>
      </c>
      <c r="E23" s="144">
        <f t="shared" si="1"/>
        <v>357000</v>
      </c>
      <c r="F23" s="145">
        <f t="shared" si="2"/>
        <v>1428000</v>
      </c>
      <c r="G23" s="146">
        <f>AD23/1.19</f>
        <v>210084.03361344538</v>
      </c>
      <c r="H23" s="236">
        <f t="shared" si="7"/>
        <v>250000</v>
      </c>
      <c r="I23" s="147">
        <f t="shared" si="4"/>
        <v>1000000</v>
      </c>
      <c r="J23" s="148">
        <v>235294</v>
      </c>
      <c r="K23" s="149">
        <f>J23+S23</f>
        <v>280000</v>
      </c>
      <c r="L23" s="149">
        <v>1120000</v>
      </c>
      <c r="R23" s="25">
        <f>L22-J22</f>
        <v>46387</v>
      </c>
      <c r="S23" s="22">
        <v>44706</v>
      </c>
      <c r="AD23" s="7">
        <v>250000</v>
      </c>
      <c r="AF23" s="25">
        <f t="shared" si="5"/>
        <v>39915.966386554617</v>
      </c>
    </row>
    <row r="24" spans="1:32" ht="24.75" customHeight="1" thickBot="1" x14ac:dyDescent="0.35">
      <c r="A24" s="152"/>
      <c r="B24" s="269"/>
      <c r="C24" s="153"/>
      <c r="D24" s="154"/>
      <c r="E24" s="155" t="s">
        <v>25</v>
      </c>
      <c r="F24" s="156">
        <f>SUM(F5:F23)</f>
        <v>5792030</v>
      </c>
      <c r="G24" s="157"/>
      <c r="H24" s="237" t="s">
        <v>25</v>
      </c>
      <c r="I24" s="157">
        <f>SUM(I5:I23)</f>
        <v>4761500</v>
      </c>
      <c r="J24" s="157"/>
      <c r="K24" s="225" t="s">
        <v>85</v>
      </c>
      <c r="L24" s="158">
        <f>SUM(L5:L23)</f>
        <v>4921000.1899999995</v>
      </c>
      <c r="M24" s="23">
        <f>SUM(M5:M23)</f>
        <v>290126.08403361344</v>
      </c>
      <c r="R24" s="25">
        <f>40000-J22</f>
        <v>6387</v>
      </c>
    </row>
    <row r="25" spans="1:32" s="75" customFormat="1" ht="24.75" customHeight="1" thickBot="1" x14ac:dyDescent="0.35">
      <c r="A25" s="150"/>
      <c r="B25" s="270"/>
      <c r="D25" s="140"/>
      <c r="E25" s="151">
        <f t="shared" si="1"/>
        <v>0</v>
      </c>
      <c r="G25" s="141"/>
      <c r="H25" s="238"/>
      <c r="K25" s="226"/>
      <c r="Q25" s="141"/>
      <c r="R25" s="141"/>
    </row>
    <row r="26" spans="1:32" ht="24.75" customHeight="1" x14ac:dyDescent="0.3">
      <c r="A26" s="294" t="s">
        <v>0</v>
      </c>
      <c r="B26" s="311" t="s">
        <v>29</v>
      </c>
      <c r="C26" s="313" t="s">
        <v>1</v>
      </c>
      <c r="D26" s="315" t="s">
        <v>23</v>
      </c>
      <c r="E26" s="292"/>
      <c r="F26" s="316"/>
      <c r="G26" s="90" t="s">
        <v>26</v>
      </c>
      <c r="H26" s="232"/>
      <c r="I26" s="91"/>
      <c r="J26" s="92"/>
      <c r="K26" s="317" t="s">
        <v>27</v>
      </c>
      <c r="L26" s="297"/>
      <c r="M26" s="298"/>
    </row>
    <row r="27" spans="1:32" ht="19.5" customHeight="1" thickBot="1" x14ac:dyDescent="0.35">
      <c r="A27" s="295"/>
      <c r="B27" s="312"/>
      <c r="C27" s="314"/>
      <c r="D27" s="139" t="s">
        <v>2</v>
      </c>
      <c r="E27" s="93" t="s">
        <v>24</v>
      </c>
      <c r="F27" s="94" t="s">
        <v>4</v>
      </c>
      <c r="G27" s="95" t="s">
        <v>2</v>
      </c>
      <c r="H27" s="239" t="s">
        <v>3</v>
      </c>
      <c r="I27" s="96" t="s">
        <v>4</v>
      </c>
      <c r="J27" s="96" t="s">
        <v>2</v>
      </c>
      <c r="K27" s="96" t="s">
        <v>3</v>
      </c>
      <c r="L27" s="96" t="s">
        <v>4</v>
      </c>
      <c r="M27" s="97"/>
    </row>
    <row r="28" spans="1:32" ht="24.75" customHeight="1" x14ac:dyDescent="0.3">
      <c r="A28" s="81">
        <v>1</v>
      </c>
      <c r="B28" s="82" t="s">
        <v>5</v>
      </c>
      <c r="C28" s="83">
        <v>1</v>
      </c>
      <c r="D28" s="135">
        <v>1200000</v>
      </c>
      <c r="E28" s="136">
        <f>D28*19%+D28</f>
        <v>1428000</v>
      </c>
      <c r="F28" s="135">
        <f>E28*C28</f>
        <v>1428000</v>
      </c>
      <c r="G28" s="86">
        <f t="shared" ref="G28:G44" si="8">AD28/1.19</f>
        <v>1260504.2016806724</v>
      </c>
      <c r="H28" s="240">
        <f>G28+AF28</f>
        <v>1500000</v>
      </c>
      <c r="I28" s="137">
        <f>H28*C28</f>
        <v>1500000</v>
      </c>
      <c r="J28" s="138">
        <v>1092437</v>
      </c>
      <c r="K28" s="89">
        <f>J28+S29</f>
        <v>1300000</v>
      </c>
      <c r="L28" s="89">
        <f t="shared" ref="L28" si="9">K28*C28</f>
        <v>1300000</v>
      </c>
      <c r="S28" s="25">
        <f>1300000</f>
        <v>1300000</v>
      </c>
      <c r="AD28" s="70">
        <v>1500000</v>
      </c>
      <c r="AF28" s="25">
        <f t="shared" ref="AF28:AF44" si="10">AD28-G28</f>
        <v>239495.79831932765</v>
      </c>
    </row>
    <row r="29" spans="1:32" ht="24.75" customHeight="1" x14ac:dyDescent="0.3">
      <c r="A29" s="1">
        <v>2</v>
      </c>
      <c r="B29" s="267" t="s">
        <v>30</v>
      </c>
      <c r="C29" s="31">
        <v>1</v>
      </c>
      <c r="D29" s="14">
        <v>200000</v>
      </c>
      <c r="E29" s="8">
        <f t="shared" ref="E29:E44" si="11">D29*19%+D29</f>
        <v>238000</v>
      </c>
      <c r="F29" s="9">
        <f t="shared" ref="F29:F44" si="12">E29*C29</f>
        <v>238000</v>
      </c>
      <c r="G29" s="26">
        <f t="shared" si="8"/>
        <v>420168.06722689077</v>
      </c>
      <c r="H29" s="241">
        <f t="shared" ref="H29:H44" si="13">G29+AF29</f>
        <v>500000</v>
      </c>
      <c r="I29" s="10">
        <f t="shared" ref="I29:I44" si="14">H29*C29</f>
        <v>500000</v>
      </c>
      <c r="J29" s="11">
        <v>168167</v>
      </c>
      <c r="K29" s="21">
        <f>J29+S30</f>
        <v>200000</v>
      </c>
      <c r="L29" s="6">
        <f>K29*C29</f>
        <v>200000</v>
      </c>
      <c r="S29" s="25">
        <f>S28-J28</f>
        <v>207563</v>
      </c>
      <c r="T29" s="54">
        <v>200000</v>
      </c>
      <c r="AD29" s="70">
        <v>500000</v>
      </c>
      <c r="AF29" s="25">
        <f t="shared" si="10"/>
        <v>79831.932773109234</v>
      </c>
    </row>
    <row r="30" spans="1:32" ht="24.75" customHeight="1" x14ac:dyDescent="0.3">
      <c r="A30" s="1">
        <v>3</v>
      </c>
      <c r="B30" s="267" t="s">
        <v>31</v>
      </c>
      <c r="C30" s="31">
        <v>1</v>
      </c>
      <c r="D30" s="14">
        <v>250000</v>
      </c>
      <c r="E30" s="8">
        <f t="shared" si="11"/>
        <v>297500</v>
      </c>
      <c r="F30" s="9">
        <f t="shared" si="12"/>
        <v>297500</v>
      </c>
      <c r="G30" s="26">
        <f t="shared" si="8"/>
        <v>235294.11764705883</v>
      </c>
      <c r="H30" s="241">
        <f t="shared" si="13"/>
        <v>280000</v>
      </c>
      <c r="I30" s="10">
        <f t="shared" si="14"/>
        <v>280000</v>
      </c>
      <c r="J30" s="11">
        <v>252101</v>
      </c>
      <c r="K30" s="21">
        <f t="shared" ref="K30:K35" si="15">J30+U30</f>
        <v>300000</v>
      </c>
      <c r="L30" s="6">
        <f t="shared" ref="L30:L44" si="16">K30*C30</f>
        <v>300000</v>
      </c>
      <c r="S30" s="49">
        <f>T29-J29</f>
        <v>31833</v>
      </c>
      <c r="T30" s="54">
        <v>300000</v>
      </c>
      <c r="U30" s="49">
        <f>T30-J30</f>
        <v>47899</v>
      </c>
      <c r="AD30" s="70">
        <v>280000</v>
      </c>
      <c r="AF30" s="25">
        <f t="shared" si="10"/>
        <v>44705.882352941175</v>
      </c>
    </row>
    <row r="31" spans="1:32" ht="24.75" customHeight="1" x14ac:dyDescent="0.3">
      <c r="A31" s="1">
        <v>4</v>
      </c>
      <c r="B31" s="267" t="s">
        <v>32</v>
      </c>
      <c r="C31" s="31">
        <v>1</v>
      </c>
      <c r="D31" s="14">
        <v>120000</v>
      </c>
      <c r="E31" s="8">
        <f t="shared" si="11"/>
        <v>142800</v>
      </c>
      <c r="F31" s="9">
        <f t="shared" si="12"/>
        <v>142800</v>
      </c>
      <c r="G31" s="26">
        <f t="shared" si="8"/>
        <v>50420.168067226892</v>
      </c>
      <c r="H31" s="241">
        <f t="shared" si="13"/>
        <v>60000</v>
      </c>
      <c r="I31" s="10">
        <f t="shared" si="14"/>
        <v>60000</v>
      </c>
      <c r="J31" s="11">
        <v>117647</v>
      </c>
      <c r="K31" s="21">
        <f t="shared" si="15"/>
        <v>140000</v>
      </c>
      <c r="L31" s="6">
        <f t="shared" si="16"/>
        <v>140000</v>
      </c>
      <c r="T31" s="52">
        <v>140000</v>
      </c>
      <c r="U31" s="49">
        <f>T31-J31</f>
        <v>22353</v>
      </c>
      <c r="AD31" s="70">
        <v>60000</v>
      </c>
      <c r="AF31" s="25">
        <f t="shared" si="10"/>
        <v>9579.8319327731078</v>
      </c>
    </row>
    <row r="32" spans="1:32" ht="24.75" customHeight="1" x14ac:dyDescent="0.3">
      <c r="A32" s="1">
        <v>6</v>
      </c>
      <c r="B32" s="267" t="s">
        <v>9</v>
      </c>
      <c r="C32" s="31">
        <v>1</v>
      </c>
      <c r="D32" s="14">
        <v>50000</v>
      </c>
      <c r="E32" s="8">
        <f t="shared" si="11"/>
        <v>59500</v>
      </c>
      <c r="F32" s="9">
        <f t="shared" si="12"/>
        <v>59500</v>
      </c>
      <c r="G32" s="26">
        <f t="shared" si="8"/>
        <v>672268.90756302525</v>
      </c>
      <c r="H32" s="241">
        <f t="shared" si="13"/>
        <v>800000</v>
      </c>
      <c r="I32" s="10">
        <f t="shared" si="14"/>
        <v>800000</v>
      </c>
      <c r="J32" s="11">
        <v>58824</v>
      </c>
      <c r="K32" s="21">
        <f t="shared" si="15"/>
        <v>70000</v>
      </c>
      <c r="L32" s="6">
        <f t="shared" si="16"/>
        <v>70000</v>
      </c>
      <c r="T32" s="53">
        <v>70000</v>
      </c>
      <c r="U32" s="49">
        <f>T32-J32</f>
        <v>11176</v>
      </c>
      <c r="AD32" s="70">
        <v>800000</v>
      </c>
      <c r="AF32" s="25">
        <f t="shared" si="10"/>
        <v>127731.09243697475</v>
      </c>
    </row>
    <row r="33" spans="1:32" ht="24.75" customHeight="1" x14ac:dyDescent="0.3">
      <c r="A33" s="1">
        <v>7</v>
      </c>
      <c r="B33" s="267" t="s">
        <v>10</v>
      </c>
      <c r="C33" s="31">
        <v>4</v>
      </c>
      <c r="D33" s="14">
        <v>15000</v>
      </c>
      <c r="E33" s="8">
        <f t="shared" si="11"/>
        <v>17850</v>
      </c>
      <c r="F33" s="9">
        <f t="shared" si="12"/>
        <v>71400</v>
      </c>
      <c r="G33" s="26">
        <f t="shared" si="8"/>
        <v>12605.042016806723</v>
      </c>
      <c r="H33" s="241">
        <f t="shared" si="13"/>
        <v>15000</v>
      </c>
      <c r="I33" s="10">
        <f t="shared" si="14"/>
        <v>60000</v>
      </c>
      <c r="J33" s="11">
        <v>12605</v>
      </c>
      <c r="K33" s="21">
        <f t="shared" si="15"/>
        <v>15000</v>
      </c>
      <c r="L33" s="6">
        <f t="shared" si="16"/>
        <v>60000</v>
      </c>
      <c r="T33" s="53">
        <v>15000</v>
      </c>
      <c r="U33" s="49">
        <f>T33-J33</f>
        <v>2395</v>
      </c>
      <c r="AD33" s="70">
        <v>15000</v>
      </c>
      <c r="AF33" s="25">
        <f t="shared" si="10"/>
        <v>2394.957983193277</v>
      </c>
    </row>
    <row r="34" spans="1:32" ht="24.75" customHeight="1" x14ac:dyDescent="0.3">
      <c r="A34" s="1">
        <v>8</v>
      </c>
      <c r="B34" s="267" t="s">
        <v>33</v>
      </c>
      <c r="C34" s="31">
        <v>1</v>
      </c>
      <c r="D34" s="14">
        <v>150000</v>
      </c>
      <c r="E34" s="8">
        <f t="shared" si="11"/>
        <v>178500</v>
      </c>
      <c r="F34" s="9">
        <f t="shared" si="12"/>
        <v>178500</v>
      </c>
      <c r="G34" s="26">
        <f t="shared" si="8"/>
        <v>294117.64705882355</v>
      </c>
      <c r="H34" s="241">
        <f t="shared" si="13"/>
        <v>350000</v>
      </c>
      <c r="I34" s="10">
        <f t="shared" si="14"/>
        <v>350000</v>
      </c>
      <c r="J34" s="11">
        <v>134454</v>
      </c>
      <c r="K34" s="21">
        <f t="shared" si="15"/>
        <v>160000</v>
      </c>
      <c r="L34" s="6">
        <f t="shared" si="16"/>
        <v>160000</v>
      </c>
      <c r="T34" s="53">
        <v>160000</v>
      </c>
      <c r="U34" s="49">
        <f>T34-J34</f>
        <v>25546</v>
      </c>
      <c r="AD34" s="70">
        <v>350000</v>
      </c>
      <c r="AF34" s="25">
        <f t="shared" si="10"/>
        <v>55882.352941176447</v>
      </c>
    </row>
    <row r="35" spans="1:32" ht="24.75" customHeight="1" x14ac:dyDescent="0.3">
      <c r="A35" s="1">
        <v>9</v>
      </c>
      <c r="B35" s="267" t="s">
        <v>34</v>
      </c>
      <c r="C35" s="31">
        <v>2</v>
      </c>
      <c r="D35" s="14">
        <v>40000</v>
      </c>
      <c r="E35" s="8">
        <f t="shared" si="11"/>
        <v>47600</v>
      </c>
      <c r="F35" s="9">
        <f t="shared" si="12"/>
        <v>95200</v>
      </c>
      <c r="G35" s="26">
        <f t="shared" si="8"/>
        <v>36974.789915966387</v>
      </c>
      <c r="H35" s="241">
        <f t="shared" si="13"/>
        <v>44000</v>
      </c>
      <c r="I35" s="10">
        <f t="shared" si="14"/>
        <v>88000</v>
      </c>
      <c r="J35" s="11">
        <v>33613</v>
      </c>
      <c r="K35" s="21">
        <f t="shared" si="15"/>
        <v>39999.554621848736</v>
      </c>
      <c r="L35" s="6">
        <f t="shared" si="16"/>
        <v>79999.109243697472</v>
      </c>
      <c r="S35" s="55">
        <v>40000</v>
      </c>
      <c r="T35" s="50">
        <f>'[1]OYL-451'!H27/1.19</f>
        <v>33613.445378151264</v>
      </c>
      <c r="U35" s="25">
        <f>S35-T35</f>
        <v>6386.5546218487361</v>
      </c>
      <c r="AD35" s="70">
        <v>44000</v>
      </c>
      <c r="AF35" s="25">
        <f t="shared" si="10"/>
        <v>7025.2100840336134</v>
      </c>
    </row>
    <row r="36" spans="1:32" ht="24.75" customHeight="1" x14ac:dyDescent="0.3">
      <c r="A36" s="1">
        <v>10</v>
      </c>
      <c r="B36" s="267" t="s">
        <v>12</v>
      </c>
      <c r="C36" s="31">
        <v>16</v>
      </c>
      <c r="D36" s="12">
        <v>30000</v>
      </c>
      <c r="E36" s="8">
        <v>0</v>
      </c>
      <c r="F36" s="9">
        <f>D36*C36</f>
        <v>480000</v>
      </c>
      <c r="G36" s="26">
        <f t="shared" si="8"/>
        <v>18487.394957983193</v>
      </c>
      <c r="H36" s="241">
        <f t="shared" si="13"/>
        <v>22000</v>
      </c>
      <c r="I36" s="10">
        <f t="shared" si="14"/>
        <v>352000</v>
      </c>
      <c r="J36" s="11">
        <v>30000</v>
      </c>
      <c r="K36" s="6">
        <v>30000</v>
      </c>
      <c r="L36" s="6">
        <f t="shared" si="16"/>
        <v>480000</v>
      </c>
      <c r="S36" s="55">
        <v>30000</v>
      </c>
      <c r="T36" s="50">
        <f>'[1]OYL-451'!H28/1.19</f>
        <v>25210.084033613446</v>
      </c>
      <c r="U36" s="25">
        <f t="shared" ref="U36:U49" si="17">S36-T36</f>
        <v>4789.9159663865539</v>
      </c>
      <c r="AD36" s="70">
        <v>22000</v>
      </c>
      <c r="AF36" s="25">
        <f t="shared" si="10"/>
        <v>3512.6050420168067</v>
      </c>
    </row>
    <row r="37" spans="1:32" ht="24.75" customHeight="1" x14ac:dyDescent="0.3">
      <c r="A37" s="1">
        <v>11</v>
      </c>
      <c r="B37" s="271" t="s">
        <v>35</v>
      </c>
      <c r="C37" s="34">
        <v>1</v>
      </c>
      <c r="D37" s="12">
        <v>20000</v>
      </c>
      <c r="E37" s="8">
        <f t="shared" si="11"/>
        <v>23800</v>
      </c>
      <c r="F37" s="9">
        <f t="shared" si="12"/>
        <v>23800</v>
      </c>
      <c r="G37" s="26">
        <f t="shared" si="8"/>
        <v>35630.252100840335</v>
      </c>
      <c r="H37" s="241">
        <f t="shared" si="13"/>
        <v>42400</v>
      </c>
      <c r="I37" s="10">
        <f t="shared" si="14"/>
        <v>42400</v>
      </c>
      <c r="J37" s="11">
        <v>21008</v>
      </c>
      <c r="K37" s="6">
        <f t="shared" ref="K37:K42" si="18">J37+U37</f>
        <v>24999.596638655461</v>
      </c>
      <c r="L37" s="6">
        <f t="shared" si="16"/>
        <v>24999.596638655461</v>
      </c>
      <c r="S37" s="55">
        <v>25000</v>
      </c>
      <c r="T37" s="50">
        <f>'[1]OYL-451'!H29/1.19</f>
        <v>21008.403361344539</v>
      </c>
      <c r="U37" s="25">
        <f t="shared" si="17"/>
        <v>3991.596638655461</v>
      </c>
      <c r="AD37" s="70">
        <v>42400</v>
      </c>
      <c r="AF37" s="25">
        <f t="shared" si="10"/>
        <v>6769.7478991596654</v>
      </c>
    </row>
    <row r="38" spans="1:32" ht="24.75" customHeight="1" x14ac:dyDescent="0.3">
      <c r="A38" s="1">
        <v>12</v>
      </c>
      <c r="B38" s="271" t="s">
        <v>36</v>
      </c>
      <c r="C38" s="34">
        <v>1</v>
      </c>
      <c r="D38" s="12">
        <v>40000</v>
      </c>
      <c r="E38" s="8">
        <f t="shared" si="11"/>
        <v>47600</v>
      </c>
      <c r="F38" s="9">
        <f t="shared" si="12"/>
        <v>47600</v>
      </c>
      <c r="G38" s="26">
        <f t="shared" si="8"/>
        <v>32773.10924369748</v>
      </c>
      <c r="H38" s="241">
        <f t="shared" si="13"/>
        <v>39000</v>
      </c>
      <c r="I38" s="10">
        <f t="shared" si="14"/>
        <v>39000</v>
      </c>
      <c r="J38" s="11">
        <v>35294</v>
      </c>
      <c r="K38" s="6">
        <f t="shared" si="18"/>
        <v>41999.882352941175</v>
      </c>
      <c r="L38" s="6">
        <f t="shared" si="16"/>
        <v>41999.882352941175</v>
      </c>
      <c r="S38" s="55">
        <v>42000</v>
      </c>
      <c r="T38" s="50">
        <f>'[1]OYL-451'!H30/1.19</f>
        <v>35294.117647058825</v>
      </c>
      <c r="U38" s="25">
        <f t="shared" si="17"/>
        <v>6705.8823529411748</v>
      </c>
      <c r="AD38" s="70">
        <v>39000</v>
      </c>
      <c r="AF38" s="25">
        <f t="shared" si="10"/>
        <v>6226.8907563025205</v>
      </c>
    </row>
    <row r="39" spans="1:32" ht="24.75" customHeight="1" x14ac:dyDescent="0.3">
      <c r="A39" s="1">
        <v>13</v>
      </c>
      <c r="B39" s="271" t="s">
        <v>37</v>
      </c>
      <c r="C39" s="34">
        <v>1</v>
      </c>
      <c r="D39" s="12">
        <v>30000</v>
      </c>
      <c r="E39" s="8">
        <f t="shared" si="11"/>
        <v>35700</v>
      </c>
      <c r="F39" s="9">
        <f t="shared" si="12"/>
        <v>35700</v>
      </c>
      <c r="G39" s="26">
        <f t="shared" si="8"/>
        <v>21848.73949579832</v>
      </c>
      <c r="H39" s="241">
        <f t="shared" si="13"/>
        <v>26000</v>
      </c>
      <c r="I39" s="10">
        <f>H39*C39</f>
        <v>26000</v>
      </c>
      <c r="J39" s="11">
        <v>29412</v>
      </c>
      <c r="K39" s="6">
        <f t="shared" si="18"/>
        <v>35000.23529411765</v>
      </c>
      <c r="L39" s="6">
        <f t="shared" si="16"/>
        <v>35000.23529411765</v>
      </c>
      <c r="S39" s="55">
        <v>35000</v>
      </c>
      <c r="T39" s="50">
        <f>'[1]OYL-451'!H31/1.19</f>
        <v>29411.764705882353</v>
      </c>
      <c r="U39" s="25">
        <f t="shared" si="17"/>
        <v>5588.2352941176468</v>
      </c>
      <c r="AD39" s="70">
        <v>26000</v>
      </c>
      <c r="AF39" s="25">
        <f t="shared" si="10"/>
        <v>4151.2605042016803</v>
      </c>
    </row>
    <row r="40" spans="1:32" ht="24.75" customHeight="1" x14ac:dyDescent="0.3">
      <c r="A40" s="1">
        <v>14</v>
      </c>
      <c r="B40" s="271" t="s">
        <v>38</v>
      </c>
      <c r="C40" s="34">
        <v>2</v>
      </c>
      <c r="D40" s="12">
        <v>30000</v>
      </c>
      <c r="E40" s="8">
        <f t="shared" si="11"/>
        <v>35700</v>
      </c>
      <c r="F40" s="9">
        <f t="shared" si="12"/>
        <v>71400</v>
      </c>
      <c r="G40" s="26">
        <f t="shared" si="8"/>
        <v>25210.084033613446</v>
      </c>
      <c r="H40" s="241">
        <f t="shared" si="13"/>
        <v>30000</v>
      </c>
      <c r="I40" s="10">
        <f t="shared" si="14"/>
        <v>60000</v>
      </c>
      <c r="J40" s="11">
        <v>30000</v>
      </c>
      <c r="K40" s="6">
        <v>30000</v>
      </c>
      <c r="L40" s="6">
        <f t="shared" si="16"/>
        <v>60000</v>
      </c>
      <c r="S40" s="55">
        <v>30000</v>
      </c>
      <c r="T40" s="50">
        <f>'[1]OYL-451'!H32/1.19</f>
        <v>25210.084033613446</v>
      </c>
      <c r="U40" s="25">
        <f t="shared" si="17"/>
        <v>4789.9159663865539</v>
      </c>
      <c r="AD40" s="70">
        <v>30000</v>
      </c>
      <c r="AF40" s="25">
        <f t="shared" si="10"/>
        <v>4789.9159663865539</v>
      </c>
    </row>
    <row r="41" spans="1:32" ht="24.75" customHeight="1" x14ac:dyDescent="0.3">
      <c r="A41" s="1">
        <v>15</v>
      </c>
      <c r="B41" s="271" t="s">
        <v>39</v>
      </c>
      <c r="C41" s="34">
        <v>3</v>
      </c>
      <c r="D41" s="12">
        <v>10000</v>
      </c>
      <c r="E41" s="8">
        <f t="shared" si="11"/>
        <v>11900</v>
      </c>
      <c r="F41" s="9">
        <f t="shared" si="12"/>
        <v>35700</v>
      </c>
      <c r="G41" s="26">
        <f t="shared" si="8"/>
        <v>10084.033613445379</v>
      </c>
      <c r="H41" s="241">
        <f t="shared" si="13"/>
        <v>12000</v>
      </c>
      <c r="I41" s="10">
        <f t="shared" si="14"/>
        <v>36000</v>
      </c>
      <c r="J41" s="11">
        <v>8403</v>
      </c>
      <c r="K41" s="6">
        <f t="shared" si="18"/>
        <v>9999.638655462184</v>
      </c>
      <c r="L41" s="6">
        <v>30000</v>
      </c>
      <c r="S41" s="55">
        <v>10000</v>
      </c>
      <c r="T41" s="50">
        <f>'[1]OYL-451'!H33/1.19</f>
        <v>8403.361344537816</v>
      </c>
      <c r="U41" s="25">
        <f t="shared" si="17"/>
        <v>1596.638655462184</v>
      </c>
      <c r="AD41" s="70">
        <v>12000</v>
      </c>
      <c r="AF41" s="25">
        <f t="shared" si="10"/>
        <v>1915.9663865546208</v>
      </c>
    </row>
    <row r="42" spans="1:32" ht="24.75" customHeight="1" x14ac:dyDescent="0.3">
      <c r="A42" s="1">
        <v>16</v>
      </c>
      <c r="B42" s="271" t="s">
        <v>40</v>
      </c>
      <c r="C42" s="34">
        <v>1</v>
      </c>
      <c r="D42" s="12">
        <v>2000</v>
      </c>
      <c r="E42" s="8">
        <f t="shared" si="11"/>
        <v>2380</v>
      </c>
      <c r="F42" s="9">
        <f t="shared" si="12"/>
        <v>2380</v>
      </c>
      <c r="G42" s="26">
        <f t="shared" si="8"/>
        <v>2100.840336134454</v>
      </c>
      <c r="H42" s="241">
        <f t="shared" si="13"/>
        <v>2500</v>
      </c>
      <c r="I42" s="10">
        <f t="shared" si="14"/>
        <v>2500</v>
      </c>
      <c r="J42" s="11">
        <v>1681</v>
      </c>
      <c r="K42" s="6">
        <f t="shared" si="18"/>
        <v>2000.3277310924368</v>
      </c>
      <c r="L42" s="6">
        <f t="shared" si="16"/>
        <v>2000.3277310924368</v>
      </c>
      <c r="S42" s="55">
        <v>2000</v>
      </c>
      <c r="T42" s="50">
        <f>'[1]OYL-451'!H34/1.19</f>
        <v>1680.6722689075632</v>
      </c>
      <c r="U42" s="25">
        <f t="shared" si="17"/>
        <v>319.32773109243681</v>
      </c>
      <c r="AD42" s="70">
        <v>2500</v>
      </c>
      <c r="AF42" s="25">
        <f t="shared" si="10"/>
        <v>399.15966386554601</v>
      </c>
    </row>
    <row r="43" spans="1:32" ht="24.75" customHeight="1" x14ac:dyDescent="0.3">
      <c r="A43" s="1">
        <v>17</v>
      </c>
      <c r="B43" s="271" t="s">
        <v>41</v>
      </c>
      <c r="C43" s="34">
        <v>8</v>
      </c>
      <c r="D43" s="12">
        <v>28000</v>
      </c>
      <c r="E43" s="8">
        <v>0</v>
      </c>
      <c r="F43" s="9">
        <f>D43*C43</f>
        <v>224000</v>
      </c>
      <c r="G43" s="26">
        <f t="shared" si="8"/>
        <v>21008.403361344539</v>
      </c>
      <c r="H43" s="241">
        <f t="shared" si="13"/>
        <v>25000</v>
      </c>
      <c r="I43" s="10">
        <f t="shared" si="14"/>
        <v>200000</v>
      </c>
      <c r="J43" s="11">
        <v>30000</v>
      </c>
      <c r="K43" s="6">
        <v>30000</v>
      </c>
      <c r="L43" s="6">
        <f t="shared" si="16"/>
        <v>240000</v>
      </c>
      <c r="S43" s="55">
        <v>30000</v>
      </c>
      <c r="T43" s="50">
        <f>'[1]OYL-451'!H35/1.19</f>
        <v>25210.084033613446</v>
      </c>
      <c r="U43" s="25">
        <f t="shared" si="17"/>
        <v>4789.9159663865539</v>
      </c>
      <c r="AD43" s="70">
        <v>25000</v>
      </c>
      <c r="AF43" s="25">
        <f t="shared" si="10"/>
        <v>3991.596638655461</v>
      </c>
    </row>
    <row r="44" spans="1:32" ht="24.75" customHeight="1" thickBot="1" x14ac:dyDescent="0.35">
      <c r="A44" s="134">
        <v>18</v>
      </c>
      <c r="B44" s="272" t="s">
        <v>20</v>
      </c>
      <c r="C44" s="45">
        <v>1</v>
      </c>
      <c r="D44" s="159">
        <v>15000</v>
      </c>
      <c r="E44" s="160">
        <f t="shared" si="11"/>
        <v>17850</v>
      </c>
      <c r="F44" s="161">
        <f t="shared" si="12"/>
        <v>17850</v>
      </c>
      <c r="G44" s="146">
        <f t="shared" si="8"/>
        <v>12605.042016806723</v>
      </c>
      <c r="H44" s="242">
        <f t="shared" si="13"/>
        <v>15000</v>
      </c>
      <c r="I44" s="162">
        <f t="shared" si="14"/>
        <v>15000</v>
      </c>
      <c r="J44" s="163">
        <v>12605</v>
      </c>
      <c r="K44" s="149">
        <f>J44+T50</f>
        <v>15000</v>
      </c>
      <c r="L44" s="149">
        <f t="shared" si="16"/>
        <v>15000</v>
      </c>
      <c r="S44" s="55">
        <v>17000</v>
      </c>
      <c r="T44" s="50">
        <f>'[1]OYL-451'!H36/1.19</f>
        <v>14285.714285714286</v>
      </c>
      <c r="U44" s="25">
        <f t="shared" si="17"/>
        <v>2714.2857142857138</v>
      </c>
      <c r="AD44" s="70">
        <v>15000</v>
      </c>
      <c r="AF44" s="25">
        <f t="shared" si="10"/>
        <v>2394.957983193277</v>
      </c>
    </row>
    <row r="45" spans="1:32" ht="24.75" customHeight="1" thickBot="1" x14ac:dyDescent="0.35">
      <c r="A45" s="169"/>
      <c r="B45" s="273"/>
      <c r="C45" s="170"/>
      <c r="D45" s="171"/>
      <c r="E45" s="172" t="s">
        <v>25</v>
      </c>
      <c r="F45" s="172">
        <f>SUM(F28:F44)</f>
        <v>3449330</v>
      </c>
      <c r="G45" s="173"/>
      <c r="H45" s="243" t="s">
        <v>25</v>
      </c>
      <c r="I45" s="174">
        <f>SUM(I28:I44)</f>
        <v>4410900</v>
      </c>
      <c r="J45" s="175"/>
      <c r="K45" s="175" t="s">
        <v>25</v>
      </c>
      <c r="L45" s="176">
        <f>SUM(L28:L44)</f>
        <v>3238999.151260504</v>
      </c>
      <c r="S45" s="55">
        <v>27000</v>
      </c>
      <c r="T45" s="50">
        <f>'[1]OYL-451'!H37/1.19</f>
        <v>22689.0756302521</v>
      </c>
      <c r="U45" s="25">
        <f t="shared" si="17"/>
        <v>4310.9243697478996</v>
      </c>
    </row>
    <row r="46" spans="1:32" ht="24.75" customHeight="1" x14ac:dyDescent="0.3">
      <c r="A46" s="81"/>
      <c r="B46" s="82"/>
      <c r="C46" s="83"/>
      <c r="D46" s="35"/>
      <c r="E46" s="164"/>
      <c r="F46" s="165"/>
      <c r="G46" s="166"/>
      <c r="H46" s="244"/>
      <c r="I46" s="167"/>
      <c r="J46" s="167"/>
      <c r="K46" s="168"/>
      <c r="L46" s="167"/>
      <c r="M46" s="15">
        <f>SUM(L28:L45)</f>
        <v>6477998.3025210081</v>
      </c>
      <c r="S46" s="55">
        <v>25000</v>
      </c>
      <c r="T46" s="50">
        <f>'[1]OYL-451'!H38/1.19</f>
        <v>21008.403361344539</v>
      </c>
      <c r="U46" s="25">
        <f t="shared" si="17"/>
        <v>3991.596638655461</v>
      </c>
    </row>
    <row r="47" spans="1:32" ht="24.75" customHeight="1" x14ac:dyDescent="0.3">
      <c r="A47" s="98"/>
      <c r="B47" s="326" t="s">
        <v>42</v>
      </c>
      <c r="C47" s="328" t="s">
        <v>1</v>
      </c>
      <c r="D47" s="330" t="s">
        <v>23</v>
      </c>
      <c r="E47" s="331"/>
      <c r="F47" s="332"/>
      <c r="G47" s="76" t="s">
        <v>92</v>
      </c>
      <c r="H47" s="245"/>
      <c r="I47" s="77"/>
      <c r="J47" s="78"/>
      <c r="K47" s="282" t="s">
        <v>27</v>
      </c>
      <c r="L47" s="283"/>
      <c r="M47" s="284"/>
      <c r="S47" s="55">
        <v>30000</v>
      </c>
      <c r="T47" s="50">
        <f>'[1]OYL-451'!H39/1.19</f>
        <v>25210.084033613446</v>
      </c>
      <c r="U47" s="25">
        <f t="shared" si="17"/>
        <v>4789.9159663865539</v>
      </c>
    </row>
    <row r="48" spans="1:32" ht="24.75" customHeight="1" thickBot="1" x14ac:dyDescent="0.35">
      <c r="A48" s="98"/>
      <c r="B48" s="327"/>
      <c r="C48" s="329"/>
      <c r="D48" s="99" t="s">
        <v>2</v>
      </c>
      <c r="E48" s="101" t="s">
        <v>24</v>
      </c>
      <c r="F48" s="79" t="s">
        <v>4</v>
      </c>
      <c r="G48" s="100" t="s">
        <v>2</v>
      </c>
      <c r="H48" s="246" t="s">
        <v>3</v>
      </c>
      <c r="I48" s="80" t="s">
        <v>4</v>
      </c>
      <c r="J48" s="80" t="s">
        <v>2</v>
      </c>
      <c r="K48" s="80" t="s">
        <v>3</v>
      </c>
      <c r="L48" s="80" t="s">
        <v>4</v>
      </c>
      <c r="M48" s="80" t="s">
        <v>4</v>
      </c>
      <c r="S48" s="55">
        <v>10000</v>
      </c>
      <c r="T48" s="50">
        <f>'[1]OYL-451'!H40/1.19</f>
        <v>8403.361344537816</v>
      </c>
      <c r="U48" s="25">
        <f t="shared" si="17"/>
        <v>1596.638655462184</v>
      </c>
    </row>
    <row r="49" spans="1:32" ht="24.75" customHeight="1" thickBot="1" x14ac:dyDescent="0.35">
      <c r="A49" s="1">
        <v>1</v>
      </c>
      <c r="B49" s="267" t="s">
        <v>54</v>
      </c>
      <c r="C49" s="36">
        <v>2</v>
      </c>
      <c r="D49" s="37">
        <v>70000</v>
      </c>
      <c r="E49" s="2">
        <f>D49*19%+D49</f>
        <v>83300</v>
      </c>
      <c r="F49" s="3">
        <f>E49*C49</f>
        <v>166600</v>
      </c>
      <c r="G49" s="26">
        <f t="shared" ref="G49:G76" si="19">AD49/1.19</f>
        <v>71428.571428571435</v>
      </c>
      <c r="H49" s="241">
        <f>G49+AF49</f>
        <v>85000</v>
      </c>
      <c r="I49" s="16">
        <f>H49*C49</f>
        <v>170000</v>
      </c>
      <c r="J49" s="66">
        <v>58824</v>
      </c>
      <c r="K49" s="64">
        <f>J49+X49</f>
        <v>70000.470588235301</v>
      </c>
      <c r="L49" s="65">
        <f>K49*C49</f>
        <v>140000.9411764706</v>
      </c>
      <c r="M49" s="17">
        <f>L49*C49</f>
        <v>280001.8823529412</v>
      </c>
      <c r="S49" s="55">
        <v>2000</v>
      </c>
      <c r="T49" s="50">
        <f>'[1]OYL-451'!H41/1.19</f>
        <v>1680.6722689075632</v>
      </c>
      <c r="U49" s="25">
        <f t="shared" si="17"/>
        <v>319.32773109243681</v>
      </c>
      <c r="V49" s="51">
        <f>'[1]ONK-064'!H13/1.19</f>
        <v>58823.529411764706</v>
      </c>
      <c r="W49" s="25">
        <v>70000</v>
      </c>
      <c r="X49" s="25">
        <f>W49-V49</f>
        <v>11176.470588235294</v>
      </c>
      <c r="AD49" s="25">
        <v>85000</v>
      </c>
      <c r="AF49" s="25">
        <f t="shared" ref="AF49:AF76" si="20">AD49-G49</f>
        <v>13571.428571428565</v>
      </c>
    </row>
    <row r="50" spans="1:32" ht="24.75" customHeight="1" thickBot="1" x14ac:dyDescent="0.35">
      <c r="A50" s="1">
        <v>2</v>
      </c>
      <c r="B50" s="267" t="s">
        <v>55</v>
      </c>
      <c r="C50" s="36">
        <v>1</v>
      </c>
      <c r="D50" s="37">
        <v>120000</v>
      </c>
      <c r="E50" s="2">
        <f t="shared" ref="E50:E76" si="21">D50*19%+D50</f>
        <v>142800</v>
      </c>
      <c r="F50" s="3">
        <f t="shared" ref="F50:F76" si="22">E50*C50</f>
        <v>142800</v>
      </c>
      <c r="G50" s="26">
        <f t="shared" si="19"/>
        <v>58823.529411764706</v>
      </c>
      <c r="H50" s="241">
        <f t="shared" ref="H50:H76" si="23">G50+AF50</f>
        <v>70000</v>
      </c>
      <c r="I50" s="16">
        <f t="shared" ref="I50:I76" si="24">H50*C50</f>
        <v>70000</v>
      </c>
      <c r="J50" s="65">
        <v>92437</v>
      </c>
      <c r="K50" s="64">
        <f t="shared" ref="K50:K61" si="25">J50+X50</f>
        <v>110000.02521008403</v>
      </c>
      <c r="L50" s="65">
        <f t="shared" ref="L50:L62" si="26">K50*C50</f>
        <v>110000.02521008403</v>
      </c>
      <c r="M50" s="17">
        <f t="shared" ref="M50:M75" si="27">L50*C50</f>
        <v>110000.02521008403</v>
      </c>
      <c r="S50" s="55">
        <v>15000</v>
      </c>
      <c r="T50" s="50">
        <f>S50-J44</f>
        <v>2395</v>
      </c>
      <c r="U50" s="25">
        <f>S50-T50</f>
        <v>12605</v>
      </c>
      <c r="V50" s="51">
        <f>'[1]ONK-064'!H15/1.19</f>
        <v>92436.97478991597</v>
      </c>
      <c r="W50" s="25">
        <v>110000</v>
      </c>
      <c r="X50" s="25">
        <f t="shared" ref="X50:X61" si="28">W50-V50</f>
        <v>17563.02521008403</v>
      </c>
      <c r="AD50" s="25">
        <v>70000</v>
      </c>
      <c r="AF50" s="25">
        <f t="shared" si="20"/>
        <v>11176.470588235294</v>
      </c>
    </row>
    <row r="51" spans="1:32" ht="24.75" customHeight="1" thickBot="1" x14ac:dyDescent="0.35">
      <c r="A51" s="1">
        <v>3</v>
      </c>
      <c r="B51" s="267" t="s">
        <v>43</v>
      </c>
      <c r="C51" s="36">
        <v>1</v>
      </c>
      <c r="D51" s="37">
        <v>140000</v>
      </c>
      <c r="E51" s="2">
        <f t="shared" si="21"/>
        <v>166600</v>
      </c>
      <c r="F51" s="3">
        <f t="shared" si="22"/>
        <v>166600</v>
      </c>
      <c r="G51" s="26">
        <f t="shared" si="19"/>
        <v>117647.05882352941</v>
      </c>
      <c r="H51" s="241">
        <f t="shared" si="23"/>
        <v>140000</v>
      </c>
      <c r="I51" s="16">
        <f t="shared" si="24"/>
        <v>140000</v>
      </c>
      <c r="J51" s="65">
        <v>126050</v>
      </c>
      <c r="K51" s="64">
        <f t="shared" si="25"/>
        <v>149999.57983193279</v>
      </c>
      <c r="L51" s="65">
        <f t="shared" si="26"/>
        <v>149999.57983193279</v>
      </c>
      <c r="M51" s="17">
        <f t="shared" si="27"/>
        <v>149999.57983193279</v>
      </c>
      <c r="V51" s="50">
        <f>'[1]ONK-064'!H26/1.19</f>
        <v>126050.42016806723</v>
      </c>
      <c r="W51" s="25">
        <v>150000</v>
      </c>
      <c r="X51" s="25">
        <f t="shared" si="28"/>
        <v>23949.579831932773</v>
      </c>
      <c r="AD51" s="25">
        <v>140000</v>
      </c>
      <c r="AF51" s="25">
        <f t="shared" si="20"/>
        <v>22352.941176470587</v>
      </c>
    </row>
    <row r="52" spans="1:32" ht="24.75" customHeight="1" thickBot="1" x14ac:dyDescent="0.35">
      <c r="A52" s="1">
        <v>4</v>
      </c>
      <c r="B52" s="267" t="s">
        <v>56</v>
      </c>
      <c r="C52" s="36">
        <v>2</v>
      </c>
      <c r="D52" s="37">
        <v>80000</v>
      </c>
      <c r="E52" s="2">
        <f t="shared" si="21"/>
        <v>95200</v>
      </c>
      <c r="F52" s="3">
        <f t="shared" si="22"/>
        <v>190400</v>
      </c>
      <c r="G52" s="26">
        <f t="shared" si="19"/>
        <v>46218.487394957985</v>
      </c>
      <c r="H52" s="241">
        <f t="shared" si="23"/>
        <v>55000</v>
      </c>
      <c r="I52" s="16">
        <f t="shared" si="24"/>
        <v>110000</v>
      </c>
      <c r="J52" s="65">
        <v>75630</v>
      </c>
      <c r="K52" s="64">
        <f t="shared" si="25"/>
        <v>89999.747899159658</v>
      </c>
      <c r="L52" s="65">
        <f t="shared" si="26"/>
        <v>179999.49579831932</v>
      </c>
      <c r="M52" s="17">
        <f t="shared" si="27"/>
        <v>359998.99159663863</v>
      </c>
      <c r="V52" s="50">
        <f>'[1]ONK-064'!H27/1.19</f>
        <v>75630.252100840342</v>
      </c>
      <c r="W52" s="25">
        <v>90000</v>
      </c>
      <c r="X52" s="25">
        <f t="shared" si="28"/>
        <v>14369.747899159658</v>
      </c>
      <c r="AD52" s="25">
        <v>55000</v>
      </c>
      <c r="AF52" s="25">
        <f t="shared" si="20"/>
        <v>8781.5126050420149</v>
      </c>
    </row>
    <row r="53" spans="1:32" ht="24.75" customHeight="1" thickBot="1" x14ac:dyDescent="0.35">
      <c r="A53" s="1">
        <v>6</v>
      </c>
      <c r="B53" s="267" t="s">
        <v>57</v>
      </c>
      <c r="C53" s="36">
        <v>2</v>
      </c>
      <c r="D53" s="37">
        <v>140000</v>
      </c>
      <c r="E53" s="2">
        <f t="shared" si="21"/>
        <v>166600</v>
      </c>
      <c r="F53" s="3">
        <f t="shared" si="22"/>
        <v>333200</v>
      </c>
      <c r="G53" s="26">
        <f t="shared" si="19"/>
        <v>63025.210084033613</v>
      </c>
      <c r="H53" s="241">
        <f t="shared" si="23"/>
        <v>75000</v>
      </c>
      <c r="I53" s="16">
        <f t="shared" si="24"/>
        <v>150000</v>
      </c>
      <c r="J53" s="65">
        <v>109244</v>
      </c>
      <c r="K53" s="64">
        <f t="shared" si="25"/>
        <v>130000.3025210084</v>
      </c>
      <c r="L53" s="65">
        <f t="shared" si="26"/>
        <v>260000.6050420168</v>
      </c>
      <c r="M53" s="17">
        <f t="shared" si="27"/>
        <v>520001.21008403361</v>
      </c>
      <c r="V53" s="50">
        <f>'[1]ONK-064'!H28/1.19</f>
        <v>109243.6974789916</v>
      </c>
      <c r="W53" s="25">
        <v>130000</v>
      </c>
      <c r="X53" s="25">
        <f t="shared" si="28"/>
        <v>20756.302521008402</v>
      </c>
      <c r="AD53" s="25">
        <v>75000</v>
      </c>
      <c r="AF53" s="25">
        <f t="shared" si="20"/>
        <v>11974.789915966387</v>
      </c>
    </row>
    <row r="54" spans="1:32" ht="24.75" customHeight="1" thickBot="1" x14ac:dyDescent="0.35">
      <c r="A54" s="1">
        <v>7</v>
      </c>
      <c r="B54" s="267" t="s">
        <v>58</v>
      </c>
      <c r="C54" s="36">
        <v>1</v>
      </c>
      <c r="D54" s="37">
        <v>250000</v>
      </c>
      <c r="E54" s="2">
        <f t="shared" si="21"/>
        <v>297500</v>
      </c>
      <c r="F54" s="3">
        <f t="shared" si="22"/>
        <v>297500</v>
      </c>
      <c r="G54" s="26">
        <f t="shared" si="19"/>
        <v>294117.64705882355</v>
      </c>
      <c r="H54" s="241">
        <f t="shared" si="23"/>
        <v>350000</v>
      </c>
      <c r="I54" s="16">
        <f t="shared" si="24"/>
        <v>350000</v>
      </c>
      <c r="J54" s="65">
        <v>252101</v>
      </c>
      <c r="K54" s="64">
        <f t="shared" si="25"/>
        <v>300000.15966386558</v>
      </c>
      <c r="L54" s="65">
        <f t="shared" si="26"/>
        <v>300000.15966386558</v>
      </c>
      <c r="M54" s="17">
        <f t="shared" si="27"/>
        <v>300000.15966386558</v>
      </c>
      <c r="V54" s="51">
        <f>'[1]ONK-064'!H20/1.19</f>
        <v>252100.84033613445</v>
      </c>
      <c r="W54" s="25">
        <v>300000</v>
      </c>
      <c r="X54" s="25">
        <f t="shared" si="28"/>
        <v>47899.159663865546</v>
      </c>
      <c r="AD54" s="25">
        <v>350000</v>
      </c>
      <c r="AF54" s="25">
        <f t="shared" si="20"/>
        <v>55882.352941176447</v>
      </c>
    </row>
    <row r="55" spans="1:32" ht="24.75" customHeight="1" thickBot="1" x14ac:dyDescent="0.35">
      <c r="A55" s="1">
        <v>8</v>
      </c>
      <c r="B55" s="267" t="s">
        <v>59</v>
      </c>
      <c r="C55" s="36">
        <v>1</v>
      </c>
      <c r="D55" s="37">
        <v>120000</v>
      </c>
      <c r="E55" s="2">
        <f t="shared" si="21"/>
        <v>142800</v>
      </c>
      <c r="F55" s="3">
        <f t="shared" si="22"/>
        <v>142800</v>
      </c>
      <c r="G55" s="26">
        <f t="shared" si="19"/>
        <v>210084.03361344538</v>
      </c>
      <c r="H55" s="241">
        <f t="shared" si="23"/>
        <v>250000</v>
      </c>
      <c r="I55" s="16">
        <f t="shared" si="24"/>
        <v>250000</v>
      </c>
      <c r="J55" s="65">
        <v>109244</v>
      </c>
      <c r="K55" s="64">
        <f t="shared" si="25"/>
        <v>130000.3025210084</v>
      </c>
      <c r="L55" s="65">
        <f t="shared" si="26"/>
        <v>130000.3025210084</v>
      </c>
      <c r="M55" s="17">
        <f t="shared" si="27"/>
        <v>130000.3025210084</v>
      </c>
      <c r="V55" s="51">
        <f>'[1]ONK-064'!H22/1.19</f>
        <v>109243.6974789916</v>
      </c>
      <c r="W55" s="25">
        <v>130000</v>
      </c>
      <c r="X55" s="25">
        <f t="shared" si="28"/>
        <v>20756.302521008402</v>
      </c>
      <c r="AD55" s="25">
        <v>250000</v>
      </c>
      <c r="AF55" s="25">
        <f t="shared" si="20"/>
        <v>39915.966386554617</v>
      </c>
    </row>
    <row r="56" spans="1:32" ht="24.75" customHeight="1" thickBot="1" x14ac:dyDescent="0.35">
      <c r="A56" s="1">
        <v>9</v>
      </c>
      <c r="B56" s="267" t="s">
        <v>60</v>
      </c>
      <c r="C56" s="36">
        <v>1</v>
      </c>
      <c r="D56" s="37">
        <v>90000</v>
      </c>
      <c r="E56" s="2">
        <f t="shared" si="21"/>
        <v>107100</v>
      </c>
      <c r="F56" s="3">
        <f t="shared" si="22"/>
        <v>107100</v>
      </c>
      <c r="G56" s="26">
        <f t="shared" si="19"/>
        <v>100840.33613445378</v>
      </c>
      <c r="H56" s="241">
        <f t="shared" si="23"/>
        <v>120000</v>
      </c>
      <c r="I56" s="16">
        <f t="shared" si="24"/>
        <v>120000</v>
      </c>
      <c r="J56" s="65">
        <v>84034</v>
      </c>
      <c r="K56" s="64">
        <f t="shared" si="25"/>
        <v>100000.38655462184</v>
      </c>
      <c r="L56" s="65">
        <f t="shared" si="26"/>
        <v>100000.38655462184</v>
      </c>
      <c r="M56" s="17">
        <f t="shared" si="27"/>
        <v>100000.38655462184</v>
      </c>
      <c r="V56" s="51">
        <f>'[1]ONK-064'!H21/1.19</f>
        <v>84033.613445378156</v>
      </c>
      <c r="W56" s="25">
        <v>100000</v>
      </c>
      <c r="X56" s="25">
        <f t="shared" si="28"/>
        <v>15966.386554621844</v>
      </c>
      <c r="AD56" s="25">
        <v>120000</v>
      </c>
      <c r="AF56" s="25">
        <f t="shared" si="20"/>
        <v>19159.663865546216</v>
      </c>
    </row>
    <row r="57" spans="1:32" ht="24.75" customHeight="1" thickBot="1" x14ac:dyDescent="0.35">
      <c r="A57" s="1">
        <v>10</v>
      </c>
      <c r="B57" s="267" t="s">
        <v>45</v>
      </c>
      <c r="C57" s="36">
        <v>3</v>
      </c>
      <c r="D57" s="37">
        <v>50000</v>
      </c>
      <c r="E57" s="2">
        <f t="shared" si="21"/>
        <v>59500</v>
      </c>
      <c r="F57" s="3">
        <f t="shared" si="22"/>
        <v>178500</v>
      </c>
      <c r="G57" s="26">
        <f t="shared" si="19"/>
        <v>114285.71428571429</v>
      </c>
      <c r="H57" s="241">
        <f t="shared" si="23"/>
        <v>136000</v>
      </c>
      <c r="I57" s="16">
        <f t="shared" si="24"/>
        <v>408000</v>
      </c>
      <c r="J57" s="65">
        <v>46218</v>
      </c>
      <c r="K57" s="64">
        <f t="shared" si="25"/>
        <v>54999.512605042015</v>
      </c>
      <c r="L57" s="65">
        <f t="shared" si="26"/>
        <v>164998.53781512604</v>
      </c>
      <c r="M57" s="17">
        <f t="shared" si="27"/>
        <v>494995.61344537814</v>
      </c>
      <c r="V57" s="50">
        <f>'[1]ONK-064'!H29/1.19</f>
        <v>46218.487394957985</v>
      </c>
      <c r="W57" s="25">
        <v>55000</v>
      </c>
      <c r="X57" s="25">
        <f t="shared" si="28"/>
        <v>8781.5126050420149</v>
      </c>
      <c r="AD57" s="25">
        <v>136000</v>
      </c>
      <c r="AF57" s="25">
        <f t="shared" si="20"/>
        <v>21714.28571428571</v>
      </c>
    </row>
    <row r="58" spans="1:32" ht="24.75" customHeight="1" thickBot="1" x14ac:dyDescent="0.35">
      <c r="A58" s="1">
        <v>11</v>
      </c>
      <c r="B58" s="271" t="s">
        <v>61</v>
      </c>
      <c r="C58" s="36">
        <v>1</v>
      </c>
      <c r="D58" s="37">
        <v>100000</v>
      </c>
      <c r="E58" s="2">
        <f t="shared" si="21"/>
        <v>119000</v>
      </c>
      <c r="F58" s="3">
        <f t="shared" si="22"/>
        <v>119000</v>
      </c>
      <c r="G58" s="26">
        <f t="shared" si="19"/>
        <v>100840.33613445378</v>
      </c>
      <c r="H58" s="241">
        <f t="shared" si="23"/>
        <v>120000</v>
      </c>
      <c r="I58" s="16">
        <f t="shared" si="24"/>
        <v>120000</v>
      </c>
      <c r="J58" s="65">
        <v>50420</v>
      </c>
      <c r="K58" s="64">
        <f t="shared" si="25"/>
        <v>59999.831932773108</v>
      </c>
      <c r="L58" s="65">
        <f t="shared" si="26"/>
        <v>59999.831932773108</v>
      </c>
      <c r="M58" s="17">
        <f t="shared" si="27"/>
        <v>59999.831932773108</v>
      </c>
      <c r="V58" s="51">
        <f>'[1]ONK-064'!H12/1.19</f>
        <v>50420.168067226892</v>
      </c>
      <c r="W58" s="25">
        <v>60000</v>
      </c>
      <c r="X58" s="25">
        <f t="shared" si="28"/>
        <v>9579.8319327731078</v>
      </c>
      <c r="AD58" s="25">
        <v>120000</v>
      </c>
      <c r="AF58" s="25">
        <f t="shared" si="20"/>
        <v>19159.663865546216</v>
      </c>
    </row>
    <row r="59" spans="1:32" ht="24.75" customHeight="1" thickBot="1" x14ac:dyDescent="0.35">
      <c r="A59" s="1">
        <v>12</v>
      </c>
      <c r="B59" s="271" t="s">
        <v>5</v>
      </c>
      <c r="C59" s="36">
        <v>2</v>
      </c>
      <c r="D59" s="37">
        <v>160000</v>
      </c>
      <c r="E59" s="2">
        <f t="shared" si="21"/>
        <v>190400</v>
      </c>
      <c r="F59" s="3">
        <f t="shared" si="22"/>
        <v>380800</v>
      </c>
      <c r="G59" s="26">
        <f t="shared" si="19"/>
        <v>134453.78151260506</v>
      </c>
      <c r="H59" s="241">
        <f t="shared" si="23"/>
        <v>160000</v>
      </c>
      <c r="I59" s="16">
        <f t="shared" si="24"/>
        <v>320000</v>
      </c>
      <c r="J59" s="65">
        <v>151261</v>
      </c>
      <c r="K59" s="64">
        <f t="shared" si="25"/>
        <v>180000.49579831932</v>
      </c>
      <c r="L59" s="65">
        <f>K59*C59</f>
        <v>360000.99159663863</v>
      </c>
      <c r="M59" s="17">
        <f t="shared" si="27"/>
        <v>720001.98319327726</v>
      </c>
      <c r="V59" s="51">
        <f>'[1]ONK-064'!H14/1.19</f>
        <v>151260.50420168068</v>
      </c>
      <c r="W59" s="25">
        <v>180000</v>
      </c>
      <c r="X59" s="25">
        <f t="shared" si="28"/>
        <v>28739.495798319316</v>
      </c>
      <c r="AD59" s="25">
        <v>160000</v>
      </c>
      <c r="AF59" s="25">
        <f t="shared" si="20"/>
        <v>25546.218487394945</v>
      </c>
    </row>
    <row r="60" spans="1:32" ht="24.75" customHeight="1" thickBot="1" x14ac:dyDescent="0.35">
      <c r="A60" s="1">
        <v>13</v>
      </c>
      <c r="B60" s="271" t="s">
        <v>46</v>
      </c>
      <c r="C60" s="36">
        <v>4</v>
      </c>
      <c r="D60" s="37">
        <v>15000</v>
      </c>
      <c r="E60" s="2">
        <f t="shared" si="21"/>
        <v>17850</v>
      </c>
      <c r="F60" s="3">
        <f t="shared" si="22"/>
        <v>71400</v>
      </c>
      <c r="G60" s="26">
        <f t="shared" si="19"/>
        <v>7563.0252100840344</v>
      </c>
      <c r="H60" s="241">
        <f t="shared" si="23"/>
        <v>9000</v>
      </c>
      <c r="I60" s="16">
        <f t="shared" si="24"/>
        <v>36000</v>
      </c>
      <c r="J60" s="65">
        <v>12605</v>
      </c>
      <c r="K60" s="64">
        <f t="shared" si="25"/>
        <v>14999.957983193277</v>
      </c>
      <c r="L60" s="65">
        <f t="shared" si="26"/>
        <v>59999.831932773108</v>
      </c>
      <c r="M60" s="17">
        <f t="shared" si="27"/>
        <v>239999.32773109243</v>
      </c>
      <c r="V60" s="50">
        <f>'[1]ONK-064'!H30/1.19</f>
        <v>12605.042016806723</v>
      </c>
      <c r="W60" s="25">
        <v>15000</v>
      </c>
      <c r="X60" s="25">
        <f t="shared" si="28"/>
        <v>2394.957983193277</v>
      </c>
      <c r="AD60" s="25">
        <v>9000</v>
      </c>
      <c r="AF60" s="25">
        <f t="shared" si="20"/>
        <v>1436.9747899159656</v>
      </c>
    </row>
    <row r="61" spans="1:32" ht="24.75" customHeight="1" thickBot="1" x14ac:dyDescent="0.35">
      <c r="A61" s="1">
        <v>14</v>
      </c>
      <c r="B61" s="271" t="s">
        <v>47</v>
      </c>
      <c r="C61" s="36">
        <v>2</v>
      </c>
      <c r="D61" s="37">
        <v>70000</v>
      </c>
      <c r="E61" s="2">
        <f t="shared" si="21"/>
        <v>83300</v>
      </c>
      <c r="F61" s="3">
        <f t="shared" si="22"/>
        <v>166600</v>
      </c>
      <c r="G61" s="26">
        <f t="shared" si="19"/>
        <v>168067.22689075631</v>
      </c>
      <c r="H61" s="241">
        <f t="shared" si="23"/>
        <v>200000</v>
      </c>
      <c r="I61" s="16">
        <f t="shared" si="24"/>
        <v>400000</v>
      </c>
      <c r="J61" s="65">
        <v>54622</v>
      </c>
      <c r="K61" s="64">
        <f t="shared" si="25"/>
        <v>65000.151260504201</v>
      </c>
      <c r="L61" s="65">
        <f t="shared" si="26"/>
        <v>130000.3025210084</v>
      </c>
      <c r="M61" s="17">
        <f t="shared" si="27"/>
        <v>260000.6050420168</v>
      </c>
      <c r="V61" s="50">
        <f>'[1]ONK-064'!H31/1.19</f>
        <v>54621.848739495799</v>
      </c>
      <c r="W61" s="25">
        <v>65000</v>
      </c>
      <c r="X61" s="25">
        <f t="shared" si="28"/>
        <v>10378.151260504201</v>
      </c>
      <c r="AD61" s="25">
        <v>200000</v>
      </c>
      <c r="AF61" s="25">
        <f t="shared" si="20"/>
        <v>31932.773109243688</v>
      </c>
    </row>
    <row r="62" spans="1:32" ht="24.75" customHeight="1" thickBot="1" x14ac:dyDescent="0.35">
      <c r="A62" s="1">
        <v>15</v>
      </c>
      <c r="B62" s="271" t="s">
        <v>48</v>
      </c>
      <c r="C62" s="36">
        <v>1</v>
      </c>
      <c r="D62" s="37">
        <v>30000</v>
      </c>
      <c r="E62" s="2">
        <f t="shared" si="21"/>
        <v>35700</v>
      </c>
      <c r="F62" s="3">
        <f t="shared" si="22"/>
        <v>35700</v>
      </c>
      <c r="G62" s="26">
        <f t="shared" si="19"/>
        <v>50420.168067226892</v>
      </c>
      <c r="H62" s="241">
        <f t="shared" si="23"/>
        <v>60000</v>
      </c>
      <c r="I62" s="16">
        <f t="shared" si="24"/>
        <v>60000</v>
      </c>
      <c r="J62" s="65">
        <v>25210</v>
      </c>
      <c r="K62" s="64">
        <f>J62+AA62</f>
        <v>29999.915966386554</v>
      </c>
      <c r="L62" s="65">
        <f t="shared" si="26"/>
        <v>29999.915966386554</v>
      </c>
      <c r="M62" s="17">
        <f t="shared" si="27"/>
        <v>29999.915966386554</v>
      </c>
      <c r="Y62" s="50">
        <f>'[1]ONK-064'!H32/1.19</f>
        <v>25210.084033613446</v>
      </c>
      <c r="Z62" s="25">
        <v>30000</v>
      </c>
      <c r="AA62" s="25">
        <f>Z62-Y62</f>
        <v>4789.9159663865539</v>
      </c>
      <c r="AD62" s="25">
        <v>60000</v>
      </c>
      <c r="AF62" s="25">
        <f t="shared" si="20"/>
        <v>9579.8319327731078</v>
      </c>
    </row>
    <row r="63" spans="1:32" ht="24.75" customHeight="1" thickBot="1" x14ac:dyDescent="0.35">
      <c r="A63" s="1">
        <v>16</v>
      </c>
      <c r="B63" s="271" t="s">
        <v>62</v>
      </c>
      <c r="C63" s="36">
        <v>1</v>
      </c>
      <c r="D63" s="37">
        <v>30000</v>
      </c>
      <c r="E63" s="2">
        <f t="shared" si="21"/>
        <v>35700</v>
      </c>
      <c r="F63" s="3">
        <f t="shared" si="22"/>
        <v>35700</v>
      </c>
      <c r="G63" s="26">
        <f t="shared" si="19"/>
        <v>42016.806722689078</v>
      </c>
      <c r="H63" s="241">
        <f t="shared" si="23"/>
        <v>50000</v>
      </c>
      <c r="I63" s="16">
        <f t="shared" si="24"/>
        <v>50000</v>
      </c>
      <c r="J63" s="65">
        <v>33613</v>
      </c>
      <c r="K63" s="64">
        <f t="shared" ref="K63:K66" si="29">J63+AA63</f>
        <v>39999.554621848736</v>
      </c>
      <c r="L63" s="65">
        <f>K63*C63</f>
        <v>39999.554621848736</v>
      </c>
      <c r="M63" s="17">
        <f t="shared" si="27"/>
        <v>39999.554621848736</v>
      </c>
      <c r="Y63" s="51">
        <f>'[1]ONK-064'!H16/1.19</f>
        <v>33613.445378151264</v>
      </c>
      <c r="Z63" s="25">
        <v>40000</v>
      </c>
      <c r="AA63" s="25">
        <f t="shared" ref="AA63:AA76" si="30">Z63-Y63</f>
        <v>6386.5546218487361</v>
      </c>
      <c r="AD63" s="25">
        <v>50000</v>
      </c>
      <c r="AF63" s="25">
        <f t="shared" si="20"/>
        <v>7983.193277310922</v>
      </c>
    </row>
    <row r="64" spans="1:32" ht="24.75" customHeight="1" thickBot="1" x14ac:dyDescent="0.35">
      <c r="A64" s="1">
        <v>17</v>
      </c>
      <c r="B64" s="271" t="s">
        <v>63</v>
      </c>
      <c r="C64" s="36">
        <v>1</v>
      </c>
      <c r="D64" s="37">
        <v>150000</v>
      </c>
      <c r="E64" s="2">
        <f t="shared" si="21"/>
        <v>178500</v>
      </c>
      <c r="F64" s="3">
        <f t="shared" si="22"/>
        <v>178500</v>
      </c>
      <c r="G64" s="26">
        <f t="shared" si="19"/>
        <v>159663.8655462185</v>
      </c>
      <c r="H64" s="241">
        <f t="shared" si="23"/>
        <v>190000</v>
      </c>
      <c r="I64" s="16">
        <f t="shared" si="24"/>
        <v>190000</v>
      </c>
      <c r="J64" s="65">
        <v>134454</v>
      </c>
      <c r="K64" s="64">
        <f t="shared" si="29"/>
        <v>160000.21848739494</v>
      </c>
      <c r="L64" s="65">
        <f t="shared" ref="L64:L75" si="31">K64*C64</f>
        <v>160000.21848739494</v>
      </c>
      <c r="M64" s="17">
        <f t="shared" si="27"/>
        <v>160000.21848739494</v>
      </c>
      <c r="Y64" s="51">
        <f>'[1]ONK-064'!H18/1.19</f>
        <v>134453.78151260506</v>
      </c>
      <c r="Z64" s="25">
        <v>160000</v>
      </c>
      <c r="AA64" s="25">
        <f t="shared" si="30"/>
        <v>25546.218487394945</v>
      </c>
      <c r="AD64" s="25">
        <v>190000</v>
      </c>
      <c r="AF64" s="25">
        <f t="shared" si="20"/>
        <v>30336.134453781502</v>
      </c>
    </row>
    <row r="65" spans="1:32" ht="24.75" customHeight="1" thickBot="1" x14ac:dyDescent="0.35">
      <c r="A65" s="1">
        <v>18</v>
      </c>
      <c r="B65" s="272" t="s">
        <v>64</v>
      </c>
      <c r="C65" s="38">
        <v>2</v>
      </c>
      <c r="D65" s="37">
        <v>35000</v>
      </c>
      <c r="E65" s="2">
        <f t="shared" si="21"/>
        <v>41650</v>
      </c>
      <c r="F65" s="3">
        <f t="shared" si="22"/>
        <v>83300</v>
      </c>
      <c r="G65" s="26">
        <f t="shared" si="19"/>
        <v>12605.042016806723</v>
      </c>
      <c r="H65" s="241">
        <f t="shared" si="23"/>
        <v>15000</v>
      </c>
      <c r="I65" s="16">
        <f t="shared" si="24"/>
        <v>30000</v>
      </c>
      <c r="J65" s="69">
        <v>33613</v>
      </c>
      <c r="K65" s="64">
        <f t="shared" si="29"/>
        <v>39999.554621848736</v>
      </c>
      <c r="L65" s="65">
        <f t="shared" si="31"/>
        <v>79999.109243697472</v>
      </c>
      <c r="M65" s="17">
        <f t="shared" si="27"/>
        <v>159998.21848739494</v>
      </c>
      <c r="Y65" s="50">
        <f>'[1]ONK-064'!H33/1.19</f>
        <v>33613.445378151264</v>
      </c>
      <c r="Z65" s="25">
        <v>40000</v>
      </c>
      <c r="AA65" s="25">
        <f t="shared" si="30"/>
        <v>6386.5546218487361</v>
      </c>
      <c r="AD65" s="25">
        <v>15000</v>
      </c>
      <c r="AF65" s="25">
        <f t="shared" si="20"/>
        <v>2394.957983193277</v>
      </c>
    </row>
    <row r="66" spans="1:32" ht="24.75" customHeight="1" x14ac:dyDescent="0.3">
      <c r="A66" s="13">
        <v>19</v>
      </c>
      <c r="B66" s="267" t="s">
        <v>65</v>
      </c>
      <c r="C66" s="39">
        <v>1</v>
      </c>
      <c r="D66" s="37">
        <v>120000</v>
      </c>
      <c r="E66" s="2">
        <f t="shared" si="21"/>
        <v>142800</v>
      </c>
      <c r="F66" s="3">
        <f t="shared" si="22"/>
        <v>142800</v>
      </c>
      <c r="G66" s="26">
        <f t="shared" si="19"/>
        <v>142857.14285714287</v>
      </c>
      <c r="H66" s="241">
        <f t="shared" si="23"/>
        <v>170000</v>
      </c>
      <c r="I66" s="16">
        <f t="shared" si="24"/>
        <v>170000</v>
      </c>
      <c r="J66" s="57">
        <v>109244</v>
      </c>
      <c r="K66" s="64">
        <f t="shared" si="29"/>
        <v>130000.3025210084</v>
      </c>
      <c r="L66" s="65">
        <f t="shared" si="31"/>
        <v>130000.3025210084</v>
      </c>
      <c r="M66" s="17">
        <f t="shared" si="27"/>
        <v>130000.3025210084</v>
      </c>
      <c r="Y66" s="51">
        <f>'[1]ONK-064'!H19/1.19</f>
        <v>109243.6974789916</v>
      </c>
      <c r="Z66" s="25">
        <v>130000</v>
      </c>
      <c r="AA66" s="25">
        <f t="shared" si="30"/>
        <v>20756.302521008402</v>
      </c>
      <c r="AD66" s="25">
        <v>170000</v>
      </c>
      <c r="AF66" s="25">
        <f t="shared" si="20"/>
        <v>27142.85714285713</v>
      </c>
    </row>
    <row r="67" spans="1:32" ht="24.75" customHeight="1" x14ac:dyDescent="0.3">
      <c r="A67" s="13">
        <v>20</v>
      </c>
      <c r="B67" s="267" t="s">
        <v>49</v>
      </c>
      <c r="C67" s="31">
        <v>3</v>
      </c>
      <c r="D67" s="37">
        <v>30000</v>
      </c>
      <c r="E67" s="8">
        <v>0</v>
      </c>
      <c r="F67" s="3">
        <f>D67*C67</f>
        <v>90000</v>
      </c>
      <c r="G67" s="26">
        <f t="shared" si="19"/>
        <v>25210.084033613446</v>
      </c>
      <c r="H67" s="241">
        <f t="shared" si="23"/>
        <v>30000</v>
      </c>
      <c r="I67" s="16">
        <f t="shared" si="24"/>
        <v>90000</v>
      </c>
      <c r="J67" s="68">
        <v>30000</v>
      </c>
      <c r="K67" s="68">
        <v>30000</v>
      </c>
      <c r="L67" s="65">
        <f t="shared" si="31"/>
        <v>90000</v>
      </c>
      <c r="M67" s="17">
        <f t="shared" si="27"/>
        <v>270000</v>
      </c>
      <c r="Z67" s="25"/>
      <c r="AA67" s="25">
        <f t="shared" si="30"/>
        <v>0</v>
      </c>
      <c r="AD67" s="25">
        <v>30000</v>
      </c>
      <c r="AF67" s="25">
        <f t="shared" si="20"/>
        <v>4789.9159663865539</v>
      </c>
    </row>
    <row r="68" spans="1:32" ht="24.75" customHeight="1" x14ac:dyDescent="0.3">
      <c r="A68" s="18">
        <v>21</v>
      </c>
      <c r="B68" s="267" t="s">
        <v>50</v>
      </c>
      <c r="C68" s="31">
        <v>18</v>
      </c>
      <c r="D68" s="37">
        <v>30000</v>
      </c>
      <c r="E68" s="8">
        <v>0</v>
      </c>
      <c r="F68" s="3">
        <f>D68*C68</f>
        <v>540000</v>
      </c>
      <c r="G68" s="26">
        <f t="shared" si="19"/>
        <v>21008.403361344539</v>
      </c>
      <c r="H68" s="241">
        <f t="shared" si="23"/>
        <v>25000</v>
      </c>
      <c r="I68" s="16">
        <f t="shared" si="24"/>
        <v>450000</v>
      </c>
      <c r="J68" s="68">
        <v>30000</v>
      </c>
      <c r="K68" s="68">
        <v>30000</v>
      </c>
      <c r="L68" s="65">
        <f t="shared" si="31"/>
        <v>540000</v>
      </c>
      <c r="M68" s="17">
        <f t="shared" si="27"/>
        <v>9720000</v>
      </c>
      <c r="Z68" s="25"/>
      <c r="AA68" s="25">
        <f t="shared" si="30"/>
        <v>0</v>
      </c>
      <c r="AD68" s="25">
        <v>25000</v>
      </c>
      <c r="AF68" s="25">
        <f t="shared" si="20"/>
        <v>3991.596638655461</v>
      </c>
    </row>
    <row r="69" spans="1:32" ht="24.75" customHeight="1" x14ac:dyDescent="0.3">
      <c r="A69" s="18">
        <v>22</v>
      </c>
      <c r="B69" s="267" t="s">
        <v>51</v>
      </c>
      <c r="C69" s="31">
        <v>3</v>
      </c>
      <c r="D69" s="37">
        <v>15000</v>
      </c>
      <c r="E69" s="2">
        <f t="shared" si="21"/>
        <v>17850</v>
      </c>
      <c r="F69" s="3">
        <f t="shared" si="22"/>
        <v>53550</v>
      </c>
      <c r="G69" s="26">
        <f t="shared" si="19"/>
        <v>12605.042016806723</v>
      </c>
      <c r="H69" s="241">
        <f t="shared" si="23"/>
        <v>15000</v>
      </c>
      <c r="I69" s="16">
        <f t="shared" si="24"/>
        <v>45000</v>
      </c>
      <c r="J69" s="57">
        <v>14286</v>
      </c>
      <c r="K69" s="57">
        <f>J69+AA69</f>
        <v>17000.285714285714</v>
      </c>
      <c r="L69" s="65">
        <v>51000</v>
      </c>
      <c r="M69" s="17">
        <f t="shared" si="27"/>
        <v>153000</v>
      </c>
      <c r="Y69" s="50">
        <f>'[1]ONK-064'!H36/1.19</f>
        <v>14285.714285714286</v>
      </c>
      <c r="Z69" s="25">
        <v>17000</v>
      </c>
      <c r="AA69" s="25">
        <f t="shared" si="30"/>
        <v>2714.2857142857138</v>
      </c>
      <c r="AD69" s="25">
        <v>15000</v>
      </c>
      <c r="AF69" s="25">
        <f t="shared" si="20"/>
        <v>2394.957983193277</v>
      </c>
    </row>
    <row r="70" spans="1:32" ht="24.75" customHeight="1" x14ac:dyDescent="0.3">
      <c r="A70" s="18">
        <v>23</v>
      </c>
      <c r="B70" s="267" t="s">
        <v>66</v>
      </c>
      <c r="C70" s="31">
        <v>3</v>
      </c>
      <c r="D70" s="37">
        <v>25000</v>
      </c>
      <c r="E70" s="2">
        <f t="shared" si="21"/>
        <v>29750</v>
      </c>
      <c r="F70" s="3">
        <f t="shared" si="22"/>
        <v>89250</v>
      </c>
      <c r="G70" s="26">
        <f t="shared" si="19"/>
        <v>29411.764705882353</v>
      </c>
      <c r="H70" s="241">
        <f t="shared" si="23"/>
        <v>35000</v>
      </c>
      <c r="I70" s="16">
        <f t="shared" si="24"/>
        <v>105000</v>
      </c>
      <c r="J70" s="57">
        <v>22689</v>
      </c>
      <c r="K70" s="57">
        <f t="shared" ref="K70:K76" si="32">J70+AA70</f>
        <v>26999.9243697479</v>
      </c>
      <c r="L70" s="65">
        <f t="shared" si="31"/>
        <v>80999.773109243702</v>
      </c>
      <c r="M70" s="17">
        <f t="shared" si="27"/>
        <v>242999.31932773109</v>
      </c>
      <c r="Y70" s="50">
        <f>'[1]ONK-064'!H37/1.19</f>
        <v>22689.0756302521</v>
      </c>
      <c r="Z70" s="25">
        <v>27000</v>
      </c>
      <c r="AA70" s="25">
        <f t="shared" si="30"/>
        <v>4310.9243697478996</v>
      </c>
      <c r="AD70" s="25">
        <v>35000</v>
      </c>
      <c r="AF70" s="25">
        <f t="shared" si="20"/>
        <v>5588.2352941176468</v>
      </c>
    </row>
    <row r="71" spans="1:32" ht="24.75" customHeight="1" x14ac:dyDescent="0.3">
      <c r="A71" s="18">
        <v>24</v>
      </c>
      <c r="B71" s="267" t="s">
        <v>52</v>
      </c>
      <c r="C71" s="31">
        <v>3</v>
      </c>
      <c r="D71" s="37">
        <v>20000</v>
      </c>
      <c r="E71" s="2">
        <f t="shared" si="21"/>
        <v>23800</v>
      </c>
      <c r="F71" s="3">
        <f t="shared" si="22"/>
        <v>71400</v>
      </c>
      <c r="G71" s="26">
        <f t="shared" si="19"/>
        <v>21008.403361344539</v>
      </c>
      <c r="H71" s="241">
        <f t="shared" si="23"/>
        <v>25000</v>
      </c>
      <c r="I71" s="16">
        <f t="shared" si="24"/>
        <v>75000</v>
      </c>
      <c r="J71" s="57">
        <v>21008</v>
      </c>
      <c r="K71" s="57">
        <f t="shared" si="32"/>
        <v>24999.596638655461</v>
      </c>
      <c r="L71" s="65">
        <v>75000</v>
      </c>
      <c r="M71" s="17">
        <f t="shared" si="27"/>
        <v>225000</v>
      </c>
      <c r="Y71" s="50">
        <f>'[1]ONK-064'!H38/1.19</f>
        <v>21008.403361344539</v>
      </c>
      <c r="Z71" s="25">
        <v>25000</v>
      </c>
      <c r="AA71" s="25">
        <f t="shared" si="30"/>
        <v>3991.596638655461</v>
      </c>
      <c r="AD71" s="25">
        <v>25000</v>
      </c>
      <c r="AF71" s="25">
        <f t="shared" si="20"/>
        <v>3991.596638655461</v>
      </c>
    </row>
    <row r="72" spans="1:32" ht="24.75" customHeight="1" x14ac:dyDescent="0.3">
      <c r="A72" s="18">
        <v>25</v>
      </c>
      <c r="B72" s="267" t="s">
        <v>16</v>
      </c>
      <c r="C72" s="31">
        <v>6</v>
      </c>
      <c r="D72" s="37">
        <v>30000</v>
      </c>
      <c r="E72" s="2">
        <f t="shared" si="21"/>
        <v>35700</v>
      </c>
      <c r="F72" s="3">
        <f t="shared" si="22"/>
        <v>214200</v>
      </c>
      <c r="G72" s="26">
        <f t="shared" si="19"/>
        <v>25210.084033613446</v>
      </c>
      <c r="H72" s="241">
        <f t="shared" si="23"/>
        <v>30000</v>
      </c>
      <c r="I72" s="16">
        <f t="shared" si="24"/>
        <v>180000</v>
      </c>
      <c r="J72" s="57">
        <v>30000</v>
      </c>
      <c r="K72" s="57">
        <f t="shared" si="32"/>
        <v>30000</v>
      </c>
      <c r="L72" s="65">
        <f t="shared" si="31"/>
        <v>180000</v>
      </c>
      <c r="M72" s="17">
        <f t="shared" si="27"/>
        <v>1080000</v>
      </c>
      <c r="Z72" s="25"/>
      <c r="AA72" s="25">
        <f t="shared" si="30"/>
        <v>0</v>
      </c>
      <c r="AD72" s="25">
        <v>30000</v>
      </c>
      <c r="AF72" s="25">
        <f t="shared" si="20"/>
        <v>4789.9159663865539</v>
      </c>
    </row>
    <row r="73" spans="1:32" ht="24.75" customHeight="1" x14ac:dyDescent="0.3">
      <c r="A73" s="18">
        <v>26</v>
      </c>
      <c r="B73" s="267" t="s">
        <v>17</v>
      </c>
      <c r="C73" s="31">
        <v>3</v>
      </c>
      <c r="D73" s="37">
        <v>10000</v>
      </c>
      <c r="E73" s="2">
        <f t="shared" si="21"/>
        <v>11900</v>
      </c>
      <c r="F73" s="3">
        <f t="shared" si="22"/>
        <v>35700</v>
      </c>
      <c r="G73" s="26">
        <f t="shared" si="19"/>
        <v>10084.033613445379</v>
      </c>
      <c r="H73" s="241">
        <f t="shared" si="23"/>
        <v>12000</v>
      </c>
      <c r="I73" s="16">
        <f t="shared" si="24"/>
        <v>36000</v>
      </c>
      <c r="J73" s="57">
        <v>8403</v>
      </c>
      <c r="K73" s="57">
        <f t="shared" si="32"/>
        <v>9999.638655462184</v>
      </c>
      <c r="L73" s="65">
        <v>30000</v>
      </c>
      <c r="M73" s="17">
        <f t="shared" si="27"/>
        <v>90000</v>
      </c>
      <c r="Y73" s="50">
        <f>'[1]ONK-064'!H40/1.19</f>
        <v>8403.361344537816</v>
      </c>
      <c r="Z73" s="25">
        <v>10000</v>
      </c>
      <c r="AA73" s="25">
        <f t="shared" si="30"/>
        <v>1596.638655462184</v>
      </c>
      <c r="AD73" s="25">
        <v>12000</v>
      </c>
      <c r="AF73" s="25">
        <f t="shared" si="20"/>
        <v>1915.9663865546208</v>
      </c>
    </row>
    <row r="74" spans="1:32" ht="24.75" customHeight="1" x14ac:dyDescent="0.3">
      <c r="A74" s="18">
        <v>27</v>
      </c>
      <c r="B74" s="267" t="s">
        <v>67</v>
      </c>
      <c r="C74" s="31">
        <v>3</v>
      </c>
      <c r="D74" s="37">
        <v>20000</v>
      </c>
      <c r="E74" s="2">
        <f t="shared" si="21"/>
        <v>23800</v>
      </c>
      <c r="F74" s="3">
        <f t="shared" si="22"/>
        <v>71400</v>
      </c>
      <c r="G74" s="26">
        <f t="shared" si="19"/>
        <v>2100.840336134454</v>
      </c>
      <c r="H74" s="241">
        <f t="shared" si="23"/>
        <v>2500</v>
      </c>
      <c r="I74" s="16">
        <f t="shared" si="24"/>
        <v>7500</v>
      </c>
      <c r="J74" s="57">
        <v>1681</v>
      </c>
      <c r="K74" s="57">
        <f t="shared" si="32"/>
        <v>2000.3277310924368</v>
      </c>
      <c r="L74" s="65">
        <v>6000</v>
      </c>
      <c r="M74" s="17">
        <f t="shared" si="27"/>
        <v>18000</v>
      </c>
      <c r="Y74" s="50">
        <f>'[1]ONK-064'!H41/1.19</f>
        <v>1680.6722689075632</v>
      </c>
      <c r="Z74" s="25">
        <v>2000</v>
      </c>
      <c r="AA74" s="25">
        <f t="shared" si="30"/>
        <v>319.32773109243681</v>
      </c>
      <c r="AD74" s="25">
        <v>2500</v>
      </c>
      <c r="AF74" s="25">
        <f t="shared" si="20"/>
        <v>399.15966386554601</v>
      </c>
    </row>
    <row r="75" spans="1:32" ht="24.75" customHeight="1" thickBot="1" x14ac:dyDescent="0.35">
      <c r="A75" s="18">
        <v>28</v>
      </c>
      <c r="B75" s="267" t="s">
        <v>53</v>
      </c>
      <c r="C75" s="31">
        <v>21</v>
      </c>
      <c r="D75" s="37">
        <v>28888</v>
      </c>
      <c r="E75" s="2"/>
      <c r="F75" s="3">
        <f>D75*C75</f>
        <v>606648</v>
      </c>
      <c r="G75" s="26">
        <f t="shared" si="19"/>
        <v>21008.403361344539</v>
      </c>
      <c r="H75" s="241">
        <f t="shared" si="23"/>
        <v>25000</v>
      </c>
      <c r="I75" s="16">
        <f t="shared" si="24"/>
        <v>525000</v>
      </c>
      <c r="J75" s="57">
        <v>30000</v>
      </c>
      <c r="K75" s="57">
        <f t="shared" si="32"/>
        <v>30000</v>
      </c>
      <c r="L75" s="65">
        <f t="shared" si="31"/>
        <v>630000</v>
      </c>
      <c r="M75" s="17">
        <f t="shared" si="27"/>
        <v>13230000</v>
      </c>
      <c r="Z75" s="25"/>
      <c r="AA75" s="25">
        <f t="shared" si="30"/>
        <v>0</v>
      </c>
      <c r="AD75" s="25">
        <v>25000</v>
      </c>
      <c r="AF75" s="25">
        <f t="shared" si="20"/>
        <v>3991.596638655461</v>
      </c>
    </row>
    <row r="76" spans="1:32" ht="24.75" customHeight="1" thickBot="1" x14ac:dyDescent="0.35">
      <c r="A76" s="18">
        <v>29</v>
      </c>
      <c r="B76" s="274" t="s">
        <v>20</v>
      </c>
      <c r="C76" s="178">
        <v>1</v>
      </c>
      <c r="D76" s="179">
        <v>15000</v>
      </c>
      <c r="E76" s="144">
        <f t="shared" si="21"/>
        <v>17850</v>
      </c>
      <c r="F76" s="145">
        <f t="shared" si="22"/>
        <v>17850</v>
      </c>
      <c r="G76" s="146">
        <f t="shared" si="19"/>
        <v>12605.042016806723</v>
      </c>
      <c r="H76" s="242">
        <f t="shared" si="23"/>
        <v>15000</v>
      </c>
      <c r="I76" s="162">
        <f t="shared" si="24"/>
        <v>15000</v>
      </c>
      <c r="J76" s="180">
        <v>16807</v>
      </c>
      <c r="K76" s="180">
        <f t="shared" si="32"/>
        <v>20000.277310924368</v>
      </c>
      <c r="L76" s="180">
        <f>K76*C76</f>
        <v>20000.277310924368</v>
      </c>
      <c r="M76" s="28">
        <v>20000</v>
      </c>
      <c r="Y76" s="51">
        <f>'[1]ONK-064'!H17/1.19</f>
        <v>16806.722689075632</v>
      </c>
      <c r="Z76" s="25">
        <v>20000</v>
      </c>
      <c r="AA76" s="25">
        <f t="shared" si="30"/>
        <v>3193.2773109243681</v>
      </c>
      <c r="AD76" s="25">
        <v>15000</v>
      </c>
      <c r="AF76" s="25">
        <f t="shared" si="20"/>
        <v>2394.957983193277</v>
      </c>
    </row>
    <row r="77" spans="1:32" ht="24.75" customHeight="1" thickBot="1" x14ac:dyDescent="0.35">
      <c r="A77" s="122"/>
      <c r="B77" s="275"/>
      <c r="C77" s="183"/>
      <c r="D77" s="184"/>
      <c r="E77" s="185" t="s">
        <v>25</v>
      </c>
      <c r="F77" s="186">
        <f>SUM(F49:F76)</f>
        <v>4729298</v>
      </c>
      <c r="G77" s="187"/>
      <c r="H77" s="185" t="s">
        <v>25</v>
      </c>
      <c r="I77" s="188">
        <f>SUM(I49:I76)</f>
        <v>4672500</v>
      </c>
      <c r="J77" s="181"/>
      <c r="K77" s="181" t="s">
        <v>25</v>
      </c>
      <c r="L77" s="182">
        <f>SUM(L49:L76)</f>
        <v>4288000.1428571437</v>
      </c>
      <c r="M77" s="177">
        <f>SUM(M49:M76)</f>
        <v>29293997.428571429</v>
      </c>
      <c r="AD77" s="25">
        <f>SUM(AD49:AD76)</f>
        <v>2469500</v>
      </c>
    </row>
    <row r="79" spans="1:32" ht="24.75" customHeight="1" thickBot="1" x14ac:dyDescent="0.35"/>
    <row r="80" spans="1:32" ht="24.75" customHeight="1" x14ac:dyDescent="0.3">
      <c r="A80" s="199"/>
      <c r="B80" s="318" t="s">
        <v>96</v>
      </c>
      <c r="C80" s="320" t="s">
        <v>1</v>
      </c>
      <c r="D80" s="306" t="s">
        <v>23</v>
      </c>
      <c r="E80" s="306"/>
      <c r="F80" s="322"/>
      <c r="G80" s="200" t="s">
        <v>91</v>
      </c>
      <c r="H80" s="248"/>
      <c r="I80" s="201"/>
      <c r="J80" s="202"/>
      <c r="K80" s="323" t="s">
        <v>27</v>
      </c>
      <c r="L80" s="324"/>
      <c r="M80" s="325"/>
    </row>
    <row r="81" spans="1:33" ht="24.75" customHeight="1" thickBot="1" x14ac:dyDescent="0.35">
      <c r="A81" s="203"/>
      <c r="B81" s="319"/>
      <c r="C81" s="321"/>
      <c r="D81" s="204" t="s">
        <v>2</v>
      </c>
      <c r="E81" s="205" t="s">
        <v>24</v>
      </c>
      <c r="F81" s="206" t="s">
        <v>4</v>
      </c>
      <c r="G81" s="207" t="s">
        <v>2</v>
      </c>
      <c r="H81" s="249" t="s">
        <v>3</v>
      </c>
      <c r="I81" s="208" t="s">
        <v>86</v>
      </c>
      <c r="J81" s="208" t="s">
        <v>2</v>
      </c>
      <c r="K81" s="208" t="s">
        <v>3</v>
      </c>
      <c r="L81" s="208" t="s">
        <v>86</v>
      </c>
      <c r="M81" s="209" t="s">
        <v>4</v>
      </c>
    </row>
    <row r="82" spans="1:33" ht="24.75" customHeight="1" x14ac:dyDescent="0.3">
      <c r="A82" s="81">
        <v>1</v>
      </c>
      <c r="B82" s="189" t="s">
        <v>5</v>
      </c>
      <c r="C82" s="190">
        <v>2</v>
      </c>
      <c r="D82" s="191">
        <v>160000</v>
      </c>
      <c r="E82" s="192">
        <f>D82+30400</f>
        <v>190400</v>
      </c>
      <c r="F82" s="192">
        <f>E82*C82</f>
        <v>380800</v>
      </c>
      <c r="G82" s="193">
        <v>160000</v>
      </c>
      <c r="H82" s="250">
        <f>G82+30400</f>
        <v>190400</v>
      </c>
      <c r="I82" s="194">
        <f>H82*C82</f>
        <v>380800</v>
      </c>
      <c r="J82" s="195">
        <v>160000</v>
      </c>
      <c r="K82" s="196">
        <f>J82+30400</f>
        <v>190400</v>
      </c>
      <c r="L82" s="197">
        <f>K82*C82</f>
        <v>380800</v>
      </c>
      <c r="M82" s="198"/>
    </row>
    <row r="83" spans="1:33" ht="24.75" customHeight="1" thickBot="1" x14ac:dyDescent="0.25">
      <c r="A83" s="1">
        <v>2</v>
      </c>
      <c r="B83" s="42" t="s">
        <v>68</v>
      </c>
      <c r="C83" s="40">
        <v>1</v>
      </c>
      <c r="D83" s="41">
        <v>90000</v>
      </c>
      <c r="E83" s="71">
        <f>D83*19%+D83</f>
        <v>107100</v>
      </c>
      <c r="F83" s="3">
        <f>E83*C83</f>
        <v>107100</v>
      </c>
      <c r="G83" s="26">
        <f t="shared" ref="G83:G99" si="33">AE83/1.19</f>
        <v>252100.84033613445</v>
      </c>
      <c r="H83" s="241">
        <f t="shared" ref="H83:H99" si="34">G83+AG83</f>
        <v>300000</v>
      </c>
      <c r="I83" s="56">
        <f>H83*C83</f>
        <v>300000</v>
      </c>
      <c r="J83" s="67">
        <f>'[1]SUZUKI VITARA'!H12/1.19</f>
        <v>84033.613445378156</v>
      </c>
      <c r="K83" s="227">
        <f>J83+AD83</f>
        <v>100000</v>
      </c>
      <c r="L83" s="63">
        <f>K83*C83</f>
        <v>100000</v>
      </c>
      <c r="M83" s="19">
        <f>L83*C83</f>
        <v>100000</v>
      </c>
      <c r="AC83" s="25">
        <v>100000</v>
      </c>
      <c r="AD83" s="25">
        <f t="shared" ref="AD83:AD90" si="35">AC83-J83</f>
        <v>15966.386554621844</v>
      </c>
      <c r="AE83" s="25">
        <v>300000</v>
      </c>
      <c r="AG83" s="141">
        <f t="shared" ref="AG83:AG99" si="36">AE83-G83</f>
        <v>47899.159663865546</v>
      </c>
    </row>
    <row r="84" spans="1:33" ht="24.75" customHeight="1" thickBot="1" x14ac:dyDescent="0.25">
      <c r="A84" s="1">
        <v>3</v>
      </c>
      <c r="B84" s="42" t="s">
        <v>54</v>
      </c>
      <c r="C84" s="40">
        <v>2</v>
      </c>
      <c r="D84" s="41">
        <v>70000</v>
      </c>
      <c r="E84" s="2">
        <f t="shared" ref="E84:E99" si="37">D84*19%+D84</f>
        <v>83300</v>
      </c>
      <c r="F84" s="3">
        <f t="shared" ref="F84:F99" si="38">E84*C84</f>
        <v>166600</v>
      </c>
      <c r="G84" s="26">
        <f t="shared" si="33"/>
        <v>71428.571428571435</v>
      </c>
      <c r="H84" s="241">
        <f t="shared" si="34"/>
        <v>85000</v>
      </c>
      <c r="I84" s="56">
        <f t="shared" ref="I84:I99" si="39">H84*C84</f>
        <v>170000</v>
      </c>
      <c r="J84" s="67">
        <f>'[1]SUZUKI VITARA'!H13/1.19</f>
        <v>58823.529411764706</v>
      </c>
      <c r="K84" s="227">
        <f t="shared" ref="K84:K90" si="40">J84+AD84</f>
        <v>70000</v>
      </c>
      <c r="L84" s="63">
        <f t="shared" ref="L84:L99" si="41">K84*C84</f>
        <v>140000</v>
      </c>
      <c r="M84" s="19">
        <f t="shared" ref="M84:M99" si="42">L84*C84</f>
        <v>280000</v>
      </c>
      <c r="AC84" s="25">
        <v>70000</v>
      </c>
      <c r="AD84" s="25">
        <f t="shared" si="35"/>
        <v>11176.470588235294</v>
      </c>
      <c r="AE84" s="25">
        <v>85000</v>
      </c>
      <c r="AG84" s="141">
        <f t="shared" si="36"/>
        <v>13571.428571428565</v>
      </c>
    </row>
    <row r="85" spans="1:33" ht="24.75" customHeight="1" thickBot="1" x14ac:dyDescent="0.25">
      <c r="A85" s="1">
        <v>4</v>
      </c>
      <c r="B85" s="42" t="s">
        <v>55</v>
      </c>
      <c r="C85" s="40">
        <v>1</v>
      </c>
      <c r="D85" s="41">
        <v>120000</v>
      </c>
      <c r="E85" s="2">
        <f t="shared" si="37"/>
        <v>142800</v>
      </c>
      <c r="F85" s="3">
        <f t="shared" si="38"/>
        <v>142800</v>
      </c>
      <c r="G85" s="26">
        <f t="shared" si="33"/>
        <v>100840.33613445378</v>
      </c>
      <c r="H85" s="241">
        <f t="shared" si="34"/>
        <v>120000</v>
      </c>
      <c r="I85" s="56">
        <f t="shared" si="39"/>
        <v>120000</v>
      </c>
      <c r="J85" s="67">
        <f>'[1]SUZUKI VITARA'!H14/1.19</f>
        <v>109243.6974789916</v>
      </c>
      <c r="K85" s="227">
        <f t="shared" si="40"/>
        <v>130000</v>
      </c>
      <c r="L85" s="63">
        <f t="shared" si="41"/>
        <v>130000</v>
      </c>
      <c r="M85" s="19">
        <f t="shared" si="42"/>
        <v>130000</v>
      </c>
      <c r="AC85" s="25">
        <v>130000</v>
      </c>
      <c r="AD85" s="25">
        <f t="shared" si="35"/>
        <v>20756.302521008402</v>
      </c>
      <c r="AE85" s="25">
        <v>120000</v>
      </c>
      <c r="AG85" s="141">
        <f t="shared" si="36"/>
        <v>19159.663865546216</v>
      </c>
    </row>
    <row r="86" spans="1:33" ht="24.75" customHeight="1" thickBot="1" x14ac:dyDescent="0.25">
      <c r="A86" s="1">
        <v>6</v>
      </c>
      <c r="B86" s="42" t="s">
        <v>69</v>
      </c>
      <c r="C86" s="40">
        <v>2</v>
      </c>
      <c r="D86" s="41">
        <v>180000</v>
      </c>
      <c r="E86" s="2">
        <f t="shared" si="37"/>
        <v>214200</v>
      </c>
      <c r="F86" s="3">
        <f t="shared" si="38"/>
        <v>428400</v>
      </c>
      <c r="G86" s="26">
        <f t="shared" si="33"/>
        <v>142857.14285714287</v>
      </c>
      <c r="H86" s="241">
        <f t="shared" si="34"/>
        <v>170000</v>
      </c>
      <c r="I86" s="56">
        <f t="shared" si="39"/>
        <v>340000</v>
      </c>
      <c r="J86" s="67">
        <f>'[1]SUZUKI VITARA'!H26/1.19</f>
        <v>1428571.4285714286</v>
      </c>
      <c r="K86" s="227">
        <f t="shared" si="40"/>
        <v>1700000</v>
      </c>
      <c r="L86" s="63">
        <f t="shared" si="41"/>
        <v>3400000</v>
      </c>
      <c r="M86" s="19">
        <f t="shared" si="42"/>
        <v>6800000</v>
      </c>
      <c r="AC86" s="25">
        <v>1700000</v>
      </c>
      <c r="AD86" s="25">
        <f t="shared" si="35"/>
        <v>271428.57142857136</v>
      </c>
      <c r="AE86" s="25">
        <v>170000</v>
      </c>
      <c r="AG86" s="141">
        <f t="shared" si="36"/>
        <v>27142.85714285713</v>
      </c>
    </row>
    <row r="87" spans="1:33" ht="24.75" customHeight="1" thickBot="1" x14ac:dyDescent="0.25">
      <c r="A87" s="1">
        <v>7</v>
      </c>
      <c r="B87" s="42" t="s">
        <v>44</v>
      </c>
      <c r="C87" s="40">
        <v>2</v>
      </c>
      <c r="D87" s="41">
        <v>80000</v>
      </c>
      <c r="E87" s="2">
        <f t="shared" si="37"/>
        <v>95200</v>
      </c>
      <c r="F87" s="3">
        <f t="shared" si="38"/>
        <v>190400</v>
      </c>
      <c r="G87" s="26">
        <f t="shared" si="33"/>
        <v>46218.487394957985</v>
      </c>
      <c r="H87" s="241">
        <f t="shared" si="34"/>
        <v>55000</v>
      </c>
      <c r="I87" s="56">
        <f t="shared" si="39"/>
        <v>110000</v>
      </c>
      <c r="J87" s="67">
        <f>'[1]SUZUKI VITARA'!H27/1.19</f>
        <v>75630.252100840342</v>
      </c>
      <c r="K87" s="227">
        <f t="shared" si="40"/>
        <v>90000</v>
      </c>
      <c r="L87" s="63">
        <f t="shared" si="41"/>
        <v>180000</v>
      </c>
      <c r="M87" s="19">
        <f t="shared" si="42"/>
        <v>360000</v>
      </c>
      <c r="AC87" s="25">
        <v>90000</v>
      </c>
      <c r="AD87" s="25">
        <f t="shared" si="35"/>
        <v>14369.747899159658</v>
      </c>
      <c r="AE87" s="25">
        <v>55000</v>
      </c>
      <c r="AG87" s="141">
        <f t="shared" si="36"/>
        <v>8781.5126050420149</v>
      </c>
    </row>
    <row r="88" spans="1:33" ht="24.75" customHeight="1" thickBot="1" x14ac:dyDescent="0.25">
      <c r="A88" s="1">
        <v>8</v>
      </c>
      <c r="B88" s="42" t="s">
        <v>70</v>
      </c>
      <c r="C88" s="40">
        <v>2</v>
      </c>
      <c r="D88" s="41">
        <v>60000</v>
      </c>
      <c r="E88" s="2">
        <f t="shared" si="37"/>
        <v>71400</v>
      </c>
      <c r="F88" s="3">
        <f t="shared" si="38"/>
        <v>142800</v>
      </c>
      <c r="G88" s="26">
        <f t="shared" si="33"/>
        <v>25210.084033613446</v>
      </c>
      <c r="H88" s="241">
        <f t="shared" si="34"/>
        <v>30000</v>
      </c>
      <c r="I88" s="56">
        <f t="shared" si="39"/>
        <v>60000</v>
      </c>
      <c r="J88" s="67">
        <f>'[1]SUZUKI VITARA'!H15/1.19</f>
        <v>58823.529411764706</v>
      </c>
      <c r="K88" s="227">
        <f t="shared" si="40"/>
        <v>70000</v>
      </c>
      <c r="L88" s="63">
        <f t="shared" si="41"/>
        <v>140000</v>
      </c>
      <c r="M88" s="19">
        <f t="shared" si="42"/>
        <v>280000</v>
      </c>
      <c r="AC88" s="25">
        <v>70000</v>
      </c>
      <c r="AD88" s="25">
        <f t="shared" si="35"/>
        <v>11176.470588235294</v>
      </c>
      <c r="AE88" s="25">
        <v>30000</v>
      </c>
      <c r="AG88" s="141">
        <f t="shared" si="36"/>
        <v>4789.9159663865539</v>
      </c>
    </row>
    <row r="89" spans="1:33" ht="24.75" customHeight="1" thickBot="1" x14ac:dyDescent="0.25">
      <c r="A89" s="1">
        <v>9</v>
      </c>
      <c r="B89" s="42" t="s">
        <v>64</v>
      </c>
      <c r="C89" s="40">
        <v>2</v>
      </c>
      <c r="D89" s="41">
        <v>40000</v>
      </c>
      <c r="E89" s="2">
        <f t="shared" si="37"/>
        <v>47600</v>
      </c>
      <c r="F89" s="3">
        <f t="shared" si="38"/>
        <v>95200</v>
      </c>
      <c r="G89" s="26">
        <f t="shared" si="33"/>
        <v>12605.042016806723</v>
      </c>
      <c r="H89" s="241">
        <f t="shared" si="34"/>
        <v>15000</v>
      </c>
      <c r="I89" s="56">
        <f t="shared" si="39"/>
        <v>30000</v>
      </c>
      <c r="J89" s="67">
        <f>'[1]SUZUKI VITARA'!H28/1.19</f>
        <v>33613.445378151264</v>
      </c>
      <c r="K89" s="227">
        <f t="shared" si="40"/>
        <v>40000</v>
      </c>
      <c r="L89" s="63">
        <f t="shared" si="41"/>
        <v>80000</v>
      </c>
      <c r="M89" s="19">
        <f t="shared" si="42"/>
        <v>160000</v>
      </c>
      <c r="AC89" s="25">
        <v>40000</v>
      </c>
      <c r="AD89" s="25">
        <f t="shared" si="35"/>
        <v>6386.5546218487361</v>
      </c>
      <c r="AE89" s="25">
        <v>15000</v>
      </c>
      <c r="AG89" s="141">
        <f t="shared" si="36"/>
        <v>2394.957983193277</v>
      </c>
    </row>
    <row r="90" spans="1:33" ht="24.75" customHeight="1" thickBot="1" x14ac:dyDescent="0.25">
      <c r="A90" s="1">
        <v>10</v>
      </c>
      <c r="B90" s="42" t="s">
        <v>34</v>
      </c>
      <c r="C90" s="40">
        <v>2</v>
      </c>
      <c r="D90" s="41">
        <v>30000</v>
      </c>
      <c r="E90" s="2">
        <f t="shared" si="37"/>
        <v>35700</v>
      </c>
      <c r="F90" s="3">
        <f t="shared" si="38"/>
        <v>71400</v>
      </c>
      <c r="G90" s="26">
        <f t="shared" si="33"/>
        <v>36974.789915966387</v>
      </c>
      <c r="H90" s="241">
        <f t="shared" si="34"/>
        <v>44000</v>
      </c>
      <c r="I90" s="56">
        <f t="shared" si="39"/>
        <v>88000</v>
      </c>
      <c r="J90" s="67">
        <f>'[1]SUZUKI VITARA'!H29/1.19</f>
        <v>25210.084033613446</v>
      </c>
      <c r="K90" s="227">
        <f t="shared" si="40"/>
        <v>30000</v>
      </c>
      <c r="L90" s="63">
        <f t="shared" si="41"/>
        <v>60000</v>
      </c>
      <c r="M90" s="19">
        <f t="shared" si="42"/>
        <v>120000</v>
      </c>
      <c r="AC90" s="25">
        <v>30000</v>
      </c>
      <c r="AD90" s="25">
        <f t="shared" si="35"/>
        <v>4789.9159663865539</v>
      </c>
      <c r="AE90" s="25">
        <v>44000</v>
      </c>
      <c r="AG90" s="141">
        <f t="shared" si="36"/>
        <v>7025.2100840336134</v>
      </c>
    </row>
    <row r="91" spans="1:33" ht="24.75" customHeight="1" thickBot="1" x14ac:dyDescent="0.25">
      <c r="A91" s="1">
        <v>11</v>
      </c>
      <c r="B91" s="42" t="s">
        <v>50</v>
      </c>
      <c r="C91" s="40">
        <v>18</v>
      </c>
      <c r="D91" s="41">
        <v>30000</v>
      </c>
      <c r="E91" s="8">
        <v>0</v>
      </c>
      <c r="F91" s="3">
        <f>D91*C91</f>
        <v>540000</v>
      </c>
      <c r="G91" s="26">
        <f t="shared" si="33"/>
        <v>21008.403361344539</v>
      </c>
      <c r="H91" s="241">
        <f t="shared" si="34"/>
        <v>25000</v>
      </c>
      <c r="I91" s="56">
        <f t="shared" si="39"/>
        <v>450000</v>
      </c>
      <c r="J91" s="67">
        <v>30000</v>
      </c>
      <c r="K91" s="227">
        <v>30000</v>
      </c>
      <c r="L91" s="63">
        <f t="shared" si="41"/>
        <v>540000</v>
      </c>
      <c r="M91" s="19">
        <f t="shared" si="42"/>
        <v>9720000</v>
      </c>
      <c r="AC91" s="25"/>
      <c r="AD91" s="25">
        <f t="shared" ref="AD91:AD98" si="43">AC91-AB91</f>
        <v>0</v>
      </c>
      <c r="AE91" s="25">
        <v>25000</v>
      </c>
      <c r="AG91" s="141">
        <f t="shared" si="36"/>
        <v>3991.596638655461</v>
      </c>
    </row>
    <row r="92" spans="1:33" ht="24.75" customHeight="1" thickBot="1" x14ac:dyDescent="0.25">
      <c r="A92" s="1">
        <v>12</v>
      </c>
      <c r="B92" s="42" t="s">
        <v>71</v>
      </c>
      <c r="C92" s="40">
        <v>3</v>
      </c>
      <c r="D92" s="41">
        <v>15000</v>
      </c>
      <c r="E92" s="2">
        <f t="shared" si="37"/>
        <v>17850</v>
      </c>
      <c r="F92" s="3">
        <f>E92*C92</f>
        <v>53550</v>
      </c>
      <c r="G92" s="26">
        <f t="shared" si="33"/>
        <v>12605.042016806723</v>
      </c>
      <c r="H92" s="241">
        <f t="shared" si="34"/>
        <v>15000</v>
      </c>
      <c r="I92" s="56">
        <f t="shared" si="39"/>
        <v>45000</v>
      </c>
      <c r="J92" s="67">
        <f>'[1]SUZUKI VITARA'!H32/1.19</f>
        <v>14285.714285714286</v>
      </c>
      <c r="K92" s="227">
        <f>J92+AD92</f>
        <v>17000</v>
      </c>
      <c r="L92" s="63">
        <f t="shared" si="41"/>
        <v>51000</v>
      </c>
      <c r="M92" s="19">
        <f t="shared" si="42"/>
        <v>153000</v>
      </c>
      <c r="AC92" s="25">
        <v>17000</v>
      </c>
      <c r="AD92" s="25">
        <f>AC92-J92</f>
        <v>2714.2857142857138</v>
      </c>
      <c r="AE92" s="25">
        <v>15000</v>
      </c>
      <c r="AG92" s="141">
        <f t="shared" si="36"/>
        <v>2394.957983193277</v>
      </c>
    </row>
    <row r="93" spans="1:33" ht="24.75" customHeight="1" thickBot="1" x14ac:dyDescent="0.25">
      <c r="A93" s="1">
        <v>13</v>
      </c>
      <c r="B93" s="42" t="s">
        <v>72</v>
      </c>
      <c r="C93" s="40">
        <v>3</v>
      </c>
      <c r="D93" s="41">
        <v>25000</v>
      </c>
      <c r="E93" s="2">
        <f t="shared" si="37"/>
        <v>29750</v>
      </c>
      <c r="F93" s="3">
        <f t="shared" si="38"/>
        <v>89250</v>
      </c>
      <c r="G93" s="26">
        <f t="shared" si="33"/>
        <v>29411.764705882353</v>
      </c>
      <c r="H93" s="241">
        <f t="shared" si="34"/>
        <v>35000</v>
      </c>
      <c r="I93" s="56">
        <f t="shared" si="39"/>
        <v>105000</v>
      </c>
      <c r="J93" s="67">
        <f>'[1]SUZUKI VITARA'!H33/1.19</f>
        <v>25210.084033613446</v>
      </c>
      <c r="K93" s="227">
        <f t="shared" ref="K93:K99" si="44">J93+AD93</f>
        <v>30000</v>
      </c>
      <c r="L93" s="63">
        <f t="shared" si="41"/>
        <v>90000</v>
      </c>
      <c r="M93" s="19">
        <f t="shared" si="42"/>
        <v>270000</v>
      </c>
      <c r="AC93" s="25">
        <v>30000</v>
      </c>
      <c r="AD93" s="25">
        <f>AC93-J93</f>
        <v>4789.9159663865539</v>
      </c>
      <c r="AE93" s="25">
        <v>35000</v>
      </c>
      <c r="AG93" s="141">
        <f t="shared" si="36"/>
        <v>5588.2352941176468</v>
      </c>
    </row>
    <row r="94" spans="1:33" ht="24.75" customHeight="1" thickBot="1" x14ac:dyDescent="0.25">
      <c r="A94" s="1">
        <v>14</v>
      </c>
      <c r="B94" s="42" t="s">
        <v>52</v>
      </c>
      <c r="C94" s="40">
        <v>3</v>
      </c>
      <c r="D94" s="41">
        <v>20000</v>
      </c>
      <c r="E94" s="2">
        <f t="shared" si="37"/>
        <v>23800</v>
      </c>
      <c r="F94" s="3">
        <f t="shared" si="38"/>
        <v>71400</v>
      </c>
      <c r="G94" s="26">
        <f t="shared" si="33"/>
        <v>21008.403361344539</v>
      </c>
      <c r="H94" s="241">
        <f t="shared" si="34"/>
        <v>25000</v>
      </c>
      <c r="I94" s="56">
        <f t="shared" si="39"/>
        <v>75000</v>
      </c>
      <c r="J94" s="67">
        <f>'[1]SUZUKI VITARA'!H34/1.19</f>
        <v>25210.084033613446</v>
      </c>
      <c r="K94" s="227">
        <f t="shared" si="44"/>
        <v>30000</v>
      </c>
      <c r="L94" s="63">
        <f t="shared" si="41"/>
        <v>90000</v>
      </c>
      <c r="M94" s="19">
        <f t="shared" si="42"/>
        <v>270000</v>
      </c>
      <c r="AC94" s="25">
        <v>30000</v>
      </c>
      <c r="AD94" s="25">
        <f>AC94-J94</f>
        <v>4789.9159663865539</v>
      </c>
      <c r="AE94" s="25">
        <v>25000</v>
      </c>
      <c r="AG94" s="141">
        <f t="shared" si="36"/>
        <v>3991.596638655461</v>
      </c>
    </row>
    <row r="95" spans="1:33" ht="24.75" customHeight="1" thickBot="1" x14ac:dyDescent="0.25">
      <c r="A95" s="1">
        <v>15</v>
      </c>
      <c r="B95" s="42" t="s">
        <v>73</v>
      </c>
      <c r="C95" s="40">
        <v>6</v>
      </c>
      <c r="D95" s="41">
        <v>30000</v>
      </c>
      <c r="E95" s="2">
        <f t="shared" si="37"/>
        <v>35700</v>
      </c>
      <c r="F95" s="3">
        <f t="shared" si="38"/>
        <v>214200</v>
      </c>
      <c r="G95" s="26">
        <f t="shared" si="33"/>
        <v>25210.084033613446</v>
      </c>
      <c r="H95" s="241">
        <f t="shared" si="34"/>
        <v>30000</v>
      </c>
      <c r="I95" s="56">
        <f t="shared" si="39"/>
        <v>180000</v>
      </c>
      <c r="J95" s="67">
        <v>30000</v>
      </c>
      <c r="K95" s="227">
        <f t="shared" si="44"/>
        <v>30000</v>
      </c>
      <c r="L95" s="63">
        <f t="shared" si="41"/>
        <v>180000</v>
      </c>
      <c r="M95" s="19">
        <f t="shared" si="42"/>
        <v>1080000</v>
      </c>
      <c r="AC95" s="25"/>
      <c r="AD95" s="25">
        <f t="shared" si="43"/>
        <v>0</v>
      </c>
      <c r="AE95" s="25">
        <v>30000</v>
      </c>
      <c r="AG95" s="141">
        <f t="shared" si="36"/>
        <v>4789.9159663865539</v>
      </c>
    </row>
    <row r="96" spans="1:33" ht="24.75" customHeight="1" thickBot="1" x14ac:dyDescent="0.25">
      <c r="A96" s="1">
        <v>16</v>
      </c>
      <c r="B96" s="42" t="s">
        <v>17</v>
      </c>
      <c r="C96" s="40">
        <v>3</v>
      </c>
      <c r="D96" s="41">
        <v>10000</v>
      </c>
      <c r="E96" s="2">
        <f t="shared" si="37"/>
        <v>11900</v>
      </c>
      <c r="F96" s="3">
        <f t="shared" si="38"/>
        <v>35700</v>
      </c>
      <c r="G96" s="26">
        <f t="shared" si="33"/>
        <v>10084.033613445379</v>
      </c>
      <c r="H96" s="241">
        <f t="shared" si="34"/>
        <v>12000</v>
      </c>
      <c r="I96" s="56">
        <f t="shared" si="39"/>
        <v>36000</v>
      </c>
      <c r="J96" s="67">
        <f>'[1]SUZUKI VITARA'!H36/1.19</f>
        <v>8403.361344537816</v>
      </c>
      <c r="K96" s="227">
        <f t="shared" si="44"/>
        <v>10000</v>
      </c>
      <c r="L96" s="63">
        <f t="shared" si="41"/>
        <v>30000</v>
      </c>
      <c r="M96" s="19">
        <f t="shared" si="42"/>
        <v>90000</v>
      </c>
      <c r="AC96" s="25">
        <v>10000</v>
      </c>
      <c r="AD96" s="25">
        <f>AC96-J96</f>
        <v>1596.638655462184</v>
      </c>
      <c r="AE96" s="25">
        <v>12000</v>
      </c>
      <c r="AG96" s="141">
        <f t="shared" si="36"/>
        <v>1915.9663865546208</v>
      </c>
    </row>
    <row r="97" spans="1:33" ht="24.75" customHeight="1" thickBot="1" x14ac:dyDescent="0.25">
      <c r="A97" s="1">
        <v>17</v>
      </c>
      <c r="B97" s="42" t="s">
        <v>40</v>
      </c>
      <c r="C97" s="40">
        <v>3</v>
      </c>
      <c r="D97" s="41">
        <v>2000</v>
      </c>
      <c r="E97" s="2">
        <f t="shared" si="37"/>
        <v>2380</v>
      </c>
      <c r="F97" s="3">
        <f t="shared" si="38"/>
        <v>7140</v>
      </c>
      <c r="G97" s="26">
        <f t="shared" si="33"/>
        <v>2100.840336134454</v>
      </c>
      <c r="H97" s="241">
        <f t="shared" si="34"/>
        <v>2500</v>
      </c>
      <c r="I97" s="56">
        <f t="shared" si="39"/>
        <v>7500</v>
      </c>
      <c r="J97" s="67">
        <f>'[1]SUZUKI VITARA'!H37/1.19</f>
        <v>1680.6722689075632</v>
      </c>
      <c r="K97" s="227">
        <f t="shared" si="44"/>
        <v>2000</v>
      </c>
      <c r="L97" s="63">
        <f t="shared" si="41"/>
        <v>6000</v>
      </c>
      <c r="M97" s="19">
        <f t="shared" si="42"/>
        <v>18000</v>
      </c>
      <c r="AC97" s="25">
        <v>2000</v>
      </c>
      <c r="AD97" s="25">
        <f>AC97-J97</f>
        <v>319.32773109243681</v>
      </c>
      <c r="AE97" s="25">
        <v>2500</v>
      </c>
      <c r="AG97" s="141">
        <f t="shared" si="36"/>
        <v>399.15966386554601</v>
      </c>
    </row>
    <row r="98" spans="1:33" ht="24.75" customHeight="1" thickBot="1" x14ac:dyDescent="0.25">
      <c r="A98" s="1">
        <v>18</v>
      </c>
      <c r="B98" s="42" t="s">
        <v>19</v>
      </c>
      <c r="C98" s="40">
        <v>21</v>
      </c>
      <c r="D98" s="41">
        <v>30000</v>
      </c>
      <c r="E98" s="8">
        <v>0</v>
      </c>
      <c r="F98" s="3">
        <f>D98*C98</f>
        <v>630000</v>
      </c>
      <c r="G98" s="26">
        <f t="shared" si="33"/>
        <v>21008.403361344539</v>
      </c>
      <c r="H98" s="241">
        <f t="shared" si="34"/>
        <v>25000</v>
      </c>
      <c r="I98" s="56">
        <f t="shared" si="39"/>
        <v>525000</v>
      </c>
      <c r="J98" s="67">
        <v>30000</v>
      </c>
      <c r="K98" s="227">
        <f t="shared" si="44"/>
        <v>30000</v>
      </c>
      <c r="L98" s="63">
        <f t="shared" si="41"/>
        <v>630000</v>
      </c>
      <c r="M98" s="19">
        <f t="shared" si="42"/>
        <v>13230000</v>
      </c>
      <c r="AC98" s="25"/>
      <c r="AD98" s="25">
        <f t="shared" si="43"/>
        <v>0</v>
      </c>
      <c r="AE98" s="25">
        <v>25000</v>
      </c>
      <c r="AG98" s="141">
        <f t="shared" si="36"/>
        <v>3991.596638655461</v>
      </c>
    </row>
    <row r="99" spans="1:33" ht="24.75" customHeight="1" thickBot="1" x14ac:dyDescent="0.25">
      <c r="A99" s="18">
        <v>19</v>
      </c>
      <c r="B99" s="42" t="s">
        <v>20</v>
      </c>
      <c r="C99" s="40">
        <v>3</v>
      </c>
      <c r="D99" s="43">
        <v>15000</v>
      </c>
      <c r="E99" s="20">
        <f t="shared" si="37"/>
        <v>17850</v>
      </c>
      <c r="F99" s="3">
        <f t="shared" si="38"/>
        <v>53550</v>
      </c>
      <c r="G99" s="26">
        <f t="shared" si="33"/>
        <v>12605.042016806723</v>
      </c>
      <c r="H99" s="241">
        <f t="shared" si="34"/>
        <v>15000</v>
      </c>
      <c r="I99" s="56">
        <f t="shared" si="39"/>
        <v>45000</v>
      </c>
      <c r="J99" s="67">
        <f>'[1]SUZUKI VITARA'!H16/1.19</f>
        <v>12605.042016806723</v>
      </c>
      <c r="K99" s="227">
        <f t="shared" si="44"/>
        <v>15000</v>
      </c>
      <c r="L99" s="63">
        <f t="shared" si="41"/>
        <v>45000</v>
      </c>
      <c r="M99" s="19">
        <f t="shared" si="42"/>
        <v>135000</v>
      </c>
      <c r="AC99" s="25">
        <v>15000</v>
      </c>
      <c r="AD99" s="25">
        <f>AC99-J99</f>
        <v>2394.957983193277</v>
      </c>
      <c r="AE99" s="25">
        <v>15000</v>
      </c>
      <c r="AG99" s="141">
        <f t="shared" si="36"/>
        <v>2394.957983193277</v>
      </c>
    </row>
    <row r="100" spans="1:33" ht="24.75" customHeight="1" x14ac:dyDescent="0.3">
      <c r="A100" s="102"/>
      <c r="B100" s="277"/>
      <c r="C100" s="103"/>
      <c r="D100" s="104"/>
      <c r="E100" s="106" t="s">
        <v>25</v>
      </c>
      <c r="F100" s="107">
        <f>SUM(F83:F99)</f>
        <v>3039490</v>
      </c>
      <c r="G100" s="108"/>
      <c r="H100" s="231" t="s">
        <v>25</v>
      </c>
      <c r="I100" s="109">
        <f>SUM(I83:I99)</f>
        <v>2686500</v>
      </c>
      <c r="J100" s="110"/>
      <c r="K100" s="106" t="s">
        <v>25</v>
      </c>
      <c r="L100" s="108">
        <f>SUM(L83:L99)</f>
        <v>5892000</v>
      </c>
      <c r="M100" s="29">
        <f>SUM(M83:M99)</f>
        <v>33196000</v>
      </c>
    </row>
    <row r="101" spans="1:33" ht="24.75" customHeight="1" x14ac:dyDescent="0.3">
      <c r="A101" s="13"/>
    </row>
    <row r="102" spans="1:33" ht="24.75" customHeight="1" thickBot="1" x14ac:dyDescent="0.35">
      <c r="A102" s="18"/>
    </row>
    <row r="103" spans="1:33" ht="24.75" customHeight="1" x14ac:dyDescent="0.3">
      <c r="A103" s="214"/>
      <c r="B103" s="301" t="s">
        <v>97</v>
      </c>
      <c r="C103" s="303" t="s">
        <v>1</v>
      </c>
      <c r="D103" s="305" t="s">
        <v>23</v>
      </c>
      <c r="E103" s="306"/>
      <c r="F103" s="307"/>
      <c r="G103" s="220" t="s">
        <v>26</v>
      </c>
      <c r="H103" s="251"/>
      <c r="I103" s="221"/>
      <c r="J103" s="223"/>
      <c r="K103" s="308" t="s">
        <v>27</v>
      </c>
      <c r="L103" s="309"/>
      <c r="M103" s="310"/>
    </row>
    <row r="104" spans="1:33" ht="24.75" customHeight="1" thickBot="1" x14ac:dyDescent="0.35">
      <c r="A104" s="215"/>
      <c r="B104" s="302"/>
      <c r="C104" s="304"/>
      <c r="D104" s="218" t="s">
        <v>2</v>
      </c>
      <c r="E104" s="205" t="s">
        <v>24</v>
      </c>
      <c r="F104" s="219" t="s">
        <v>4</v>
      </c>
      <c r="G104" s="222" t="s">
        <v>2</v>
      </c>
      <c r="H104" s="249" t="s">
        <v>3</v>
      </c>
      <c r="I104" s="209" t="s">
        <v>86</v>
      </c>
      <c r="J104" s="224" t="s">
        <v>2</v>
      </c>
      <c r="K104" s="216" t="s">
        <v>3</v>
      </c>
      <c r="L104" s="216" t="s">
        <v>4</v>
      </c>
      <c r="M104" s="217" t="s">
        <v>4</v>
      </c>
    </row>
    <row r="105" spans="1:33" ht="24.75" customHeight="1" x14ac:dyDescent="0.2">
      <c r="A105" s="81">
        <v>1</v>
      </c>
      <c r="B105" s="82" t="s">
        <v>74</v>
      </c>
      <c r="C105" s="83">
        <v>2</v>
      </c>
      <c r="D105" s="210">
        <v>50000</v>
      </c>
      <c r="E105" s="136">
        <f>D105*1.19</f>
        <v>59500</v>
      </c>
      <c r="F105" s="135">
        <f>E105*C105</f>
        <v>119000</v>
      </c>
      <c r="G105" s="86">
        <f t="shared" ref="G105:G124" si="45">AE105/1.19</f>
        <v>63025.210084033613</v>
      </c>
      <c r="H105" s="240">
        <f t="shared" ref="H105:H124" si="46">G105+AG105</f>
        <v>75000</v>
      </c>
      <c r="I105" s="211">
        <f>H105*C105</f>
        <v>150000</v>
      </c>
      <c r="J105" s="212">
        <f>[1]NISSAN!H12/1.19</f>
        <v>50420.168067226892</v>
      </c>
      <c r="K105" s="228">
        <f>J105+AC105</f>
        <v>60000</v>
      </c>
      <c r="L105" s="213">
        <f>K105*C105</f>
        <v>120000</v>
      </c>
      <c r="M105" s="89">
        <f>L105*C105</f>
        <v>240000</v>
      </c>
      <c r="AB105" s="25">
        <v>60000</v>
      </c>
      <c r="AC105" s="25">
        <f>AB105-J105</f>
        <v>9579.8319327731078</v>
      </c>
      <c r="AE105" s="25">
        <v>75000</v>
      </c>
      <c r="AG105" s="141">
        <f t="shared" ref="AG105:AG124" si="47">AE105-G105</f>
        <v>11974.789915966387</v>
      </c>
    </row>
    <row r="106" spans="1:33" ht="24.75" customHeight="1" x14ac:dyDescent="0.2">
      <c r="A106" s="1">
        <v>2</v>
      </c>
      <c r="B106" s="267" t="s">
        <v>54</v>
      </c>
      <c r="C106" s="31">
        <v>1</v>
      </c>
      <c r="D106" s="44">
        <v>70000</v>
      </c>
      <c r="E106" s="8">
        <f t="shared" ref="E106:E124" si="48">D106*1.19</f>
        <v>83300</v>
      </c>
      <c r="F106" s="14">
        <f t="shared" ref="F106:F124" si="49">E106*C106</f>
        <v>83300</v>
      </c>
      <c r="G106" s="26">
        <f t="shared" si="45"/>
        <v>75630.252100840342</v>
      </c>
      <c r="H106" s="252">
        <f t="shared" si="46"/>
        <v>90000</v>
      </c>
      <c r="I106" s="56">
        <f t="shared" ref="I106:I124" si="50">H106*C106</f>
        <v>90000</v>
      </c>
      <c r="J106" s="58">
        <f>[1]NISSAN!H13/1.19</f>
        <v>58823.529411764706</v>
      </c>
      <c r="K106" s="61">
        <f t="shared" ref="K106:K124" si="51">J106+AC106</f>
        <v>70000</v>
      </c>
      <c r="L106" s="59">
        <f t="shared" ref="L106:L124" si="52">K106*C106</f>
        <v>70000</v>
      </c>
      <c r="M106" s="21">
        <f t="shared" ref="M106:M124" si="53">L106*C106</f>
        <v>70000</v>
      </c>
      <c r="AB106" s="25">
        <v>70000</v>
      </c>
      <c r="AC106" s="25">
        <f t="shared" ref="AC106:AC124" si="54">AB106-J106</f>
        <v>11176.470588235294</v>
      </c>
      <c r="AE106" s="25">
        <v>90000</v>
      </c>
      <c r="AG106" s="141">
        <f t="shared" si="47"/>
        <v>14369.747899159658</v>
      </c>
    </row>
    <row r="107" spans="1:33" ht="24.75" customHeight="1" x14ac:dyDescent="0.2">
      <c r="A107" s="1">
        <v>3</v>
      </c>
      <c r="B107" s="267" t="s">
        <v>5</v>
      </c>
      <c r="C107" s="31">
        <v>2</v>
      </c>
      <c r="D107" s="44">
        <v>160000</v>
      </c>
      <c r="E107" s="8">
        <f t="shared" si="48"/>
        <v>190400</v>
      </c>
      <c r="F107" s="14">
        <f t="shared" si="49"/>
        <v>380800</v>
      </c>
      <c r="G107" s="26">
        <f t="shared" si="45"/>
        <v>151260.50420168068</v>
      </c>
      <c r="H107" s="252">
        <f t="shared" si="46"/>
        <v>180000</v>
      </c>
      <c r="I107" s="56">
        <f t="shared" si="50"/>
        <v>360000</v>
      </c>
      <c r="J107" s="58">
        <f>[1]NISSAN!H14/1.19</f>
        <v>151260.50420168068</v>
      </c>
      <c r="K107" s="61">
        <f t="shared" si="51"/>
        <v>180000</v>
      </c>
      <c r="L107" s="59">
        <f t="shared" si="52"/>
        <v>360000</v>
      </c>
      <c r="M107" s="21">
        <f t="shared" si="53"/>
        <v>720000</v>
      </c>
      <c r="AB107" s="25">
        <v>180000</v>
      </c>
      <c r="AC107" s="25">
        <f t="shared" si="54"/>
        <v>28739.495798319316</v>
      </c>
      <c r="AE107" s="25">
        <v>180000</v>
      </c>
      <c r="AG107" s="141">
        <f t="shared" si="47"/>
        <v>28739.495798319316</v>
      </c>
    </row>
    <row r="108" spans="1:33" ht="24.75" customHeight="1" x14ac:dyDescent="0.2">
      <c r="A108" s="1">
        <v>4</v>
      </c>
      <c r="B108" s="267" t="s">
        <v>46</v>
      </c>
      <c r="C108" s="31">
        <v>8</v>
      </c>
      <c r="D108" s="44">
        <v>20000</v>
      </c>
      <c r="E108" s="8">
        <f t="shared" si="48"/>
        <v>23800</v>
      </c>
      <c r="F108" s="14">
        <f t="shared" si="49"/>
        <v>190400</v>
      </c>
      <c r="G108" s="26">
        <f t="shared" si="45"/>
        <v>25210.084033613446</v>
      </c>
      <c r="H108" s="252">
        <f t="shared" si="46"/>
        <v>30000</v>
      </c>
      <c r="I108" s="56">
        <f t="shared" si="50"/>
        <v>240000</v>
      </c>
      <c r="J108" s="58">
        <f>[1]NISSAN!H25/1.19</f>
        <v>21008.403361344539</v>
      </c>
      <c r="K108" s="61">
        <f t="shared" si="51"/>
        <v>25000</v>
      </c>
      <c r="L108" s="59">
        <f t="shared" si="52"/>
        <v>200000</v>
      </c>
      <c r="M108" s="21">
        <f t="shared" si="53"/>
        <v>1600000</v>
      </c>
      <c r="AB108" s="25">
        <v>25000</v>
      </c>
      <c r="AC108" s="25">
        <f t="shared" si="54"/>
        <v>3991.596638655461</v>
      </c>
      <c r="AE108" s="25">
        <v>30000</v>
      </c>
      <c r="AG108" s="141">
        <f t="shared" si="47"/>
        <v>4789.9159663865539</v>
      </c>
    </row>
    <row r="109" spans="1:33" ht="24.75" customHeight="1" x14ac:dyDescent="0.2">
      <c r="A109" s="1">
        <v>6</v>
      </c>
      <c r="B109" s="267" t="s">
        <v>75</v>
      </c>
      <c r="C109" s="31">
        <v>2</v>
      </c>
      <c r="D109" s="44">
        <v>80000</v>
      </c>
      <c r="E109" s="8">
        <f t="shared" si="48"/>
        <v>95200</v>
      </c>
      <c r="F109" s="14">
        <f t="shared" si="49"/>
        <v>190400</v>
      </c>
      <c r="G109" s="26">
        <f t="shared" si="45"/>
        <v>147058.82352941178</v>
      </c>
      <c r="H109" s="252">
        <f t="shared" si="46"/>
        <v>175000</v>
      </c>
      <c r="I109" s="56">
        <f t="shared" si="50"/>
        <v>350000</v>
      </c>
      <c r="J109" s="58">
        <f>[1]NISSAN!H26/1.19</f>
        <v>75630.252100840342</v>
      </c>
      <c r="K109" s="61">
        <f t="shared" si="51"/>
        <v>90000</v>
      </c>
      <c r="L109" s="59">
        <f t="shared" si="52"/>
        <v>180000</v>
      </c>
      <c r="M109" s="21">
        <f t="shared" si="53"/>
        <v>360000</v>
      </c>
      <c r="AB109" s="25">
        <v>90000</v>
      </c>
      <c r="AC109" s="25">
        <f t="shared" si="54"/>
        <v>14369.747899159658</v>
      </c>
      <c r="AE109" s="25">
        <v>175000</v>
      </c>
      <c r="AG109" s="141">
        <f t="shared" si="47"/>
        <v>27941.176470588223</v>
      </c>
    </row>
    <row r="110" spans="1:33" ht="24.75" customHeight="1" x14ac:dyDescent="0.2">
      <c r="A110" s="1">
        <v>7</v>
      </c>
      <c r="B110" s="267" t="s">
        <v>48</v>
      </c>
      <c r="C110" s="31">
        <v>1</v>
      </c>
      <c r="D110" s="44">
        <v>30000</v>
      </c>
      <c r="E110" s="8">
        <f t="shared" si="48"/>
        <v>35700</v>
      </c>
      <c r="F110" s="14">
        <f t="shared" si="49"/>
        <v>35700</v>
      </c>
      <c r="G110" s="26">
        <f t="shared" si="45"/>
        <v>67226.890756302528</v>
      </c>
      <c r="H110" s="252">
        <f t="shared" si="46"/>
        <v>80000</v>
      </c>
      <c r="I110" s="56">
        <f t="shared" si="50"/>
        <v>80000</v>
      </c>
      <c r="J110" s="58">
        <f>[1]NISSAN!H27/1.19</f>
        <v>33613.445378151264</v>
      </c>
      <c r="K110" s="61">
        <f t="shared" si="51"/>
        <v>40000</v>
      </c>
      <c r="L110" s="59">
        <f t="shared" si="52"/>
        <v>40000</v>
      </c>
      <c r="M110" s="21">
        <f t="shared" si="53"/>
        <v>40000</v>
      </c>
      <c r="AB110" s="25">
        <v>40000</v>
      </c>
      <c r="AC110" s="25">
        <f t="shared" si="54"/>
        <v>6386.5546218487361</v>
      </c>
      <c r="AE110" s="25">
        <v>80000</v>
      </c>
      <c r="AG110" s="141">
        <f t="shared" si="47"/>
        <v>12773.109243697472</v>
      </c>
    </row>
    <row r="111" spans="1:33" ht="24.75" customHeight="1" x14ac:dyDescent="0.2">
      <c r="A111" s="1">
        <v>8</v>
      </c>
      <c r="B111" s="267" t="s">
        <v>76</v>
      </c>
      <c r="C111" s="31">
        <v>2</v>
      </c>
      <c r="D111" s="44">
        <v>120000</v>
      </c>
      <c r="E111" s="8">
        <f t="shared" si="48"/>
        <v>142800</v>
      </c>
      <c r="F111" s="14">
        <f t="shared" si="49"/>
        <v>285600</v>
      </c>
      <c r="G111" s="26">
        <f t="shared" si="45"/>
        <v>100840.33613445378</v>
      </c>
      <c r="H111" s="252">
        <f t="shared" si="46"/>
        <v>120000</v>
      </c>
      <c r="I111" s="56">
        <f t="shared" si="50"/>
        <v>240000</v>
      </c>
      <c r="J111" s="58">
        <f>[1]NISSAN!H15/1.19</f>
        <v>92436.97478991597</v>
      </c>
      <c r="K111" s="61">
        <f t="shared" si="51"/>
        <v>110000</v>
      </c>
      <c r="L111" s="59">
        <f t="shared" si="52"/>
        <v>220000</v>
      </c>
      <c r="M111" s="21">
        <f t="shared" si="53"/>
        <v>440000</v>
      </c>
      <c r="AB111" s="25">
        <v>110000</v>
      </c>
      <c r="AC111" s="25">
        <f t="shared" si="54"/>
        <v>17563.02521008403</v>
      </c>
      <c r="AE111" s="25">
        <v>120000</v>
      </c>
      <c r="AG111" s="141">
        <f t="shared" si="47"/>
        <v>19159.663865546216</v>
      </c>
    </row>
    <row r="112" spans="1:33" ht="24.75" customHeight="1" x14ac:dyDescent="0.2">
      <c r="A112" s="1">
        <v>9</v>
      </c>
      <c r="B112" s="267" t="s">
        <v>77</v>
      </c>
      <c r="C112" s="31">
        <v>2</v>
      </c>
      <c r="D112" s="44">
        <v>180000</v>
      </c>
      <c r="E112" s="8">
        <f t="shared" si="48"/>
        <v>214200</v>
      </c>
      <c r="F112" s="14">
        <f t="shared" si="49"/>
        <v>428400</v>
      </c>
      <c r="G112" s="26">
        <f t="shared" si="45"/>
        <v>151260.50420168068</v>
      </c>
      <c r="H112" s="252">
        <f t="shared" si="46"/>
        <v>180000</v>
      </c>
      <c r="I112" s="56">
        <f t="shared" si="50"/>
        <v>360000</v>
      </c>
      <c r="J112" s="58">
        <f>[1]NISSAN!H28/1.19</f>
        <v>168067.22689075631</v>
      </c>
      <c r="K112" s="229">
        <f t="shared" si="51"/>
        <v>200000</v>
      </c>
      <c r="L112" s="60">
        <f t="shared" si="52"/>
        <v>400000</v>
      </c>
      <c r="M112" s="21">
        <f t="shared" si="53"/>
        <v>800000</v>
      </c>
      <c r="AB112" s="25">
        <v>200000</v>
      </c>
      <c r="AC112" s="25">
        <f t="shared" si="54"/>
        <v>31932.773109243688</v>
      </c>
      <c r="AE112" s="25">
        <v>180000</v>
      </c>
      <c r="AG112" s="141">
        <f t="shared" si="47"/>
        <v>28739.495798319316</v>
      </c>
    </row>
    <row r="113" spans="1:33" ht="24.75" customHeight="1" x14ac:dyDescent="0.2">
      <c r="A113" s="1">
        <v>10</v>
      </c>
      <c r="B113" s="271" t="s">
        <v>44</v>
      </c>
      <c r="C113" s="34">
        <v>2</v>
      </c>
      <c r="D113" s="44">
        <v>80000</v>
      </c>
      <c r="E113" s="8">
        <f t="shared" si="48"/>
        <v>95200</v>
      </c>
      <c r="F113" s="14">
        <f t="shared" si="49"/>
        <v>190400</v>
      </c>
      <c r="G113" s="26">
        <f t="shared" si="45"/>
        <v>46218.487394957985</v>
      </c>
      <c r="H113" s="252">
        <f t="shared" si="46"/>
        <v>55000</v>
      </c>
      <c r="I113" s="56">
        <f t="shared" si="50"/>
        <v>110000</v>
      </c>
      <c r="J113" s="58">
        <f>[1]NISSAN!H29/1.19</f>
        <v>71428.571428571435</v>
      </c>
      <c r="K113" s="61">
        <f t="shared" si="51"/>
        <v>85000</v>
      </c>
      <c r="L113" s="59">
        <f t="shared" si="52"/>
        <v>170000</v>
      </c>
      <c r="M113" s="21">
        <f t="shared" si="53"/>
        <v>340000</v>
      </c>
      <c r="AB113" s="25">
        <v>85000</v>
      </c>
      <c r="AC113" s="25">
        <f t="shared" si="54"/>
        <v>13571.428571428565</v>
      </c>
      <c r="AE113" s="25">
        <v>55000</v>
      </c>
      <c r="AG113" s="141">
        <f t="shared" si="47"/>
        <v>8781.5126050420149</v>
      </c>
    </row>
    <row r="114" spans="1:33" ht="24.75" customHeight="1" x14ac:dyDescent="0.2">
      <c r="A114" s="1">
        <v>11</v>
      </c>
      <c r="B114" s="271" t="s">
        <v>64</v>
      </c>
      <c r="C114" s="34">
        <v>2</v>
      </c>
      <c r="D114" s="44">
        <v>40000</v>
      </c>
      <c r="E114" s="8">
        <f t="shared" si="48"/>
        <v>47600</v>
      </c>
      <c r="F114" s="14">
        <f t="shared" si="49"/>
        <v>95200</v>
      </c>
      <c r="G114" s="26">
        <f t="shared" si="45"/>
        <v>12605.042016806723</v>
      </c>
      <c r="H114" s="252">
        <f t="shared" si="46"/>
        <v>15000</v>
      </c>
      <c r="I114" s="56">
        <f t="shared" si="50"/>
        <v>30000</v>
      </c>
      <c r="J114" s="62">
        <v>40000</v>
      </c>
      <c r="K114" s="61">
        <f t="shared" si="51"/>
        <v>40000</v>
      </c>
      <c r="L114" s="59">
        <f t="shared" si="52"/>
        <v>80000</v>
      </c>
      <c r="M114" s="21">
        <f t="shared" si="53"/>
        <v>160000</v>
      </c>
      <c r="AB114" s="25"/>
      <c r="AC114" s="25"/>
      <c r="AE114" s="25">
        <v>15000</v>
      </c>
      <c r="AG114" s="141">
        <f t="shared" si="47"/>
        <v>2394.957983193277</v>
      </c>
    </row>
    <row r="115" spans="1:33" ht="24.75" customHeight="1" x14ac:dyDescent="0.2">
      <c r="A115" s="1">
        <v>12</v>
      </c>
      <c r="B115" s="271" t="s">
        <v>78</v>
      </c>
      <c r="C115" s="34">
        <v>1</v>
      </c>
      <c r="D115" s="44">
        <v>140000</v>
      </c>
      <c r="E115" s="8">
        <f t="shared" si="48"/>
        <v>166600</v>
      </c>
      <c r="F115" s="14">
        <f t="shared" si="49"/>
        <v>166600</v>
      </c>
      <c r="G115" s="26">
        <f t="shared" si="45"/>
        <v>252100.84033613445</v>
      </c>
      <c r="H115" s="252">
        <f t="shared" si="46"/>
        <v>300000</v>
      </c>
      <c r="I115" s="56">
        <f t="shared" si="50"/>
        <v>300000</v>
      </c>
      <c r="J115" s="58">
        <f>[1]NISSAN!H16/1.19</f>
        <v>134453.78151260506</v>
      </c>
      <c r="K115" s="61">
        <f t="shared" si="51"/>
        <v>160000</v>
      </c>
      <c r="L115" s="59">
        <f t="shared" si="52"/>
        <v>160000</v>
      </c>
      <c r="M115" s="21">
        <f t="shared" si="53"/>
        <v>160000</v>
      </c>
      <c r="AB115" s="25">
        <v>160000</v>
      </c>
      <c r="AC115" s="25">
        <f t="shared" si="54"/>
        <v>25546.218487394945</v>
      </c>
      <c r="AE115" s="25">
        <v>300000</v>
      </c>
      <c r="AG115" s="141">
        <f t="shared" si="47"/>
        <v>47899.159663865546</v>
      </c>
    </row>
    <row r="116" spans="1:33" ht="24.75" customHeight="1" x14ac:dyDescent="0.2">
      <c r="A116" s="1">
        <v>13</v>
      </c>
      <c r="B116" s="271" t="s">
        <v>50</v>
      </c>
      <c r="C116" s="34">
        <v>12</v>
      </c>
      <c r="D116" s="44">
        <v>30000</v>
      </c>
      <c r="E116" s="8">
        <v>0</v>
      </c>
      <c r="F116" s="14">
        <f>D116*C116</f>
        <v>360000</v>
      </c>
      <c r="G116" s="26">
        <f t="shared" si="45"/>
        <v>21008.403361344539</v>
      </c>
      <c r="H116" s="252">
        <f t="shared" si="46"/>
        <v>25000</v>
      </c>
      <c r="I116" s="56">
        <f t="shared" si="50"/>
        <v>300000</v>
      </c>
      <c r="J116" s="62">
        <v>30000</v>
      </c>
      <c r="K116" s="61">
        <f t="shared" si="51"/>
        <v>30000</v>
      </c>
      <c r="L116" s="59">
        <f t="shared" si="52"/>
        <v>360000</v>
      </c>
      <c r="M116" s="21">
        <f t="shared" si="53"/>
        <v>4320000</v>
      </c>
      <c r="AB116" s="25"/>
      <c r="AC116" s="25"/>
      <c r="AE116" s="25">
        <v>25000</v>
      </c>
      <c r="AG116" s="141">
        <f t="shared" si="47"/>
        <v>3991.596638655461</v>
      </c>
    </row>
    <row r="117" spans="1:33" ht="24.75" customHeight="1" x14ac:dyDescent="0.2">
      <c r="A117" s="1">
        <v>14</v>
      </c>
      <c r="B117" s="271" t="s">
        <v>79</v>
      </c>
      <c r="C117" s="34">
        <v>2</v>
      </c>
      <c r="D117" s="44">
        <v>15000</v>
      </c>
      <c r="E117" s="8">
        <f t="shared" si="48"/>
        <v>17850</v>
      </c>
      <c r="F117" s="14">
        <f t="shared" si="49"/>
        <v>35700</v>
      </c>
      <c r="G117" s="26">
        <f t="shared" si="45"/>
        <v>15126.050420168069</v>
      </c>
      <c r="H117" s="252">
        <f t="shared" si="46"/>
        <v>18000</v>
      </c>
      <c r="I117" s="56">
        <f t="shared" si="50"/>
        <v>36000</v>
      </c>
      <c r="J117" s="58">
        <f>[1]NISSAN!H31/1.19</f>
        <v>14285.714285714286</v>
      </c>
      <c r="K117" s="61">
        <f t="shared" si="51"/>
        <v>17000</v>
      </c>
      <c r="L117" s="59">
        <f t="shared" si="52"/>
        <v>34000</v>
      </c>
      <c r="M117" s="21">
        <f t="shared" si="53"/>
        <v>68000</v>
      </c>
      <c r="AB117" s="25">
        <v>17000</v>
      </c>
      <c r="AC117" s="25">
        <f t="shared" si="54"/>
        <v>2714.2857142857138</v>
      </c>
      <c r="AE117" s="25">
        <v>18000</v>
      </c>
      <c r="AG117" s="141">
        <f t="shared" si="47"/>
        <v>2873.9495798319313</v>
      </c>
    </row>
    <row r="118" spans="1:33" ht="24.75" customHeight="1" x14ac:dyDescent="0.2">
      <c r="A118" s="1">
        <v>15</v>
      </c>
      <c r="B118" s="271" t="s">
        <v>80</v>
      </c>
      <c r="C118" s="34">
        <v>2</v>
      </c>
      <c r="D118" s="44">
        <v>30000</v>
      </c>
      <c r="E118" s="8">
        <f t="shared" si="48"/>
        <v>35700</v>
      </c>
      <c r="F118" s="14">
        <f t="shared" si="49"/>
        <v>71400</v>
      </c>
      <c r="G118" s="26">
        <f t="shared" si="45"/>
        <v>29411.764705882353</v>
      </c>
      <c r="H118" s="252">
        <f t="shared" si="46"/>
        <v>35000</v>
      </c>
      <c r="I118" s="56">
        <f t="shared" si="50"/>
        <v>70000</v>
      </c>
      <c r="J118" s="58">
        <f>[1]NISSAN!H32/1.19</f>
        <v>24369.747899159665</v>
      </c>
      <c r="K118" s="61">
        <f t="shared" si="51"/>
        <v>29000</v>
      </c>
      <c r="L118" s="59">
        <f t="shared" si="52"/>
        <v>58000</v>
      </c>
      <c r="M118" s="21">
        <f t="shared" si="53"/>
        <v>116000</v>
      </c>
      <c r="AB118" s="25">
        <v>29000</v>
      </c>
      <c r="AC118" s="25">
        <f t="shared" si="54"/>
        <v>4630.2521008403346</v>
      </c>
      <c r="AE118" s="25">
        <v>35000</v>
      </c>
      <c r="AG118" s="141">
        <f t="shared" si="47"/>
        <v>5588.2352941176468</v>
      </c>
    </row>
    <row r="119" spans="1:33" ht="24.75" customHeight="1" x14ac:dyDescent="0.2">
      <c r="A119" s="1">
        <v>16</v>
      </c>
      <c r="B119" s="271" t="s">
        <v>52</v>
      </c>
      <c r="C119" s="34">
        <v>2</v>
      </c>
      <c r="D119" s="44">
        <v>30000</v>
      </c>
      <c r="E119" s="8">
        <f t="shared" si="48"/>
        <v>35700</v>
      </c>
      <c r="F119" s="14">
        <f t="shared" si="49"/>
        <v>71400</v>
      </c>
      <c r="G119" s="26">
        <f t="shared" si="45"/>
        <v>25210.084033613446</v>
      </c>
      <c r="H119" s="252">
        <f t="shared" si="46"/>
        <v>30000</v>
      </c>
      <c r="I119" s="56">
        <f t="shared" si="50"/>
        <v>60000</v>
      </c>
      <c r="J119" s="58">
        <f>[1]NISSAN!H33/1.19</f>
        <v>25210.084033613446</v>
      </c>
      <c r="K119" s="61">
        <f t="shared" si="51"/>
        <v>30000</v>
      </c>
      <c r="L119" s="59">
        <f t="shared" si="52"/>
        <v>60000</v>
      </c>
      <c r="M119" s="21">
        <f t="shared" si="53"/>
        <v>120000</v>
      </c>
      <c r="AB119" s="25">
        <v>30000</v>
      </c>
      <c r="AC119" s="25">
        <f t="shared" si="54"/>
        <v>4789.9159663865539</v>
      </c>
      <c r="AE119" s="25">
        <v>30000</v>
      </c>
      <c r="AG119" s="141">
        <f t="shared" si="47"/>
        <v>4789.9159663865539</v>
      </c>
    </row>
    <row r="120" spans="1:33" ht="24.75" customHeight="1" x14ac:dyDescent="0.2">
      <c r="A120" s="1">
        <v>17</v>
      </c>
      <c r="B120" s="272" t="s">
        <v>81</v>
      </c>
      <c r="C120" s="45">
        <v>4</v>
      </c>
      <c r="D120" s="46">
        <v>30000</v>
      </c>
      <c r="E120" s="8">
        <f t="shared" si="48"/>
        <v>35700</v>
      </c>
      <c r="F120" s="14">
        <f t="shared" si="49"/>
        <v>142800</v>
      </c>
      <c r="G120" s="26">
        <f t="shared" si="45"/>
        <v>25210.084033613446</v>
      </c>
      <c r="H120" s="252">
        <f t="shared" si="46"/>
        <v>30000</v>
      </c>
      <c r="I120" s="56">
        <f t="shared" si="50"/>
        <v>120000</v>
      </c>
      <c r="J120" s="58">
        <v>30000</v>
      </c>
      <c r="K120" s="61">
        <f t="shared" si="51"/>
        <v>30000</v>
      </c>
      <c r="L120" s="59">
        <f t="shared" si="52"/>
        <v>120000</v>
      </c>
      <c r="M120" s="21">
        <f t="shared" si="53"/>
        <v>480000</v>
      </c>
      <c r="AB120" s="25"/>
      <c r="AC120" s="25"/>
      <c r="AE120" s="25">
        <v>30000</v>
      </c>
      <c r="AG120" s="141">
        <f t="shared" si="47"/>
        <v>4789.9159663865539</v>
      </c>
    </row>
    <row r="121" spans="1:33" ht="24.75" customHeight="1" x14ac:dyDescent="0.2">
      <c r="A121" s="1">
        <v>18</v>
      </c>
      <c r="B121" s="33" t="s">
        <v>39</v>
      </c>
      <c r="C121" s="47">
        <v>2</v>
      </c>
      <c r="D121" s="48">
        <v>10000</v>
      </c>
      <c r="E121" s="8">
        <f t="shared" si="48"/>
        <v>11900</v>
      </c>
      <c r="F121" s="14">
        <f t="shared" si="49"/>
        <v>23800</v>
      </c>
      <c r="G121" s="26">
        <f t="shared" si="45"/>
        <v>10084.033613445379</v>
      </c>
      <c r="H121" s="252">
        <f t="shared" si="46"/>
        <v>12000</v>
      </c>
      <c r="I121" s="56">
        <f t="shared" si="50"/>
        <v>24000</v>
      </c>
      <c r="J121" s="58">
        <f>[1]NISSAN!H35/1.19</f>
        <v>8403.361344537816</v>
      </c>
      <c r="K121" s="61">
        <f t="shared" si="51"/>
        <v>10000</v>
      </c>
      <c r="L121" s="59">
        <f t="shared" si="52"/>
        <v>20000</v>
      </c>
      <c r="M121" s="21">
        <f t="shared" si="53"/>
        <v>40000</v>
      </c>
      <c r="AB121" s="25">
        <v>10000</v>
      </c>
      <c r="AC121" s="25">
        <f t="shared" si="54"/>
        <v>1596.638655462184</v>
      </c>
      <c r="AE121" s="25">
        <v>12000</v>
      </c>
      <c r="AG121" s="141">
        <f t="shared" si="47"/>
        <v>1915.9663865546208</v>
      </c>
    </row>
    <row r="122" spans="1:33" ht="24.75" customHeight="1" x14ac:dyDescent="0.2">
      <c r="A122" s="18">
        <v>19</v>
      </c>
      <c r="B122" s="33" t="s">
        <v>40</v>
      </c>
      <c r="C122" s="47">
        <v>2</v>
      </c>
      <c r="D122" s="48">
        <v>2000</v>
      </c>
      <c r="E122" s="8">
        <f t="shared" si="48"/>
        <v>2380</v>
      </c>
      <c r="F122" s="14">
        <f t="shared" si="49"/>
        <v>4760</v>
      </c>
      <c r="G122" s="26">
        <f t="shared" si="45"/>
        <v>2100.840336134454</v>
      </c>
      <c r="H122" s="252">
        <f t="shared" si="46"/>
        <v>2500</v>
      </c>
      <c r="I122" s="56">
        <f t="shared" si="50"/>
        <v>5000</v>
      </c>
      <c r="J122" s="58">
        <f>[1]NISSAN!H36/1.19</f>
        <v>1680.6722689075632</v>
      </c>
      <c r="K122" s="61">
        <f t="shared" si="51"/>
        <v>2000</v>
      </c>
      <c r="L122" s="59">
        <f t="shared" si="52"/>
        <v>4000</v>
      </c>
      <c r="M122" s="21">
        <f t="shared" si="53"/>
        <v>8000</v>
      </c>
      <c r="AB122" s="25">
        <v>2000</v>
      </c>
      <c r="AC122" s="25">
        <f t="shared" si="54"/>
        <v>319.32773109243681</v>
      </c>
      <c r="AE122" s="25">
        <v>2500</v>
      </c>
      <c r="AG122" s="141">
        <f t="shared" si="47"/>
        <v>399.15966386554601</v>
      </c>
    </row>
    <row r="123" spans="1:33" ht="24.75" customHeight="1" x14ac:dyDescent="0.2">
      <c r="A123" s="74">
        <v>20</v>
      </c>
      <c r="B123" s="33" t="s">
        <v>82</v>
      </c>
      <c r="C123" s="47">
        <v>14</v>
      </c>
      <c r="D123" s="48">
        <v>28000</v>
      </c>
      <c r="E123" s="8">
        <v>0</v>
      </c>
      <c r="F123" s="14">
        <f>D123*C123</f>
        <v>392000</v>
      </c>
      <c r="G123" s="26">
        <f t="shared" si="45"/>
        <v>21008.403361344539</v>
      </c>
      <c r="H123" s="252">
        <f t="shared" si="46"/>
        <v>25000</v>
      </c>
      <c r="I123" s="56">
        <f t="shared" si="50"/>
        <v>350000</v>
      </c>
      <c r="J123" s="62">
        <v>30000</v>
      </c>
      <c r="K123" s="61">
        <f t="shared" si="51"/>
        <v>30000</v>
      </c>
      <c r="L123" s="59">
        <f t="shared" si="52"/>
        <v>420000</v>
      </c>
      <c r="M123" s="21">
        <f t="shared" si="53"/>
        <v>5880000</v>
      </c>
      <c r="AB123" s="25"/>
      <c r="AC123" s="25"/>
      <c r="AE123" s="25">
        <v>25000</v>
      </c>
      <c r="AG123" s="141">
        <f t="shared" si="47"/>
        <v>3991.596638655461</v>
      </c>
    </row>
    <row r="124" spans="1:33" ht="24.75" customHeight="1" x14ac:dyDescent="0.2">
      <c r="A124" s="74">
        <v>21</v>
      </c>
      <c r="B124" s="33" t="s">
        <v>20</v>
      </c>
      <c r="C124" s="47">
        <v>2</v>
      </c>
      <c r="D124" s="48">
        <v>15000</v>
      </c>
      <c r="E124" s="8">
        <f t="shared" si="48"/>
        <v>17850</v>
      </c>
      <c r="F124" s="14">
        <f t="shared" si="49"/>
        <v>35700</v>
      </c>
      <c r="G124" s="26">
        <f t="shared" si="45"/>
        <v>12605.042016806723</v>
      </c>
      <c r="H124" s="252">
        <f t="shared" si="46"/>
        <v>15000</v>
      </c>
      <c r="I124" s="56">
        <f t="shared" si="50"/>
        <v>30000</v>
      </c>
      <c r="J124" s="58">
        <f>[1]NISSAN!H17/1.19</f>
        <v>16806.722689075632</v>
      </c>
      <c r="K124" s="61">
        <f t="shared" si="51"/>
        <v>20000</v>
      </c>
      <c r="L124" s="59">
        <f t="shared" si="52"/>
        <v>40000</v>
      </c>
      <c r="M124" s="21">
        <f t="shared" si="53"/>
        <v>80000</v>
      </c>
      <c r="AB124" s="25">
        <v>20000</v>
      </c>
      <c r="AC124" s="25">
        <f t="shared" si="54"/>
        <v>3193.2773109243681</v>
      </c>
      <c r="AE124" s="25">
        <v>15000</v>
      </c>
      <c r="AG124" s="141">
        <f t="shared" si="47"/>
        <v>2394.957983193277</v>
      </c>
    </row>
    <row r="125" spans="1:33" ht="24.75" customHeight="1" x14ac:dyDescent="0.3">
      <c r="A125" s="105"/>
      <c r="B125" s="278"/>
      <c r="C125" s="105"/>
      <c r="D125" s="111"/>
      <c r="E125" s="112" t="s">
        <v>25</v>
      </c>
      <c r="F125" s="112">
        <f>SUM(F105:F124)</f>
        <v>3303360</v>
      </c>
      <c r="G125" s="113"/>
      <c r="H125" s="114" t="s">
        <v>25</v>
      </c>
      <c r="I125" s="115">
        <f>SUM(I105:I124)</f>
        <v>3305000</v>
      </c>
      <c r="J125" s="114"/>
      <c r="K125" s="230" t="s">
        <v>25</v>
      </c>
      <c r="L125" s="116">
        <f>SUM(L105:L124)</f>
        <v>3116000</v>
      </c>
      <c r="M125" s="30">
        <f>SUM(M105:M124)</f>
        <v>16042000</v>
      </c>
      <c r="AB125" s="25"/>
    </row>
    <row r="128" spans="1:33" ht="24.75" customHeight="1" thickBot="1" x14ac:dyDescent="0.35"/>
    <row r="129" spans="2:10" ht="24.75" customHeight="1" thickBot="1" x14ac:dyDescent="0.35">
      <c r="I129" s="118" t="s">
        <v>93</v>
      </c>
      <c r="J129" s="118" t="s">
        <v>94</v>
      </c>
    </row>
    <row r="130" spans="2:10" ht="24.75" customHeight="1" x14ac:dyDescent="0.3">
      <c r="B130" s="279"/>
      <c r="C130" s="253"/>
      <c r="E130" s="253"/>
      <c r="I130" s="124" t="s">
        <v>23</v>
      </c>
      <c r="J130" s="119">
        <f>F24+F45+F77+F100+F125</f>
        <v>20313508</v>
      </c>
    </row>
    <row r="131" spans="2:10" ht="24.75" customHeight="1" x14ac:dyDescent="0.3">
      <c r="B131" s="279"/>
      <c r="C131" s="253"/>
      <c r="E131" s="253"/>
      <c r="I131" s="125" t="s">
        <v>89</v>
      </c>
      <c r="J131" s="120">
        <f>I24+I45+I77+I100+I125</f>
        <v>19836400</v>
      </c>
    </row>
    <row r="132" spans="2:10" ht="24.75" customHeight="1" x14ac:dyDescent="0.3">
      <c r="B132" s="279"/>
      <c r="C132" s="253"/>
      <c r="E132" s="253"/>
      <c r="I132" s="126" t="s">
        <v>27</v>
      </c>
      <c r="J132" s="120">
        <f>L24+L77+L100+L125</f>
        <v>18217000.332857143</v>
      </c>
    </row>
    <row r="133" spans="2:10" ht="24.75" customHeight="1" thickBot="1" x14ac:dyDescent="0.35">
      <c r="B133" s="279"/>
      <c r="C133" s="253"/>
      <c r="E133" s="253"/>
      <c r="I133" s="127" t="s">
        <v>90</v>
      </c>
      <c r="J133" s="121">
        <f>J130+J131+J132</f>
        <v>58366908.332857147</v>
      </c>
    </row>
    <row r="134" spans="2:10" ht="24.75" customHeight="1" thickBot="1" x14ac:dyDescent="0.35">
      <c r="B134" s="254"/>
      <c r="C134" s="253"/>
      <c r="D134" s="255"/>
      <c r="E134" s="253"/>
      <c r="I134" s="128" t="s">
        <v>88</v>
      </c>
      <c r="J134" s="123">
        <f>J133/3</f>
        <v>19455636.110952381</v>
      </c>
    </row>
    <row r="135" spans="2:10" ht="24.75" customHeight="1" x14ac:dyDescent="0.3">
      <c r="B135" s="280"/>
      <c r="C135" s="256"/>
      <c r="D135" s="140"/>
      <c r="E135" s="256"/>
    </row>
    <row r="136" spans="2:10" ht="24.75" customHeight="1" x14ac:dyDescent="0.3">
      <c r="B136" s="281"/>
      <c r="C136" s="257"/>
      <c r="D136" s="258"/>
      <c r="E136" s="256"/>
    </row>
    <row r="137" spans="2:10" ht="24.75" customHeight="1" x14ac:dyDescent="0.3">
      <c r="B137" s="270"/>
      <c r="C137" s="75"/>
      <c r="D137" s="140"/>
      <c r="E137" s="75"/>
    </row>
  </sheetData>
  <mergeCells count="24">
    <mergeCell ref="B2:L2"/>
    <mergeCell ref="B103:B104"/>
    <mergeCell ref="C103:C104"/>
    <mergeCell ref="D103:F103"/>
    <mergeCell ref="K103:M103"/>
    <mergeCell ref="B26:B27"/>
    <mergeCell ref="C26:C27"/>
    <mergeCell ref="D26:F26"/>
    <mergeCell ref="K26:M26"/>
    <mergeCell ref="B80:B81"/>
    <mergeCell ref="C80:C81"/>
    <mergeCell ref="D80:F80"/>
    <mergeCell ref="K80:M80"/>
    <mergeCell ref="B47:B48"/>
    <mergeCell ref="C47:C48"/>
    <mergeCell ref="D47:F47"/>
    <mergeCell ref="K47:M47"/>
    <mergeCell ref="A3:A4"/>
    <mergeCell ref="B3:B4"/>
    <mergeCell ref="C3:C4"/>
    <mergeCell ref="D3:F3"/>
    <mergeCell ref="A26:A27"/>
    <mergeCell ref="G3:I3"/>
    <mergeCell ref="J3:M3"/>
  </mergeCells>
  <pageMargins left="0.9055118110236221" right="0.70866141732283472" top="0.74803149606299213" bottom="0.74803149606299213" header="0.31496062992125984" footer="0.31496062992125984"/>
  <pageSetup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COMPARATIVO VEHICULOS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Castaño</dc:creator>
  <cp:lastModifiedBy>luz amparo giraldo</cp:lastModifiedBy>
  <cp:lastPrinted>2019-03-08T18:49:33Z</cp:lastPrinted>
  <dcterms:created xsi:type="dcterms:W3CDTF">2017-05-31T13:15:57Z</dcterms:created>
  <dcterms:modified xsi:type="dcterms:W3CDTF">2019-03-11T13:21:43Z</dcterms:modified>
</cp:coreProperties>
</file>