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DIANA MARTINEZ\P171- 17 AGT\finales tecnicos 22 agt\"/>
    </mc:Choice>
  </mc:AlternateContent>
  <bookViews>
    <workbookView xWindow="0" yWindow="0" windowWidth="28800" windowHeight="9330"/>
  </bookViews>
  <sheets>
    <sheet name="COTIZACIONES " sheetId="15" r:id="rId1"/>
    <sheet name="HISTORICOS" sheetId="20" r:id="rId2"/>
    <sheet name="ANALISIS" sheetId="21" r:id="rId3"/>
    <sheet name="VR. NECESIDAD EN PESOS" sheetId="23" r:id="rId4"/>
    <sheet name="PRIORIZACION- CUBRIMIENTO" sheetId="22" r:id="rId5"/>
    <sheet name="LOTE 34" sheetId="25" r:id="rId6"/>
    <sheet name="PRECIO REFER Y PTO OFICIAL" sheetId="24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M69" i="25" l="1"/>
  <c r="CM71" i="25" s="1"/>
  <c r="CM49" i="25" l="1"/>
  <c r="CM51" i="25" s="1"/>
  <c r="BZ18" i="25" l="1"/>
  <c r="BU18" i="25"/>
  <c r="BE18" i="25"/>
  <c r="BJ18" i="25" s="1"/>
  <c r="AX18" i="25"/>
  <c r="AY18" i="25" s="1"/>
  <c r="AZ18" i="25" s="1"/>
  <c r="BA18" i="25" s="1"/>
  <c r="BB18" i="25" s="1"/>
  <c r="AP18" i="25"/>
  <c r="AQ18" i="25" s="1"/>
  <c r="AR18" i="25" s="1"/>
  <c r="AM18" i="25"/>
  <c r="J18" i="25"/>
  <c r="K18" i="25" s="1"/>
  <c r="L18" i="25" s="1"/>
  <c r="BZ10" i="25"/>
  <c r="BZ26" i="25" s="1"/>
  <c r="BI10" i="25"/>
  <c r="BJ10" i="25" s="1"/>
  <c r="AM10" i="25"/>
  <c r="AD10" i="25"/>
  <c r="AC10" i="25"/>
  <c r="AB10" i="25"/>
  <c r="U10" i="25"/>
  <c r="L10" i="25"/>
  <c r="BO10" i="25" s="1"/>
  <c r="K10" i="25"/>
  <c r="CE10" i="24"/>
  <c r="BZ26" i="24"/>
  <c r="CA26" i="24" s="1"/>
  <c r="BZ18" i="24"/>
  <c r="BU18" i="24"/>
  <c r="CA18" i="24" s="1"/>
  <c r="BE18" i="24"/>
  <c r="BJ18" i="24" s="1"/>
  <c r="AX18" i="24"/>
  <c r="AY18" i="24" s="1"/>
  <c r="AZ18" i="24" s="1"/>
  <c r="BA18" i="24" s="1"/>
  <c r="BB18" i="24" s="1"/>
  <c r="AQ18" i="24"/>
  <c r="AR18" i="24" s="1"/>
  <c r="AP18" i="24"/>
  <c r="AM18" i="24"/>
  <c r="K18" i="24"/>
  <c r="L18" i="24" s="1"/>
  <c r="J18" i="24"/>
  <c r="CF10" i="24"/>
  <c r="CH10" i="24" s="1"/>
  <c r="CI10" i="24" s="1"/>
  <c r="CK10" i="24" s="1"/>
  <c r="CL10" i="24" s="1"/>
  <c r="CB10" i="24"/>
  <c r="CC10" i="24" s="1"/>
  <c r="CA18" i="23"/>
  <c r="BZ18" i="23"/>
  <c r="BU18" i="23"/>
  <c r="BE18" i="23"/>
  <c r="BJ18" i="23" s="1"/>
  <c r="AX18" i="23"/>
  <c r="AY18" i="23" s="1"/>
  <c r="AZ18" i="23" s="1"/>
  <c r="BA18" i="23" s="1"/>
  <c r="BB18" i="23" s="1"/>
  <c r="AP18" i="23"/>
  <c r="AQ18" i="23" s="1"/>
  <c r="AR18" i="23" s="1"/>
  <c r="AM18" i="23"/>
  <c r="J18" i="23"/>
  <c r="K18" i="23" s="1"/>
  <c r="L18" i="23" s="1"/>
  <c r="CB10" i="23"/>
  <c r="CC10" i="23" s="1"/>
  <c r="BI10" i="23"/>
  <c r="BJ10" i="23" s="1"/>
  <c r="AM10" i="23"/>
  <c r="AC10" i="23"/>
  <c r="AD10" i="23" s="1"/>
  <c r="AB10" i="23"/>
  <c r="U10" i="23"/>
  <c r="K10" i="23"/>
  <c r="L10" i="23" s="1"/>
  <c r="BO10" i="23" s="1"/>
  <c r="BZ18" i="22"/>
  <c r="BU18" i="22"/>
  <c r="CB18" i="22" s="1"/>
  <c r="BE18" i="22"/>
  <c r="BJ18" i="22" s="1"/>
  <c r="AX18" i="22"/>
  <c r="AY18" i="22" s="1"/>
  <c r="AZ18" i="22" s="1"/>
  <c r="BA18" i="22" s="1"/>
  <c r="BB18" i="22" s="1"/>
  <c r="AP18" i="22"/>
  <c r="AQ18" i="22" s="1"/>
  <c r="AR18" i="22" s="1"/>
  <c r="AM18" i="22"/>
  <c r="J18" i="22"/>
  <c r="K18" i="22" s="1"/>
  <c r="L18" i="22" s="1"/>
  <c r="CC10" i="22"/>
  <c r="CD10" i="22" s="1"/>
  <c r="BI10" i="22"/>
  <c r="BJ10" i="22" s="1"/>
  <c r="AM10" i="22"/>
  <c r="AC10" i="22"/>
  <c r="AD10" i="22" s="1"/>
  <c r="AB10" i="22"/>
  <c r="U10" i="22"/>
  <c r="K10" i="22"/>
  <c r="L10" i="22" s="1"/>
  <c r="CA18" i="21"/>
  <c r="BZ18" i="21"/>
  <c r="BU18" i="21"/>
  <c r="BE18" i="21"/>
  <c r="BJ18" i="21" s="1"/>
  <c r="AX18" i="21"/>
  <c r="AY18" i="21" s="1"/>
  <c r="AZ18" i="21" s="1"/>
  <c r="BA18" i="21" s="1"/>
  <c r="BB18" i="21" s="1"/>
  <c r="AP18" i="21"/>
  <c r="AQ18" i="21" s="1"/>
  <c r="AR18" i="21" s="1"/>
  <c r="AM18" i="21"/>
  <c r="J18" i="21"/>
  <c r="K18" i="21" s="1"/>
  <c r="L18" i="21" s="1"/>
  <c r="CB10" i="21"/>
  <c r="CC10" i="21" s="1"/>
  <c r="BI10" i="21"/>
  <c r="BJ10" i="21" s="1"/>
  <c r="AM10" i="21"/>
  <c r="AC10" i="21"/>
  <c r="AD10" i="21" s="1"/>
  <c r="AB10" i="21"/>
  <c r="U10" i="21"/>
  <c r="K10" i="21"/>
  <c r="L10" i="21" s="1"/>
  <c r="BO10" i="21" s="1"/>
  <c r="BZ18" i="20"/>
  <c r="BU18" i="20"/>
  <c r="CA18" i="20" s="1"/>
  <c r="BE18" i="20"/>
  <c r="BJ18" i="20" s="1"/>
  <c r="AX18" i="20"/>
  <c r="AY18" i="20" s="1"/>
  <c r="AZ18" i="20" s="1"/>
  <c r="BA18" i="20" s="1"/>
  <c r="BB18" i="20" s="1"/>
  <c r="AP18" i="20"/>
  <c r="AQ18" i="20" s="1"/>
  <c r="AR18" i="20" s="1"/>
  <c r="AM18" i="20"/>
  <c r="J18" i="20"/>
  <c r="K18" i="20" s="1"/>
  <c r="L18" i="20" s="1"/>
  <c r="CB10" i="20"/>
  <c r="CC10" i="20" s="1"/>
  <c r="BI10" i="20"/>
  <c r="BJ10" i="20" s="1"/>
  <c r="AM10" i="20"/>
  <c r="AC10" i="20"/>
  <c r="AD10" i="20" s="1"/>
  <c r="AB10" i="20"/>
  <c r="U10" i="20"/>
  <c r="K10" i="20"/>
  <c r="L10" i="20" s="1"/>
  <c r="CB10" i="15"/>
  <c r="CC10" i="15" s="1"/>
  <c r="BI10" i="15"/>
  <c r="BJ10" i="15" s="1"/>
  <c r="AM10" i="15"/>
  <c r="AC10" i="15"/>
  <c r="AD10" i="15" s="1"/>
  <c r="AB10" i="15"/>
  <c r="U10" i="15"/>
  <c r="K10" i="15"/>
  <c r="L10" i="15" s="1"/>
  <c r="BQ18" i="25" l="1"/>
  <c r="BM18" i="25"/>
  <c r="BL18" i="25"/>
  <c r="BP18" i="25"/>
  <c r="BO18" i="25"/>
  <c r="BN18" i="25"/>
  <c r="BP10" i="25"/>
  <c r="BM10" i="25"/>
  <c r="BQ10" i="25"/>
  <c r="BL10" i="25"/>
  <c r="BN10" i="25"/>
  <c r="BN18" i="24"/>
  <c r="BO18" i="24"/>
  <c r="BL18" i="24"/>
  <c r="BP18" i="24"/>
  <c r="BM18" i="24"/>
  <c r="BQ18" i="24"/>
  <c r="BO18" i="23"/>
  <c r="BP18" i="23"/>
  <c r="BN18" i="23"/>
  <c r="BL18" i="23"/>
  <c r="BQ18" i="23"/>
  <c r="BM18" i="23"/>
  <c r="BL10" i="23"/>
  <c r="BS10" i="23" s="1"/>
  <c r="BM10" i="23"/>
  <c r="BQ10" i="23"/>
  <c r="BP10" i="23"/>
  <c r="BN10" i="23"/>
  <c r="BQ10" i="22"/>
  <c r="BM10" i="22"/>
  <c r="BP10" i="22"/>
  <c r="BL10" i="22"/>
  <c r="BS10" i="22" s="1"/>
  <c r="BO10" i="22"/>
  <c r="BN10" i="22"/>
  <c r="BQ18" i="22"/>
  <c r="BM18" i="22"/>
  <c r="BP18" i="22"/>
  <c r="BL18" i="22"/>
  <c r="BO18" i="22"/>
  <c r="BN18" i="22"/>
  <c r="BO18" i="21"/>
  <c r="BN18" i="21"/>
  <c r="BL18" i="21"/>
  <c r="BQ18" i="21"/>
  <c r="BM18" i="21"/>
  <c r="BP18" i="21"/>
  <c r="BM10" i="21"/>
  <c r="BQ10" i="21"/>
  <c r="BL10" i="21"/>
  <c r="BS10" i="21" s="1"/>
  <c r="BN10" i="21"/>
  <c r="BP10" i="21"/>
  <c r="BQ10" i="20"/>
  <c r="BM10" i="20"/>
  <c r="BL10" i="20"/>
  <c r="BS10" i="20" s="1"/>
  <c r="BO10" i="20"/>
  <c r="BN10" i="20"/>
  <c r="BP10" i="20"/>
  <c r="BQ18" i="20"/>
  <c r="BR18" i="20" s="1"/>
  <c r="BM18" i="20"/>
  <c r="BL18" i="20"/>
  <c r="BP18" i="20"/>
  <c r="BO18" i="20"/>
  <c r="BN18" i="20"/>
  <c r="BQ10" i="15"/>
  <c r="BM10" i="15"/>
  <c r="BP10" i="15"/>
  <c r="BL10" i="15"/>
  <c r="BS10" i="15" s="1"/>
  <c r="BN10" i="15"/>
  <c r="BO10" i="15"/>
  <c r="BR10" i="25" l="1"/>
  <c r="BR18" i="25"/>
  <c r="BR10" i="21"/>
  <c r="BR18" i="21"/>
  <c r="CI10" i="22"/>
  <c r="CF10" i="22"/>
  <c r="CG10" i="22" s="1"/>
  <c r="BR18" i="24"/>
  <c r="BR18" i="22"/>
  <c r="CA10" i="23"/>
  <c r="BZ10" i="23"/>
  <c r="BR10" i="23"/>
  <c r="BR18" i="23"/>
  <c r="CB10" i="22"/>
  <c r="BZ10" i="22"/>
  <c r="BR10" i="22"/>
  <c r="BZ10" i="21"/>
  <c r="CA10" i="21"/>
  <c r="CA10" i="20"/>
  <c r="BZ10" i="20"/>
  <c r="BR10" i="20"/>
  <c r="CA10" i="15"/>
  <c r="BZ10" i="15"/>
  <c r="CE10" i="15" s="1"/>
  <c r="CF10" i="15" s="1"/>
  <c r="CH10" i="15" s="1"/>
  <c r="CI10" i="15" s="1"/>
  <c r="CK10" i="15" s="1"/>
  <c r="CL10" i="15" s="1"/>
  <c r="BR10" i="15"/>
  <c r="BZ26" i="23" l="1"/>
  <c r="CA26" i="23" s="1"/>
  <c r="CE10" i="23"/>
  <c r="CF10" i="23" s="1"/>
  <c r="CH10" i="23" s="1"/>
  <c r="CI10" i="23" s="1"/>
  <c r="CK10" i="23" s="1"/>
  <c r="CL10" i="23" s="1"/>
  <c r="CJ10" i="22"/>
  <c r="CL10" i="22" s="1"/>
  <c r="CM10" i="22" s="1"/>
  <c r="BZ26" i="22"/>
  <c r="CB26" i="22" s="1"/>
  <c r="CE10" i="21"/>
  <c r="CF10" i="21" s="1"/>
  <c r="CH10" i="21" s="1"/>
  <c r="CI10" i="21" s="1"/>
  <c r="CK10" i="21" s="1"/>
  <c r="CL10" i="21" s="1"/>
  <c r="BZ26" i="21"/>
  <c r="CA26" i="21" s="1"/>
  <c r="CE10" i="20"/>
  <c r="CF10" i="20" s="1"/>
  <c r="CH10" i="20" s="1"/>
  <c r="CI10" i="20" s="1"/>
  <c r="CK10" i="20" s="1"/>
  <c r="CL10" i="20" s="1"/>
  <c r="BZ26" i="20"/>
  <c r="CA26" i="20" s="1"/>
  <c r="AX18" i="15" l="1"/>
  <c r="AY18" i="15" s="1"/>
  <c r="AZ18" i="15" s="1"/>
  <c r="BA18" i="15" s="1"/>
  <c r="BB18" i="15" s="1"/>
  <c r="BE18" i="15"/>
  <c r="BJ18" i="15" s="1"/>
  <c r="AM18" i="15" l="1"/>
  <c r="BQ18" i="15" l="1"/>
  <c r="BO18" i="15"/>
  <c r="BL18" i="15"/>
  <c r="BM18" i="15"/>
  <c r="BN18" i="15"/>
  <c r="BP18" i="15"/>
  <c r="BU18" i="15" l="1"/>
  <c r="CA18" i="15" s="1"/>
  <c r="BZ18" i="15"/>
  <c r="BR18" i="15"/>
  <c r="AP18" i="15" l="1"/>
  <c r="AQ18" i="15" s="1"/>
  <c r="AR18" i="15" s="1"/>
  <c r="J18" i="15" l="1"/>
  <c r="K18" i="15" s="1"/>
  <c r="L18" i="15" s="1"/>
  <c r="BZ26" i="15" l="1"/>
  <c r="CA26" i="15" s="1"/>
</calcChain>
</file>

<file path=xl/sharedStrings.xml><?xml version="1.0" encoding="utf-8"?>
<sst xmlns="http://schemas.openxmlformats.org/spreadsheetml/2006/main" count="1651" uniqueCount="136">
  <si>
    <t>ITEM</t>
  </si>
  <si>
    <t xml:space="preserve">DESCRIPCIÓN DEL BIEN Y/O SERVICIO </t>
  </si>
  <si>
    <t>PARTE NUMERO</t>
  </si>
  <si>
    <t>UNIDAD MEDIDA</t>
  </si>
  <si>
    <t>CANT PROYECTADA</t>
  </si>
  <si>
    <t>EA</t>
  </si>
  <si>
    <t xml:space="preserve">TIEMPO DE ENTREGA </t>
  </si>
  <si>
    <t xml:space="preserve"> SERVICIO REQUERIDO </t>
  </si>
  <si>
    <t xml:space="preserve">MONEDA DE COTIZACION </t>
  </si>
  <si>
    <t>LUGAR DE PRESTACION DEL SERVICIOS</t>
  </si>
  <si>
    <t>VR COTIZADO  SIN IVA</t>
  </si>
  <si>
    <t>IVA (SI APLICA)</t>
  </si>
  <si>
    <t>SUBTOTAL</t>
  </si>
  <si>
    <t>TOTAL INCLUIDO IVA SI APLICA</t>
  </si>
  <si>
    <t>SERVICIO OFERTADO</t>
  </si>
  <si>
    <t>FLOTA DE  AERONAVES CASA 212-100</t>
  </si>
  <si>
    <t xml:space="preserve">CLASIFICADOR POR OBJETO DEL GASTO </t>
  </si>
  <si>
    <t>NOMBRE CUENTA</t>
  </si>
  <si>
    <t>3103860-1</t>
  </si>
  <si>
    <t>SERIE NUMERO</t>
  </si>
  <si>
    <t>A-02-02-02-008-007</t>
  </si>
  <si>
    <t>Servicios de mantenimiento, reparación e instalación (excepto servicios de construcción)</t>
  </si>
  <si>
    <t>SERIE 
NUMERO</t>
  </si>
  <si>
    <t>MOTOR GARRETH</t>
  </si>
  <si>
    <t>06513C</t>
  </si>
  <si>
    <t xml:space="preserve">REPARACIÓN  GEARBOX Y HOT SECTION INPECTION ,  CUMPLIMIENTO BOLETINES DE  SERVICIOS Y AIRWORTHINES DIRECTIVE MANDATORIAS A LA FECHA, CUMPLIMIENTO AD2018-13-05  SB TPE331-72-2168 TPE 331-72-2267                      </t>
  </si>
  <si>
    <t xml:space="preserve">HÉLICE </t>
  </si>
  <si>
    <t>HC-B4TN-5FL</t>
  </si>
  <si>
    <t>EAA1604</t>
  </si>
  <si>
    <t>OVH</t>
  </si>
  <si>
    <t>PESOS</t>
  </si>
  <si>
    <t>15 DIAS</t>
  </si>
  <si>
    <t>EXTERIOR</t>
  </si>
  <si>
    <t>45 DIAS</t>
  </si>
  <si>
    <t>NACIONAL</t>
  </si>
  <si>
    <t>AVIOELECTRONICA</t>
  </si>
  <si>
    <t>COP</t>
  </si>
  <si>
    <t>USD</t>
  </si>
  <si>
    <t>ULS</t>
  </si>
  <si>
    <t>8
Semanas</t>
  </si>
  <si>
    <t>ESTADOS
UNIDOS</t>
  </si>
  <si>
    <t>FASTCOL</t>
  </si>
  <si>
    <t>DAKOTA</t>
  </si>
  <si>
    <t>COLOMBIA</t>
  </si>
  <si>
    <t>igual en el anexo tecnico</t>
  </si>
  <si>
    <t>ovh en anexo tecnico</t>
  </si>
  <si>
    <t>PROYECCION COTIZACION EN DOLARES A CIERRE DE COTIZACION $3790,88</t>
  </si>
  <si>
    <t>90 DIAS</t>
  </si>
  <si>
    <t xml:space="preserve">ESTADOS UNIDOS </t>
  </si>
  <si>
    <t>cto 371 de 2019- samc 419-2019 aerotecnica suscrito dic 2019</t>
  </si>
  <si>
    <t>cto 235 de 2018- LP 187-2018 AVIOELECTRONICA INC suscrito OCT 2018 USD</t>
  </si>
  <si>
    <t xml:space="preserve"> VALOR UNITARIO SIN IVA</t>
  </si>
  <si>
    <t>VALOR UNITARIO CON IVA</t>
  </si>
  <si>
    <t>VR UNITARIO SIN IVA</t>
  </si>
  <si>
    <t>IVA</t>
  </si>
  <si>
    <t>VR UNITARIO CON IVA</t>
  </si>
  <si>
    <t>VR HISTORICO ACTUALIZADO A jUNIO 2022 VH*</t>
  </si>
  <si>
    <t>VR HISTORICO ACTUALIZADO A JUNIO 2022</t>
  </si>
  <si>
    <t>cto 147 de 2021- lp096-2021AEROTECNICA SAS suscrito junio2021 VH*(IPC ACTUAL/IPC INICIAL) VH*(118,70/109,14)</t>
  </si>
  <si>
    <t>cto 371 de 2019- samc 419-2019 aerotecnica suscrito dic 2019 VH*(IPC ACTUAL/IPC INICIAL) VH*(118,70/103,80)</t>
  </si>
  <si>
    <t>VR HISTORICO UNITARIO USD 2018</t>
  </si>
  <si>
    <t>VR ACTUALIZADO A 2019</t>
  </si>
  <si>
    <t>VR ACTUALIZADO A 2022 COP</t>
  </si>
  <si>
    <t>VR ACTUALIZADO A 2020</t>
  </si>
  <si>
    <t>VR ACTUALIZADO A 2021</t>
  </si>
  <si>
    <t>VR ACTUALIZADO A 2022</t>
  </si>
  <si>
    <t>ULTIMO VALOR HISTORICO ACTUALIZADO</t>
  </si>
  <si>
    <t>HISTORICO</t>
  </si>
  <si>
    <t>mayor valor</t>
  </si>
  <si>
    <t>promedio</t>
  </si>
  <si>
    <t>media geometrica</t>
  </si>
  <si>
    <t>mediana</t>
  </si>
  <si>
    <t>menor valor</t>
  </si>
  <si>
    <t>criterio</t>
  </si>
  <si>
    <t>plazo de entrega</t>
  </si>
  <si>
    <t>VARIABLES ECONOMICAS</t>
  </si>
  <si>
    <t>DESVIACION ESTANDAR</t>
  </si>
  <si>
    <t>DISPERSION</t>
  </si>
  <si>
    <t xml:space="preserve">menor valor </t>
  </si>
  <si>
    <t>precio de referencia unitario sin iva</t>
  </si>
  <si>
    <t>precio de referencia con iva</t>
  </si>
  <si>
    <t>lote. 41 conforme al analisis de mercado se establece  precio de referencia sin IVA conforme al lugar de prestacion del servicio</t>
  </si>
  <si>
    <t>lote 43. conforme al analisis de mercado se establece la necesidad de proyectar precio de referencia con IVA conforme al lugar de prestacion del servicio</t>
  </si>
  <si>
    <t>COTIZACIONES</t>
  </si>
  <si>
    <t>precio de referencia sin IVA</t>
  </si>
  <si>
    <t>VR COTIZADO SIN IVA</t>
  </si>
  <si>
    <t>PRIORIZACION DE LA NECESIDAD</t>
  </si>
  <si>
    <t>CANTIDAD A ADQUIRIR</t>
  </si>
  <si>
    <t>VR TOTAL CON IVA CANTIDAD MINIMA  A ADQUIRIR</t>
  </si>
  <si>
    <t>VR  TOTAL SIN IVA CANTIDAD MINIMA  A ADQUIRIR</t>
  </si>
  <si>
    <t>Lote No. 36 SERVICIO DE OVH PARA HÉLICE HC-B4TN-5FL</t>
  </si>
  <si>
    <t xml:space="preserve">NACIONAL O EXTRANJERO CON SUCURSAL EN COLOMBIA    PESOS </t>
  </si>
  <si>
    <t xml:space="preserve">EXTRANJERO SIN SUCURSAL EN COLOMBIA USD </t>
  </si>
  <si>
    <t>VR TOTAL DE LA NECESIDAD</t>
  </si>
  <si>
    <t>CUBRIMIENTO</t>
  </si>
  <si>
    <t>LIMITACION</t>
  </si>
  <si>
    <t>PRECIO DE REFERENCIA UNITARIO EN PESOS</t>
  </si>
  <si>
    <t>PRECIO DE REFERENCIA TOTAL EN PESOS</t>
  </si>
  <si>
    <t>PRECIO DE REFERENCIA UNITARIO EN DOLARES</t>
  </si>
  <si>
    <t>PRECIO DE REFERENCIA TOTAL EN DOLARES</t>
  </si>
  <si>
    <t>PRESUPUESTO OFICIAL EN DOLARES</t>
  </si>
  <si>
    <t>SERVICIOS</t>
  </si>
  <si>
    <t>LOTE</t>
  </si>
  <si>
    <t>TOTAL PRESUPUESTO OFICIAL PROYECTADO CON TRM 4150 MDN</t>
  </si>
  <si>
    <t>pto asignado</t>
  </si>
  <si>
    <t>diferencia para ajuste por efecto presupuestal</t>
  </si>
  <si>
    <t xml:space="preserve">Opcional de compra </t>
  </si>
  <si>
    <t>PRESUPUESTO OFICIAL EN PESOS A UNA TRM 4600</t>
  </si>
  <si>
    <t xml:space="preserve">45  días </t>
  </si>
  <si>
    <t xml:space="preserve">Lote No. 41  REPARACIÓN  GEARBOX Y HOT SECTION INPECTION MOTOR TPE331-72-2168 TPE 331-72-2267  </t>
  </si>
  <si>
    <t>VR HISTORICO ACTUALIZADO A AGOSTO 2022</t>
  </si>
  <si>
    <t>cto 147 de 2021- LP096-2021AEROTECNICA SAS suscrito junio2021 VH*(IPC ACTUAL/IPC INICIAL) VH*(120,27/109,14)</t>
  </si>
  <si>
    <t>DESCRIPCIÓN:   AERONAVE CASA 212-100
Identificación del Activo Fijo: EJC1122, EJC1123, EJC 1129
Número del Activo Fijo: 167500004297- 165500025854- 163600005033</t>
  </si>
  <si>
    <t>N/A</t>
  </si>
  <si>
    <t>OVERHAUL</t>
  </si>
  <si>
    <r>
      <rPr>
        <b/>
        <sz val="10"/>
        <rFont val="Arial Narrow"/>
        <family val="2"/>
      </rPr>
      <t>DESCRIPCIÓN:</t>
    </r>
    <r>
      <rPr>
        <sz val="10"/>
        <rFont val="Arial Narrow"/>
        <family val="2"/>
      </rPr>
      <t xml:space="preserve">   </t>
    </r>
    <r>
      <rPr>
        <b/>
        <sz val="10"/>
        <rFont val="Arial Narrow"/>
        <family val="2"/>
      </rPr>
      <t>AERONAVE CASA 212-100</t>
    </r>
    <r>
      <rPr>
        <sz val="10"/>
        <rFont val="Arial Narrow"/>
        <family val="2"/>
      </rPr>
      <t xml:space="preserve">
Identificación del Activo Fijo: EJC1122, EJC1123, EJC 1129
Número del Activo Fijo: 167500004297- 165500025854- 163600005033</t>
    </r>
  </si>
  <si>
    <r>
      <rPr>
        <b/>
        <sz val="10"/>
        <rFont val="Arial Narrow"/>
        <family val="2"/>
      </rPr>
      <t>TOTAL INCLUIDO IVA
SI APLICA</t>
    </r>
  </si>
  <si>
    <r>
      <rPr>
        <sz val="10"/>
        <rFont val="Arial Narrow"/>
        <family val="2"/>
      </rPr>
      <t>REPARACIÓN  GEARBOX Y HOT SECTION INPECTION , CUMPLIMIENTO BOLETINES DE SERVICIOS Y AIRWORTHINES DIRECTIVE MANDATORIAS A LA FECHA, CUMPLIMIENTO AD2018-13- 05  SB TPE331-72-2168 TPE 331-72-
2267</t>
    </r>
  </si>
  <si>
    <r>
      <rPr>
        <b/>
        <sz val="10"/>
        <rFont val="Arial Narrow"/>
        <family val="2"/>
      </rPr>
      <t>TOTAL
INCLUIDO IVA SI APLICA</t>
    </r>
  </si>
  <si>
    <t>CLASIFICADOR POR OBJETO DEL GASTO  A-02-02-02-008-007</t>
  </si>
  <si>
    <t>NOMBRE CUENTA Servicios de mantenimiento, reparación e instalación (excepto servicios de construcción)</t>
  </si>
  <si>
    <t>AEROTECNICA</t>
  </si>
  <si>
    <t>VR HISTORICO ACTUALIZADO A AGT 2022 VH*</t>
  </si>
  <si>
    <t>PLAZO DE ENTREGA ESTABLECIDA POR COMITÉ TECNICO</t>
  </si>
  <si>
    <t>OBS</t>
  </si>
  <si>
    <t xml:space="preserve">45 Dias </t>
  </si>
  <si>
    <t>LOTE 34</t>
  </si>
  <si>
    <t>LOTE 35</t>
  </si>
  <si>
    <t>LOTE 36</t>
  </si>
  <si>
    <t>LOTE 37</t>
  </si>
  <si>
    <t>LOTE 38</t>
  </si>
  <si>
    <t xml:space="preserve">Presupuesto signado </t>
  </si>
  <si>
    <t xml:space="preserve">Diferencia </t>
  </si>
  <si>
    <t xml:space="preserve">Lote No. 34  REPARACIÓN  GEARBOX Y HOT SECTION INPECTION MOTOR TPE331-72-2168 TPE 331-72-2267  </t>
  </si>
  <si>
    <t xml:space="preserve">Lote No.34  REPARACIÓN  GEARBOX Y HOT SECTION INPECTION MOTOR TPE331-72-2168 TPE 331-72-2267  </t>
  </si>
  <si>
    <t>CANTIDAD MINIMA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</si>
</sst>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[$USD]\ #,##0.00;[Red][$USD]\ #,##0.00"/>
    <numFmt numFmtId="168" formatCode="_-&quot;$&quot;* #,##0.00_-;\-&quot;$&quot;* #,##0.00_-;_-&quot;$&quot;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DD09C4"/>
      <name val="Arial Narrow"/>
      <family val="2"/>
    </font>
    <font>
      <sz val="10"/>
      <color rgb="FFFF000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5DFB4"/>
      </patternFill>
    </fill>
    <fill>
      <patternFill patternType="solid">
        <fgColor rgb="FFCC99FF"/>
        <bgColor indexed="64"/>
      </patternFill>
    </fill>
    <fill>
      <patternFill patternType="solid">
        <fgColor rgb="FFCCCC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9D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6">
    <xf numFmtId="0" fontId="0" fillId="0" borderId="0" xfId="0"/>
    <xf numFmtId="0" fontId="6" fillId="0" borderId="0" xfId="0" applyFont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Border="1" applyAlignment="1" applyProtection="1">
      <alignment vertical="center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5" fillId="9" borderId="2" xfId="0" applyFont="1" applyFill="1" applyBorder="1" applyAlignment="1" applyProtection="1">
      <protection locked="0"/>
    </xf>
    <xf numFmtId="0" fontId="5" fillId="9" borderId="2" xfId="0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5" fillId="6" borderId="2" xfId="0" applyFont="1" applyFill="1" applyBorder="1" applyAlignment="1" applyProtection="1">
      <alignment horizontal="center" vertical="center" textRotation="90"/>
      <protection locked="0"/>
    </xf>
    <xf numFmtId="0" fontId="6" fillId="4" borderId="2" xfId="0" applyFont="1" applyFill="1" applyBorder="1" applyAlignment="1" applyProtection="1">
      <alignment horizontal="left" vertical="center"/>
      <protection locked="0"/>
    </xf>
    <xf numFmtId="165" fontId="6" fillId="4" borderId="2" xfId="3" applyFont="1" applyFill="1" applyBorder="1" applyAlignment="1" applyProtection="1">
      <alignment horizontal="center" vertical="center"/>
      <protection locked="0"/>
    </xf>
    <xf numFmtId="44" fontId="6" fillId="4" borderId="2" xfId="0" applyNumberFormat="1" applyFont="1" applyFill="1" applyBorder="1" applyAlignment="1" applyProtection="1">
      <alignment vertical="center"/>
      <protection locked="0"/>
    </xf>
    <xf numFmtId="42" fontId="8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64" fontId="3" fillId="0" borderId="0" xfId="4" applyFont="1" applyProtection="1">
      <protection locked="0"/>
    </xf>
    <xf numFmtId="9" fontId="3" fillId="0" borderId="0" xfId="5" applyFont="1" applyProtection="1">
      <protection locked="0"/>
    </xf>
    <xf numFmtId="9" fontId="3" fillId="4" borderId="0" xfId="5" applyFont="1" applyFill="1" applyBorder="1" applyProtection="1">
      <protection locked="0"/>
    </xf>
    <xf numFmtId="0" fontId="3" fillId="4" borderId="0" xfId="0" applyFont="1" applyFill="1" applyBorder="1" applyProtection="1">
      <protection locked="0"/>
    </xf>
    <xf numFmtId="167" fontId="3" fillId="0" borderId="0" xfId="0" applyNumberFormat="1" applyFont="1" applyProtection="1">
      <protection locked="0"/>
    </xf>
    <xf numFmtId="167" fontId="3" fillId="4" borderId="0" xfId="0" applyNumberFormat="1" applyFont="1" applyFill="1" applyBorder="1" applyProtection="1">
      <protection locked="0"/>
    </xf>
    <xf numFmtId="0" fontId="3" fillId="3" borderId="2" xfId="0" applyFont="1" applyFill="1" applyBorder="1" applyProtection="1">
      <protection locked="0"/>
    </xf>
    <xf numFmtId="168" fontId="4" fillId="4" borderId="0" xfId="4" applyNumberFormat="1" applyFont="1" applyFill="1" applyBorder="1" applyAlignment="1" applyProtection="1">
      <alignment horizontal="center" vertical="center" wrapText="1"/>
      <protection locked="0"/>
    </xf>
    <xf numFmtId="167" fontId="4" fillId="4" borderId="0" xfId="4" applyNumberFormat="1" applyFont="1" applyFill="1" applyBorder="1" applyAlignment="1" applyProtection="1">
      <alignment horizontal="center" vertical="center" wrapText="1"/>
      <protection locked="0"/>
    </xf>
    <xf numFmtId="167" fontId="4" fillId="4" borderId="2" xfId="4" applyNumberFormat="1" applyFont="1" applyFill="1" applyBorder="1" applyAlignment="1" applyProtection="1">
      <alignment horizontal="center" vertical="center" wrapText="1"/>
      <protection locked="0"/>
    </xf>
    <xf numFmtId="168" fontId="4" fillId="9" borderId="2" xfId="4" applyNumberFormat="1" applyFont="1" applyFill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 applyProtection="1">
      <alignment vertical="center" wrapText="1"/>
      <protection locked="0"/>
    </xf>
    <xf numFmtId="0" fontId="7" fillId="15" borderId="2" xfId="0" applyFont="1" applyFill="1" applyBorder="1" applyAlignment="1" applyProtection="1">
      <alignment vertical="center" wrapText="1"/>
      <protection locked="0"/>
    </xf>
    <xf numFmtId="0" fontId="7" fillId="15" borderId="5" xfId="0" applyFont="1" applyFill="1" applyBorder="1" applyAlignment="1" applyProtection="1">
      <alignment vertical="center" wrapText="1"/>
      <protection locked="0"/>
    </xf>
    <xf numFmtId="0" fontId="7" fillId="15" borderId="2" xfId="0" applyFont="1" applyFill="1" applyBorder="1" applyAlignment="1" applyProtection="1">
      <alignment horizontal="center" vertical="center" wrapText="1"/>
      <protection locked="0"/>
    </xf>
    <xf numFmtId="164" fontId="4" fillId="19" borderId="2" xfId="4" applyFont="1" applyFill="1" applyBorder="1" applyProtection="1">
      <protection locked="0"/>
    </xf>
    <xf numFmtId="9" fontId="4" fillId="20" borderId="2" xfId="5" applyFont="1" applyFill="1" applyBorder="1" applyProtection="1">
      <protection locked="0"/>
    </xf>
    <xf numFmtId="9" fontId="4" fillId="20" borderId="5" xfId="5" applyFont="1" applyFill="1" applyBorder="1" applyProtection="1">
      <protection locked="0"/>
    </xf>
    <xf numFmtId="9" fontId="4" fillId="4" borderId="0" xfId="5" applyFont="1" applyFill="1" applyBorder="1" applyProtection="1">
      <protection locked="0"/>
    </xf>
    <xf numFmtId="168" fontId="4" fillId="21" borderId="2" xfId="4" applyNumberFormat="1" applyFont="1" applyFill="1" applyBorder="1" applyAlignment="1" applyProtection="1">
      <alignment horizontal="center" vertical="center" wrapText="1"/>
      <protection locked="0"/>
    </xf>
    <xf numFmtId="167" fontId="4" fillId="21" borderId="2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Protection="1">
      <protection locked="0"/>
    </xf>
    <xf numFmtId="168" fontId="3" fillId="0" borderId="2" xfId="4" applyNumberFormat="1" applyFont="1" applyBorder="1" applyProtection="1">
      <protection locked="0"/>
    </xf>
    <xf numFmtId="168" fontId="3" fillId="0" borderId="0" xfId="4" applyNumberFormat="1" applyFont="1" applyProtection="1">
      <protection locked="0"/>
    </xf>
    <xf numFmtId="168" fontId="3" fillId="15" borderId="2" xfId="0" applyNumberFormat="1" applyFont="1" applyFill="1" applyBorder="1" applyProtection="1">
      <protection locked="0"/>
    </xf>
    <xf numFmtId="164" fontId="3" fillId="0" borderId="2" xfId="4" applyFont="1" applyBorder="1" applyProtection="1">
      <protection locked="0"/>
    </xf>
    <xf numFmtId="9" fontId="3" fillId="0" borderId="2" xfId="5" applyFont="1" applyBorder="1" applyProtection="1">
      <protection locked="0"/>
    </xf>
    <xf numFmtId="0" fontId="9" fillId="0" borderId="0" xfId="0" applyFont="1" applyAlignment="1" applyProtection="1">
      <alignment wrapText="1"/>
      <protection locked="0"/>
    </xf>
    <xf numFmtId="9" fontId="3" fillId="0" borderId="5" xfId="5" applyFont="1" applyBorder="1" applyProtection="1">
      <protection locked="0"/>
    </xf>
    <xf numFmtId="164" fontId="3" fillId="0" borderId="2" xfId="0" applyNumberFormat="1" applyFont="1" applyBorder="1" applyProtection="1">
      <protection locked="0"/>
    </xf>
    <xf numFmtId="164" fontId="3" fillId="4" borderId="0" xfId="0" applyNumberFormat="1" applyFont="1" applyFill="1" applyBorder="1" applyProtection="1">
      <protection locked="0"/>
    </xf>
    <xf numFmtId="167" fontId="3" fillId="0" borderId="2" xfId="0" applyNumberFormat="1" applyFont="1" applyBorder="1" applyProtection="1">
      <protection locked="0"/>
    </xf>
    <xf numFmtId="0" fontId="7" fillId="6" borderId="2" xfId="0" applyFont="1" applyFill="1" applyBorder="1" applyAlignment="1" applyProtection="1">
      <alignment vertical="center" wrapText="1"/>
      <protection locked="0"/>
    </xf>
    <xf numFmtId="0" fontId="7" fillId="8" borderId="2" xfId="0" applyFont="1" applyFill="1" applyBorder="1" applyAlignment="1" applyProtection="1">
      <alignment horizontal="center" vertical="center" wrapText="1"/>
      <protection locked="0"/>
    </xf>
    <xf numFmtId="0" fontId="5" fillId="12" borderId="9" xfId="0" applyFont="1" applyFill="1" applyBorder="1" applyAlignment="1" applyProtection="1">
      <alignment horizontal="center" vertical="center" wrapText="1"/>
      <protection locked="0"/>
    </xf>
    <xf numFmtId="0" fontId="5" fillId="12" borderId="9" xfId="0" applyFont="1" applyFill="1" applyBorder="1" applyAlignment="1" applyProtection="1">
      <alignment horizontal="left" vertical="top" wrapText="1"/>
      <protection locked="0"/>
    </xf>
    <xf numFmtId="0" fontId="5" fillId="12" borderId="9" xfId="0" applyFont="1" applyFill="1" applyBorder="1" applyAlignment="1" applyProtection="1">
      <alignment horizontal="left" vertical="center" wrapText="1" indent="1"/>
      <protection locked="0"/>
    </xf>
    <xf numFmtId="0" fontId="3" fillId="12" borderId="10" xfId="0" applyFont="1" applyFill="1" applyBorder="1" applyAlignment="1" applyProtection="1">
      <alignment horizontal="left" vertical="top" wrapText="1"/>
      <protection locked="0"/>
    </xf>
    <xf numFmtId="0" fontId="3" fillId="8" borderId="2" xfId="0" applyFont="1" applyFill="1" applyBorder="1" applyAlignment="1" applyProtection="1">
      <alignment horizontal="left" vertical="top" wrapText="1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44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2" xfId="0" applyNumberFormat="1" applyFont="1" applyBorder="1" applyProtection="1">
      <protection locked="0"/>
    </xf>
    <xf numFmtId="0" fontId="6" fillId="0" borderId="9" xfId="0" applyFont="1" applyFill="1" applyBorder="1" applyAlignment="1" applyProtection="1">
      <alignment horizontal="center" vertical="top" wrapText="1"/>
      <protection locked="0"/>
    </xf>
    <xf numFmtId="4" fontId="8" fillId="0" borderId="9" xfId="0" applyNumberFormat="1" applyFont="1" applyFill="1" applyBorder="1" applyAlignment="1" applyProtection="1">
      <alignment horizontal="right" vertical="top" shrinkToFit="1"/>
      <protection locked="0"/>
    </xf>
    <xf numFmtId="4" fontId="8" fillId="0" borderId="10" xfId="0" applyNumberFormat="1" applyFont="1" applyFill="1" applyBorder="1" applyAlignment="1" applyProtection="1">
      <alignment horizontal="right" vertical="top" shrinkToFit="1"/>
      <protection locked="0"/>
    </xf>
    <xf numFmtId="168" fontId="8" fillId="0" borderId="2" xfId="4" applyNumberFormat="1" applyFont="1" applyFill="1" applyBorder="1" applyAlignment="1" applyProtection="1">
      <alignment horizontal="right" vertical="top" shrinkToFit="1"/>
      <protection locked="0"/>
    </xf>
    <xf numFmtId="42" fontId="3" fillId="0" borderId="2" xfId="0" applyNumberFormat="1" applyFont="1" applyBorder="1" applyProtection="1">
      <protection locked="0"/>
    </xf>
    <xf numFmtId="168" fontId="3" fillId="15" borderId="0" xfId="0" applyNumberFormat="1" applyFont="1" applyFill="1" applyProtection="1">
      <protection locked="0"/>
    </xf>
    <xf numFmtId="164" fontId="3" fillId="0" borderId="0" xfId="0" applyNumberFormat="1" applyFont="1" applyProtection="1">
      <protection locked="0"/>
    </xf>
    <xf numFmtId="167" fontId="3" fillId="0" borderId="2" xfId="5" applyNumberFormat="1" applyFont="1" applyBorder="1" applyProtection="1">
      <protection locked="0"/>
    </xf>
    <xf numFmtId="0" fontId="3" fillId="0" borderId="2" xfId="0" applyNumberFormat="1" applyFont="1" applyBorder="1" applyProtection="1">
      <protection locked="0"/>
    </xf>
    <xf numFmtId="167" fontId="4" fillId="0" borderId="2" xfId="5" applyNumberFormat="1" applyFont="1" applyBorder="1" applyProtection="1">
      <protection locked="0"/>
    </xf>
    <xf numFmtId="0" fontId="4" fillId="18" borderId="7" xfId="0" applyFont="1" applyFill="1" applyBorder="1" applyAlignment="1" applyProtection="1">
      <protection locked="0"/>
    </xf>
    <xf numFmtId="0" fontId="4" fillId="18" borderId="6" xfId="0" applyFont="1" applyFill="1" applyBorder="1" applyAlignment="1" applyProtection="1"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left" vertical="center"/>
      <protection locked="0"/>
    </xf>
    <xf numFmtId="0" fontId="3" fillId="0" borderId="0" xfId="0" applyFont="1" applyProtection="1">
      <protection hidden="1"/>
    </xf>
    <xf numFmtId="0" fontId="4" fillId="18" borderId="5" xfId="0" applyFont="1" applyFill="1" applyBorder="1" applyAlignment="1" applyProtection="1">
      <protection hidden="1"/>
    </xf>
    <xf numFmtId="0" fontId="4" fillId="4" borderId="7" xfId="0" applyFont="1" applyFill="1" applyBorder="1" applyAlignment="1" applyProtection="1">
      <protection hidden="1"/>
    </xf>
    <xf numFmtId="0" fontId="3" fillId="6" borderId="5" xfId="0" applyFont="1" applyFill="1" applyBorder="1" applyAlignment="1" applyProtection="1">
      <protection hidden="1"/>
    </xf>
    <xf numFmtId="0" fontId="3" fillId="6" borderId="7" xfId="0" applyFont="1" applyFill="1" applyBorder="1" applyAlignment="1" applyProtection="1">
      <protection hidden="1"/>
    </xf>
    <xf numFmtId="0" fontId="3" fillId="6" borderId="6" xfId="0" applyFont="1" applyFill="1" applyBorder="1" applyAlignment="1" applyProtection="1">
      <protection hidden="1"/>
    </xf>
    <xf numFmtId="0" fontId="3" fillId="11" borderId="5" xfId="0" applyFont="1" applyFill="1" applyBorder="1" applyAlignment="1" applyProtection="1">
      <protection hidden="1"/>
    </xf>
    <xf numFmtId="0" fontId="3" fillId="11" borderId="7" xfId="0" applyFont="1" applyFill="1" applyBorder="1" applyAlignment="1" applyProtection="1">
      <protection hidden="1"/>
    </xf>
    <xf numFmtId="0" fontId="3" fillId="11" borderId="6" xfId="0" applyFont="1" applyFill="1" applyBorder="1" applyAlignment="1" applyProtection="1">
      <protection hidden="1"/>
    </xf>
    <xf numFmtId="0" fontId="3" fillId="9" borderId="5" xfId="0" applyFont="1" applyFill="1" applyBorder="1" applyAlignment="1" applyProtection="1">
      <protection hidden="1"/>
    </xf>
    <xf numFmtId="0" fontId="3" fillId="9" borderId="7" xfId="0" applyFont="1" applyFill="1" applyBorder="1" applyAlignment="1" applyProtection="1">
      <protection hidden="1"/>
    </xf>
    <xf numFmtId="0" fontId="3" fillId="9" borderId="6" xfId="0" applyFont="1" applyFill="1" applyBorder="1" applyAlignment="1" applyProtection="1">
      <protection hidden="1"/>
    </xf>
    <xf numFmtId="0" fontId="3" fillId="13" borderId="5" xfId="0" applyFont="1" applyFill="1" applyBorder="1" applyAlignment="1" applyProtection="1">
      <protection hidden="1"/>
    </xf>
    <xf numFmtId="0" fontId="3" fillId="13" borderId="7" xfId="0" applyFont="1" applyFill="1" applyBorder="1" applyAlignment="1" applyProtection="1">
      <protection hidden="1"/>
    </xf>
    <xf numFmtId="0" fontId="3" fillId="13" borderId="6" xfId="0" applyFont="1" applyFill="1" applyBorder="1" applyAlignment="1" applyProtection="1">
      <protection hidden="1"/>
    </xf>
    <xf numFmtId="0" fontId="5" fillId="4" borderId="0" xfId="0" applyFont="1" applyFill="1" applyBorder="1" applyAlignment="1" applyProtection="1">
      <alignment vertical="center" wrapText="1"/>
      <protection hidden="1"/>
    </xf>
    <xf numFmtId="0" fontId="5" fillId="3" borderId="13" xfId="0" applyFont="1" applyFill="1" applyBorder="1" applyAlignment="1" applyProtection="1">
      <alignment vertical="center" wrapText="1"/>
      <protection hidden="1"/>
    </xf>
    <xf numFmtId="0" fontId="5" fillId="3" borderId="14" xfId="0" applyFont="1" applyFill="1" applyBorder="1" applyAlignment="1" applyProtection="1">
      <alignment vertical="center" wrapText="1"/>
      <protection hidden="1"/>
    </xf>
    <xf numFmtId="0" fontId="5" fillId="3" borderId="15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5" fillId="3" borderId="4" xfId="0" applyFont="1" applyFill="1" applyBorder="1" applyAlignment="1" applyProtection="1">
      <alignment vertical="center" wrapText="1"/>
      <protection hidden="1"/>
    </xf>
    <xf numFmtId="0" fontId="5" fillId="3" borderId="1" xfId="0" applyFont="1" applyFill="1" applyBorder="1" applyAlignment="1" applyProtection="1">
      <alignment vertical="center" wrapText="1"/>
      <protection hidden="1"/>
    </xf>
    <xf numFmtId="0" fontId="5" fillId="3" borderId="12" xfId="0" applyFont="1" applyFill="1" applyBorder="1" applyAlignment="1" applyProtection="1">
      <alignment vertical="center" wrapText="1"/>
      <protection hidden="1"/>
    </xf>
    <xf numFmtId="0" fontId="6" fillId="4" borderId="0" xfId="0" applyFont="1" applyFill="1" applyBorder="1" applyAlignment="1" applyProtection="1">
      <alignment vertical="center"/>
      <protection hidden="1"/>
    </xf>
    <xf numFmtId="0" fontId="3" fillId="4" borderId="0" xfId="0" applyFont="1" applyFill="1" applyBorder="1" applyProtection="1">
      <protection hidden="1"/>
    </xf>
    <xf numFmtId="0" fontId="5" fillId="5" borderId="5" xfId="0" applyFont="1" applyFill="1" applyBorder="1" applyAlignment="1" applyProtection="1">
      <alignment vertical="center" wrapText="1"/>
      <protection hidden="1"/>
    </xf>
    <xf numFmtId="0" fontId="5" fillId="5" borderId="7" xfId="0" applyFont="1" applyFill="1" applyBorder="1" applyAlignment="1" applyProtection="1">
      <alignment vertical="center" wrapText="1"/>
      <protection hidden="1"/>
    </xf>
    <xf numFmtId="0" fontId="5" fillId="5" borderId="6" xfId="0" applyFont="1" applyFill="1" applyBorder="1" applyAlignment="1" applyProtection="1">
      <alignment vertical="center" wrapText="1"/>
      <protection hidden="1"/>
    </xf>
    <xf numFmtId="0" fontId="5" fillId="5" borderId="1" xfId="0" applyFont="1" applyFill="1" applyBorder="1" applyAlignment="1" applyProtection="1">
      <alignment vertical="center" wrapText="1"/>
      <protection hidden="1"/>
    </xf>
    <xf numFmtId="0" fontId="6" fillId="4" borderId="0" xfId="0" applyFont="1" applyFill="1" applyBorder="1" applyAlignment="1" applyProtection="1">
      <alignment horizontal="left" vertical="center" wrapText="1"/>
      <protection hidden="1"/>
    </xf>
    <xf numFmtId="0" fontId="6" fillId="5" borderId="5" xfId="0" applyFont="1" applyFill="1" applyBorder="1" applyAlignment="1" applyProtection="1">
      <alignment horizontal="left" vertical="center" wrapText="1"/>
      <protection hidden="1"/>
    </xf>
    <xf numFmtId="0" fontId="6" fillId="5" borderId="7" xfId="0" applyFont="1" applyFill="1" applyBorder="1" applyAlignment="1" applyProtection="1">
      <alignment horizontal="left" vertical="center" wrapText="1"/>
      <protection hidden="1"/>
    </xf>
    <xf numFmtId="0" fontId="6" fillId="5" borderId="6" xfId="0" applyFont="1" applyFill="1" applyBorder="1" applyAlignment="1" applyProtection="1">
      <alignment horizontal="left" vertical="center" wrapText="1"/>
      <protection hidden="1"/>
    </xf>
    <xf numFmtId="0" fontId="6" fillId="5" borderId="2" xfId="0" applyFont="1" applyFill="1" applyBorder="1" applyAlignment="1" applyProtection="1">
      <alignment vertical="center" wrapText="1"/>
      <protection hidden="1"/>
    </xf>
    <xf numFmtId="0" fontId="6" fillId="4" borderId="0" xfId="0" applyFont="1" applyFill="1" applyBorder="1" applyAlignment="1" applyProtection="1">
      <alignment vertical="center" wrapText="1"/>
      <protection hidden="1"/>
    </xf>
    <xf numFmtId="0" fontId="5" fillId="5" borderId="6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vertical="center" wrapText="1"/>
      <protection hidden="1"/>
    </xf>
    <xf numFmtId="0" fontId="5" fillId="4" borderId="7" xfId="0" applyFont="1" applyFill="1" applyBorder="1" applyAlignment="1" applyProtection="1">
      <alignment vertical="center" wrapText="1"/>
      <protection hidden="1"/>
    </xf>
    <xf numFmtId="0" fontId="6" fillId="4" borderId="6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6" fillId="4" borderId="11" xfId="0" applyFont="1" applyFill="1" applyBorder="1" applyAlignment="1" applyProtection="1">
      <alignment horizontal="center" vertical="center" wrapText="1"/>
      <protection hidden="1"/>
    </xf>
    <xf numFmtId="0" fontId="5" fillId="7" borderId="2" xfId="0" applyFont="1" applyFill="1" applyBorder="1" applyAlignment="1" applyProtection="1">
      <alignment vertical="center"/>
      <protection hidden="1"/>
    </xf>
    <xf numFmtId="0" fontId="5" fillId="7" borderId="5" xfId="0" applyFont="1" applyFill="1" applyBorder="1" applyAlignment="1" applyProtection="1">
      <alignment vertical="center" wrapText="1"/>
      <protection hidden="1"/>
    </xf>
    <xf numFmtId="0" fontId="5" fillId="7" borderId="2" xfId="0" applyFont="1" applyFill="1" applyBorder="1" applyAlignment="1" applyProtection="1">
      <alignment vertical="center" wrapText="1"/>
      <protection hidden="1"/>
    </xf>
    <xf numFmtId="0" fontId="7" fillId="7" borderId="2" xfId="0" applyFont="1" applyFill="1" applyBorder="1" applyAlignment="1" applyProtection="1">
      <alignment vertical="center" wrapText="1"/>
      <protection hidden="1"/>
    </xf>
    <xf numFmtId="0" fontId="7" fillId="8" borderId="2" xfId="0" applyFont="1" applyFill="1" applyBorder="1" applyAlignment="1" applyProtection="1">
      <alignment vertical="center" wrapText="1"/>
      <protection hidden="1"/>
    </xf>
    <xf numFmtId="0" fontId="5" fillId="14" borderId="9" xfId="0" applyFont="1" applyFill="1" applyBorder="1" applyAlignment="1" applyProtection="1">
      <alignment vertical="center" wrapText="1"/>
      <protection hidden="1"/>
    </xf>
    <xf numFmtId="0" fontId="3" fillId="14" borderId="10" xfId="0" applyFont="1" applyFill="1" applyBorder="1" applyAlignment="1" applyProtection="1">
      <alignment vertical="center" wrapText="1"/>
      <protection hidden="1"/>
    </xf>
    <xf numFmtId="0" fontId="4" fillId="8" borderId="2" xfId="0" applyFont="1" applyFill="1" applyBorder="1" applyAlignment="1" applyProtection="1">
      <alignment vertical="center" wrapText="1"/>
      <protection hidden="1"/>
    </xf>
    <xf numFmtId="0" fontId="5" fillId="4" borderId="2" xfId="0" applyFont="1" applyFill="1" applyBorder="1" applyAlignment="1" applyProtection="1">
      <alignment vertical="center" wrapText="1"/>
      <protection hidden="1"/>
    </xf>
    <xf numFmtId="0" fontId="6" fillId="4" borderId="5" xfId="0" applyFont="1" applyFill="1" applyBorder="1" applyAlignment="1" applyProtection="1">
      <alignment vertical="center" wrapText="1"/>
      <protection hidden="1"/>
    </xf>
    <xf numFmtId="0" fontId="6" fillId="4" borderId="2" xfId="0" applyFont="1" applyFill="1" applyBorder="1" applyAlignment="1" applyProtection="1">
      <alignment vertical="center" wrapText="1"/>
      <protection hidden="1"/>
    </xf>
    <xf numFmtId="0" fontId="6" fillId="4" borderId="2" xfId="0" applyFont="1" applyFill="1" applyBorder="1" applyAlignment="1" applyProtection="1">
      <alignment vertical="center"/>
      <protection hidden="1"/>
    </xf>
    <xf numFmtId="165" fontId="3" fillId="0" borderId="2" xfId="3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44" fontId="3" fillId="0" borderId="2" xfId="0" applyNumberFormat="1" applyFont="1" applyBorder="1" applyAlignment="1" applyProtection="1">
      <alignment vertical="center"/>
      <protection hidden="1"/>
    </xf>
    <xf numFmtId="167" fontId="8" fillId="0" borderId="9" xfId="0" applyNumberFormat="1" applyFont="1" applyFill="1" applyBorder="1" applyAlignment="1" applyProtection="1">
      <alignment vertical="center" shrinkToFit="1"/>
      <protection hidden="1"/>
    </xf>
    <xf numFmtId="168" fontId="3" fillId="0" borderId="2" xfId="4" applyNumberFormat="1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 wrapText="1"/>
      <protection hidden="1"/>
    </xf>
    <xf numFmtId="0" fontId="3" fillId="0" borderId="2" xfId="0" applyFont="1" applyFill="1" applyBorder="1" applyAlignment="1" applyProtection="1">
      <alignment vertical="center" wrapText="1"/>
      <protection hidden="1"/>
    </xf>
    <xf numFmtId="0" fontId="4" fillId="0" borderId="2" xfId="0" applyFont="1" applyBorder="1" applyAlignment="1" applyProtection="1">
      <alignment vertical="center" wrapText="1"/>
      <protection hidden="1"/>
    </xf>
    <xf numFmtId="0" fontId="3" fillId="0" borderId="9" xfId="0" applyFont="1" applyFill="1" applyBorder="1" applyAlignment="1" applyProtection="1">
      <alignment vertical="center" wrapText="1"/>
      <protection hidden="1"/>
    </xf>
    <xf numFmtId="167" fontId="6" fillId="0" borderId="9" xfId="0" applyNumberFormat="1" applyFont="1" applyFill="1" applyBorder="1" applyAlignment="1" applyProtection="1">
      <alignment vertical="center" wrapText="1"/>
      <protection hidden="1"/>
    </xf>
    <xf numFmtId="167" fontId="8" fillId="0" borderId="10" xfId="0" applyNumberFormat="1" applyFont="1" applyFill="1" applyBorder="1" applyAlignment="1" applyProtection="1">
      <alignment vertical="center" shrinkToFit="1"/>
      <protection hidden="1"/>
    </xf>
    <xf numFmtId="0" fontId="5" fillId="6" borderId="2" xfId="0" applyFont="1" applyFill="1" applyBorder="1" applyAlignment="1" applyProtection="1">
      <alignment horizontal="center" vertical="center" textRotation="90"/>
      <protection hidden="1"/>
    </xf>
    <xf numFmtId="0" fontId="5" fillId="6" borderId="5" xfId="0" applyFont="1" applyFill="1" applyBorder="1" applyAlignment="1" applyProtection="1">
      <alignment horizontal="center" vertical="center" wrapText="1"/>
      <protection hidden="1"/>
    </xf>
    <xf numFmtId="0" fontId="5" fillId="6" borderId="2" xfId="0" applyFont="1" applyFill="1" applyBorder="1" applyAlignment="1" applyProtection="1">
      <alignment horizontal="center" vertical="center" wrapText="1"/>
      <protection hidden="1"/>
    </xf>
    <xf numFmtId="0" fontId="5" fillId="6" borderId="2" xfId="0" applyFont="1" applyFill="1" applyBorder="1" applyAlignment="1" applyProtection="1">
      <alignment vertical="center" wrapText="1"/>
      <protection hidden="1"/>
    </xf>
    <xf numFmtId="0" fontId="7" fillId="6" borderId="2" xfId="0" applyFont="1" applyFill="1" applyBorder="1" applyAlignment="1" applyProtection="1">
      <alignment vertical="center" wrapText="1"/>
      <protection hidden="1"/>
    </xf>
    <xf numFmtId="0" fontId="7" fillId="8" borderId="2" xfId="0" applyFont="1" applyFill="1" applyBorder="1" applyAlignment="1" applyProtection="1">
      <alignment horizontal="center" vertical="center" wrapText="1"/>
      <protection hidden="1"/>
    </xf>
    <xf numFmtId="0" fontId="5" fillId="12" borderId="9" xfId="0" applyFont="1" applyFill="1" applyBorder="1" applyAlignment="1" applyProtection="1">
      <alignment horizontal="center" vertical="center" wrapText="1"/>
      <protection hidden="1"/>
    </xf>
    <xf numFmtId="0" fontId="5" fillId="12" borderId="9" xfId="0" applyFont="1" applyFill="1" applyBorder="1" applyAlignment="1" applyProtection="1">
      <alignment horizontal="left" vertical="top" wrapText="1"/>
      <protection hidden="1"/>
    </xf>
    <xf numFmtId="0" fontId="5" fillId="12" borderId="9" xfId="0" applyFont="1" applyFill="1" applyBorder="1" applyAlignment="1" applyProtection="1">
      <alignment horizontal="left" vertical="center" wrapText="1" indent="1"/>
      <protection hidden="1"/>
    </xf>
    <xf numFmtId="0" fontId="3" fillId="12" borderId="10" xfId="0" applyFont="1" applyFill="1" applyBorder="1" applyAlignment="1" applyProtection="1">
      <alignment horizontal="left" vertical="top" wrapText="1"/>
      <protection hidden="1"/>
    </xf>
    <xf numFmtId="0" fontId="3" fillId="8" borderId="2" xfId="0" applyFont="1" applyFill="1" applyBorder="1" applyAlignment="1" applyProtection="1">
      <alignment horizontal="left" vertical="top" wrapText="1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6" fillId="4" borderId="5" xfId="0" applyFont="1" applyFill="1" applyBorder="1" applyAlignment="1" applyProtection="1">
      <alignment horizontal="left" vertical="center"/>
      <protection hidden="1"/>
    </xf>
    <xf numFmtId="0" fontId="6" fillId="4" borderId="2" xfId="0" applyFont="1" applyFill="1" applyBorder="1" applyAlignment="1" applyProtection="1">
      <alignment horizontal="center" vertical="center" wrapText="1"/>
      <protection hidden="1"/>
    </xf>
    <xf numFmtId="0" fontId="6" fillId="4" borderId="2" xfId="0" applyFont="1" applyFill="1" applyBorder="1" applyAlignment="1" applyProtection="1">
      <alignment horizontal="left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hidden="1"/>
    </xf>
    <xf numFmtId="0" fontId="10" fillId="4" borderId="2" xfId="0" applyFont="1" applyFill="1" applyBorder="1" applyAlignment="1" applyProtection="1">
      <alignment horizontal="center" vertical="center" wrapText="1"/>
      <protection hidden="1"/>
    </xf>
    <xf numFmtId="165" fontId="6" fillId="4" borderId="2" xfId="3" applyFont="1" applyFill="1" applyBorder="1" applyAlignment="1" applyProtection="1">
      <alignment horizontal="center" vertical="center"/>
      <protection hidden="1"/>
    </xf>
    <xf numFmtId="44" fontId="6" fillId="4" borderId="2" xfId="0" applyNumberFormat="1" applyFont="1" applyFill="1" applyBorder="1" applyAlignment="1" applyProtection="1">
      <alignment horizontal="center" vertical="center" wrapText="1"/>
      <protection hidden="1"/>
    </xf>
    <xf numFmtId="44" fontId="6" fillId="4" borderId="2" xfId="0" applyNumberFormat="1" applyFont="1" applyFill="1" applyBorder="1" applyAlignment="1" applyProtection="1">
      <alignment vertical="center"/>
      <protection hidden="1"/>
    </xf>
    <xf numFmtId="44" fontId="3" fillId="0" borderId="2" xfId="0" applyNumberFormat="1" applyFont="1" applyBorder="1" applyProtection="1">
      <protection hidden="1"/>
    </xf>
    <xf numFmtId="0" fontId="3" fillId="0" borderId="2" xfId="0" applyFont="1" applyBorder="1" applyProtection="1">
      <protection hidden="1"/>
    </xf>
    <xf numFmtId="0" fontId="6" fillId="0" borderId="9" xfId="0" applyFont="1" applyFill="1" applyBorder="1" applyAlignment="1" applyProtection="1">
      <alignment horizontal="center" vertical="top" wrapText="1"/>
      <protection hidden="1"/>
    </xf>
    <xf numFmtId="4" fontId="8" fillId="0" borderId="9" xfId="0" applyNumberFormat="1" applyFont="1" applyFill="1" applyBorder="1" applyAlignment="1" applyProtection="1">
      <alignment horizontal="right" vertical="top" shrinkToFit="1"/>
      <protection hidden="1"/>
    </xf>
    <xf numFmtId="4" fontId="8" fillId="0" borderId="10" xfId="0" applyNumberFormat="1" applyFont="1" applyFill="1" applyBorder="1" applyAlignment="1" applyProtection="1">
      <alignment horizontal="right" vertical="top" shrinkToFit="1"/>
      <protection hidden="1"/>
    </xf>
    <xf numFmtId="168" fontId="8" fillId="0" borderId="2" xfId="4" applyNumberFormat="1" applyFont="1" applyFill="1" applyBorder="1" applyAlignment="1" applyProtection="1">
      <alignment horizontal="right" vertical="top" shrinkToFit="1"/>
      <protection hidden="1"/>
    </xf>
    <xf numFmtId="167" fontId="3" fillId="0" borderId="2" xfId="5" applyNumberFormat="1" applyFont="1" applyBorder="1" applyProtection="1">
      <protection hidden="1"/>
    </xf>
    <xf numFmtId="167" fontId="3" fillId="0" borderId="2" xfId="0" applyNumberFormat="1" applyFont="1" applyBorder="1" applyProtection="1">
      <protection hidden="1"/>
    </xf>
    <xf numFmtId="0" fontId="3" fillId="0" borderId="2" xfId="0" applyNumberFormat="1" applyFont="1" applyBorder="1" applyProtection="1">
      <protection hidden="1"/>
    </xf>
    <xf numFmtId="167" fontId="4" fillId="0" borderId="2" xfId="5" applyNumberFormat="1" applyFont="1" applyBorder="1" applyProtection="1">
      <protection hidden="1"/>
    </xf>
    <xf numFmtId="164" fontId="3" fillId="0" borderId="0" xfId="0" applyNumberFormat="1" applyFont="1" applyProtection="1">
      <protection hidden="1"/>
    </xf>
    <xf numFmtId="0" fontId="4" fillId="18" borderId="7" xfId="0" applyFont="1" applyFill="1" applyBorder="1" applyAlignment="1" applyProtection="1">
      <protection hidden="1"/>
    </xf>
    <xf numFmtId="0" fontId="4" fillId="18" borderId="6" xfId="0" applyFont="1" applyFill="1" applyBorder="1" applyAlignment="1" applyProtection="1">
      <protection hidden="1"/>
    </xf>
    <xf numFmtId="164" fontId="3" fillId="0" borderId="0" xfId="4" applyFont="1" applyProtection="1">
      <protection hidden="1"/>
    </xf>
    <xf numFmtId="9" fontId="3" fillId="0" borderId="0" xfId="5" applyFont="1" applyProtection="1">
      <protection hidden="1"/>
    </xf>
    <xf numFmtId="9" fontId="3" fillId="4" borderId="0" xfId="5" applyFont="1" applyFill="1" applyBorder="1" applyProtection="1">
      <protection hidden="1"/>
    </xf>
    <xf numFmtId="167" fontId="3" fillId="0" borderId="0" xfId="0" applyNumberFormat="1" applyFont="1" applyProtection="1">
      <protection hidden="1"/>
    </xf>
    <xf numFmtId="167" fontId="3" fillId="4" borderId="0" xfId="0" applyNumberFormat="1" applyFont="1" applyFill="1" applyBorder="1" applyProtection="1">
      <protection hidden="1"/>
    </xf>
    <xf numFmtId="0" fontId="4" fillId="10" borderId="5" xfId="0" applyFont="1" applyFill="1" applyBorder="1" applyAlignment="1" applyProtection="1">
      <protection hidden="1"/>
    </xf>
    <xf numFmtId="0" fontId="4" fillId="10" borderId="7" xfId="0" applyFont="1" applyFill="1" applyBorder="1" applyAlignment="1" applyProtection="1">
      <protection hidden="1"/>
    </xf>
    <xf numFmtId="0" fontId="4" fillId="10" borderId="6" xfId="0" applyFont="1" applyFill="1" applyBorder="1" applyAlignment="1" applyProtection="1">
      <protection hidden="1"/>
    </xf>
    <xf numFmtId="0" fontId="3" fillId="3" borderId="2" xfId="0" applyFont="1" applyFill="1" applyBorder="1" applyProtection="1">
      <protection hidden="1"/>
    </xf>
    <xf numFmtId="0" fontId="5" fillId="16" borderId="5" xfId="0" applyFont="1" applyFill="1" applyBorder="1" applyAlignment="1" applyProtection="1">
      <protection hidden="1"/>
    </xf>
    <xf numFmtId="0" fontId="6" fillId="16" borderId="7" xfId="0" applyFont="1" applyFill="1" applyBorder="1" applyAlignment="1" applyProtection="1">
      <protection hidden="1"/>
    </xf>
    <xf numFmtId="0" fontId="6" fillId="16" borderId="6" xfId="0" applyFont="1" applyFill="1" applyBorder="1" applyAlignment="1" applyProtection="1">
      <protection hidden="1"/>
    </xf>
    <xf numFmtId="0" fontId="5" fillId="9" borderId="2" xfId="0" applyFont="1" applyFill="1" applyBorder="1" applyAlignment="1" applyProtection="1">
      <protection hidden="1"/>
    </xf>
    <xf numFmtId="0" fontId="5" fillId="9" borderId="2" xfId="0" applyFont="1" applyFill="1" applyBorder="1" applyAlignment="1" applyProtection="1">
      <alignment horizontal="center"/>
      <protection hidden="1"/>
    </xf>
    <xf numFmtId="0" fontId="5" fillId="17" borderId="5" xfId="0" applyFont="1" applyFill="1" applyBorder="1" applyAlignment="1" applyProtection="1">
      <protection hidden="1"/>
    </xf>
    <xf numFmtId="0" fontId="5" fillId="17" borderId="7" xfId="0" applyFont="1" applyFill="1" applyBorder="1" applyAlignment="1" applyProtection="1">
      <protection hidden="1"/>
    </xf>
    <xf numFmtId="0" fontId="3" fillId="17" borderId="6" xfId="0" applyFont="1" applyFill="1" applyBorder="1" applyProtection="1">
      <protection hidden="1"/>
    </xf>
    <xf numFmtId="168" fontId="4" fillId="4" borderId="0" xfId="4" applyNumberFormat="1" applyFont="1" applyFill="1" applyBorder="1" applyAlignment="1" applyProtection="1">
      <alignment horizontal="center" vertical="center" wrapText="1"/>
      <protection hidden="1"/>
    </xf>
    <xf numFmtId="167" fontId="4" fillId="4" borderId="0" xfId="4" applyNumberFormat="1" applyFont="1" applyFill="1" applyBorder="1" applyAlignment="1" applyProtection="1">
      <alignment horizontal="center" vertical="center" wrapText="1"/>
      <protection hidden="1"/>
    </xf>
    <xf numFmtId="167" fontId="4" fillId="4" borderId="2" xfId="4" applyNumberFormat="1" applyFont="1" applyFill="1" applyBorder="1" applyAlignment="1" applyProtection="1">
      <alignment horizontal="center" vertical="center" wrapText="1"/>
      <protection hidden="1"/>
    </xf>
    <xf numFmtId="168" fontId="4" fillId="9" borderId="2" xfId="4" applyNumberFormat="1" applyFont="1" applyFill="1" applyBorder="1" applyAlignment="1" applyProtection="1">
      <alignment horizontal="center" vertical="center" wrapText="1"/>
      <protection hidden="1"/>
    </xf>
    <xf numFmtId="0" fontId="7" fillId="15" borderId="2" xfId="0" applyFont="1" applyFill="1" applyBorder="1" applyAlignment="1" applyProtection="1">
      <alignment vertical="center" wrapText="1"/>
      <protection hidden="1"/>
    </xf>
    <xf numFmtId="0" fontId="7" fillId="15" borderId="5" xfId="0" applyFont="1" applyFill="1" applyBorder="1" applyAlignment="1" applyProtection="1">
      <alignment vertical="center" wrapText="1"/>
      <protection hidden="1"/>
    </xf>
    <xf numFmtId="0" fontId="7" fillId="15" borderId="2" xfId="0" applyFont="1" applyFill="1" applyBorder="1" applyAlignment="1" applyProtection="1">
      <alignment horizontal="center" vertical="center" wrapText="1"/>
      <protection hidden="1"/>
    </xf>
    <xf numFmtId="164" fontId="4" fillId="19" borderId="2" xfId="4" applyFont="1" applyFill="1" applyBorder="1" applyProtection="1">
      <protection hidden="1"/>
    </xf>
    <xf numFmtId="9" fontId="4" fillId="20" borderId="2" xfId="5" applyFont="1" applyFill="1" applyBorder="1" applyProtection="1">
      <protection hidden="1"/>
    </xf>
    <xf numFmtId="9" fontId="4" fillId="20" borderId="5" xfId="5" applyFont="1" applyFill="1" applyBorder="1" applyProtection="1">
      <protection hidden="1"/>
    </xf>
    <xf numFmtId="9" fontId="4" fillId="4" borderId="0" xfId="5" applyFont="1" applyFill="1" applyBorder="1" applyProtection="1">
      <protection hidden="1"/>
    </xf>
    <xf numFmtId="168" fontId="4" fillId="21" borderId="2" xfId="4" applyNumberFormat="1" applyFont="1" applyFill="1" applyBorder="1" applyAlignment="1" applyProtection="1">
      <alignment horizontal="center" vertical="center" wrapText="1"/>
      <protection hidden="1"/>
    </xf>
    <xf numFmtId="167" fontId="4" fillId="21" borderId="2" xfId="4" applyNumberFormat="1" applyFont="1" applyFill="1" applyBorder="1" applyAlignment="1" applyProtection="1">
      <alignment horizontal="center" vertical="center" wrapText="1"/>
      <protection hidden="1"/>
    </xf>
    <xf numFmtId="168" fontId="3" fillId="0" borderId="2" xfId="4" applyNumberFormat="1" applyFont="1" applyBorder="1" applyProtection="1">
      <protection hidden="1"/>
    </xf>
    <xf numFmtId="168" fontId="3" fillId="15" borderId="2" xfId="0" applyNumberFormat="1" applyFont="1" applyFill="1" applyBorder="1" applyProtection="1">
      <protection hidden="1"/>
    </xf>
    <xf numFmtId="164" fontId="3" fillId="0" borderId="2" xfId="4" applyFont="1" applyBorder="1" applyProtection="1">
      <protection hidden="1"/>
    </xf>
    <xf numFmtId="9" fontId="3" fillId="0" borderId="2" xfId="5" applyFont="1" applyBorder="1" applyProtection="1">
      <protection hidden="1"/>
    </xf>
    <xf numFmtId="0" fontId="9" fillId="0" borderId="0" xfId="0" applyFont="1" applyAlignment="1" applyProtection="1">
      <alignment wrapText="1"/>
      <protection hidden="1"/>
    </xf>
    <xf numFmtId="9" fontId="3" fillId="0" borderId="5" xfId="5" applyFont="1" applyBorder="1" applyProtection="1">
      <protection hidden="1"/>
    </xf>
    <xf numFmtId="164" fontId="3" fillId="0" borderId="2" xfId="0" applyNumberFormat="1" applyFont="1" applyBorder="1" applyProtection="1">
      <protection hidden="1"/>
    </xf>
    <xf numFmtId="164" fontId="3" fillId="4" borderId="0" xfId="0" applyNumberFormat="1" applyFont="1" applyFill="1" applyBorder="1" applyProtection="1">
      <protection hidden="1"/>
    </xf>
    <xf numFmtId="42" fontId="3" fillId="0" borderId="2" xfId="0" applyNumberFormat="1" applyFont="1" applyBorder="1" applyProtection="1">
      <protection hidden="1"/>
    </xf>
    <xf numFmtId="42" fontId="8" fillId="2" borderId="2" xfId="0" applyNumberFormat="1" applyFont="1" applyFill="1" applyBorder="1" applyAlignment="1" applyProtection="1">
      <alignment horizontal="center" vertical="center"/>
      <protection hidden="1"/>
    </xf>
    <xf numFmtId="168" fontId="3" fillId="15" borderId="0" xfId="0" applyNumberFormat="1" applyFont="1" applyFill="1" applyProtection="1">
      <protection hidden="1"/>
    </xf>
    <xf numFmtId="168" fontId="3" fillId="0" borderId="0" xfId="4" applyNumberFormat="1" applyFont="1" applyProtection="1">
      <protection hidden="1"/>
    </xf>
    <xf numFmtId="0" fontId="3" fillId="0" borderId="0" xfId="0" applyFont="1" applyBorder="1" applyProtection="1">
      <protection hidden="1"/>
    </xf>
    <xf numFmtId="0" fontId="4" fillId="4" borderId="0" xfId="0" applyFont="1" applyFill="1" applyBorder="1" applyAlignment="1" applyProtection="1">
      <protection hidden="1"/>
    </xf>
    <xf numFmtId="164" fontId="3" fillId="0" borderId="0" xfId="4" applyFont="1" applyAlignment="1" applyProtection="1">
      <alignment vertical="center"/>
      <protection hidden="1"/>
    </xf>
    <xf numFmtId="164" fontId="4" fillId="19" borderId="2" xfId="4" applyFont="1" applyFill="1" applyBorder="1" applyAlignment="1" applyProtection="1">
      <alignment vertical="center"/>
      <protection hidden="1"/>
    </xf>
    <xf numFmtId="9" fontId="3" fillId="0" borderId="0" xfId="5" applyFont="1" applyAlignment="1" applyProtection="1">
      <alignment vertical="center"/>
      <protection hidden="1"/>
    </xf>
    <xf numFmtId="9" fontId="4" fillId="20" borderId="2" xfId="5" applyFont="1" applyFill="1" applyBorder="1" applyAlignment="1" applyProtection="1">
      <alignment vertical="center"/>
      <protection hidden="1"/>
    </xf>
    <xf numFmtId="9" fontId="3" fillId="0" borderId="2" xfId="5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168" fontId="3" fillId="0" borderId="2" xfId="0" applyNumberFormat="1" applyFont="1" applyBorder="1" applyAlignment="1" applyProtection="1">
      <alignment vertical="center"/>
      <protection hidden="1"/>
    </xf>
    <xf numFmtId="167" fontId="3" fillId="0" borderId="0" xfId="0" applyNumberFormat="1" applyFont="1" applyAlignment="1" applyProtection="1">
      <alignment vertical="center"/>
      <protection hidden="1"/>
    </xf>
    <xf numFmtId="167" fontId="3" fillId="0" borderId="2" xfId="0" applyNumberFormat="1" applyFont="1" applyBorder="1" applyAlignment="1" applyProtection="1">
      <alignment vertical="center"/>
      <protection hidden="1"/>
    </xf>
    <xf numFmtId="0" fontId="5" fillId="5" borderId="13" xfId="0" applyFont="1" applyFill="1" applyBorder="1" applyAlignment="1" applyProtection="1">
      <alignment vertical="center" wrapText="1"/>
      <protection hidden="1"/>
    </xf>
    <xf numFmtId="0" fontId="5" fillId="5" borderId="14" xfId="0" applyFont="1" applyFill="1" applyBorder="1" applyAlignment="1" applyProtection="1">
      <alignment vertical="center" wrapText="1"/>
      <protection hidden="1"/>
    </xf>
    <xf numFmtId="0" fontId="5" fillId="5" borderId="15" xfId="0" applyFont="1" applyFill="1" applyBorder="1" applyAlignment="1" applyProtection="1">
      <alignment vertical="center" wrapText="1"/>
      <protection hidden="1"/>
    </xf>
    <xf numFmtId="168" fontId="3" fillId="4" borderId="0" xfId="5" applyNumberFormat="1" applyFont="1" applyFill="1" applyBorder="1" applyAlignment="1" applyProtection="1">
      <alignment vertical="center"/>
      <protection hidden="1"/>
    </xf>
    <xf numFmtId="168" fontId="3" fillId="4" borderId="0" xfId="0" applyNumberFormat="1" applyFont="1" applyFill="1" applyBorder="1" applyAlignment="1" applyProtection="1">
      <alignment vertical="center"/>
      <protection hidden="1"/>
    </xf>
    <xf numFmtId="167" fontId="3" fillId="4" borderId="0" xfId="0" applyNumberFormat="1" applyFont="1" applyFill="1" applyBorder="1" applyAlignment="1" applyProtection="1">
      <alignment vertical="center"/>
      <protection hidden="1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168" fontId="3" fillId="10" borderId="2" xfId="0" applyNumberFormat="1" applyFont="1" applyFill="1" applyBorder="1" applyAlignment="1" applyProtection="1">
      <alignment vertical="center"/>
      <protection hidden="1"/>
    </xf>
    <xf numFmtId="44" fontId="3" fillId="0" borderId="0" xfId="0" applyNumberFormat="1" applyFont="1" applyProtection="1">
      <protection hidden="1"/>
    </xf>
    <xf numFmtId="0" fontId="6" fillId="4" borderId="6" xfId="0" applyFont="1" applyFill="1" applyBorder="1" applyAlignment="1" applyProtection="1">
      <alignment horizontal="center" vertical="center" wrapText="1"/>
      <protection hidden="1"/>
    </xf>
    <xf numFmtId="0" fontId="6" fillId="5" borderId="7" xfId="0" applyFont="1" applyFill="1" applyBorder="1" applyAlignment="1" applyProtection="1">
      <alignment horizontal="left" vertical="center" wrapText="1"/>
      <protection hidden="1"/>
    </xf>
    <xf numFmtId="0" fontId="6" fillId="5" borderId="6" xfId="0" applyFont="1" applyFill="1" applyBorder="1" applyAlignment="1" applyProtection="1">
      <alignment horizontal="left" vertical="center" wrapText="1"/>
      <protection hidden="1"/>
    </xf>
    <xf numFmtId="0" fontId="5" fillId="5" borderId="6" xfId="0" applyFont="1" applyFill="1" applyBorder="1" applyAlignment="1" applyProtection="1">
      <alignment horizontal="center" vertical="center" wrapText="1"/>
      <protection hidden="1"/>
    </xf>
    <xf numFmtId="0" fontId="6" fillId="5" borderId="5" xfId="0" applyFont="1" applyFill="1" applyBorder="1" applyAlignment="1" applyProtection="1">
      <alignment horizontal="left" vertical="center" wrapText="1"/>
      <protection hidden="1"/>
    </xf>
    <xf numFmtId="0" fontId="6" fillId="4" borderId="0" xfId="0" applyFont="1" applyFill="1" applyBorder="1" applyAlignment="1" applyProtection="1">
      <alignment horizontal="left" vertical="center" wrapText="1"/>
      <protection hidden="1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168" fontId="3" fillId="5" borderId="6" xfId="0" applyNumberFormat="1" applyFont="1" applyFill="1" applyBorder="1" applyAlignment="1" applyProtection="1">
      <alignment vertical="center"/>
      <protection hidden="1"/>
    </xf>
    <xf numFmtId="0" fontId="3" fillId="8" borderId="5" xfId="0" applyFont="1" applyFill="1" applyBorder="1" applyAlignment="1" applyProtection="1">
      <alignment horizontal="center"/>
      <protection locked="0"/>
    </xf>
    <xf numFmtId="0" fontId="3" fillId="8" borderId="7" xfId="0" applyFont="1" applyFill="1" applyBorder="1" applyAlignment="1" applyProtection="1">
      <alignment horizontal="center"/>
      <protection locked="0"/>
    </xf>
    <xf numFmtId="0" fontId="3" fillId="8" borderId="6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Border="1" applyAlignment="1" applyProtection="1">
      <alignment horizontal="left" vertical="center" wrapText="1"/>
      <protection locked="0"/>
    </xf>
    <xf numFmtId="0" fontId="5" fillId="17" borderId="5" xfId="0" applyFont="1" applyFill="1" applyBorder="1" applyAlignment="1" applyProtection="1">
      <alignment horizontal="center"/>
      <protection locked="0"/>
    </xf>
    <xf numFmtId="0" fontId="5" fillId="17" borderId="7" xfId="0" applyFont="1" applyFill="1" applyBorder="1" applyAlignment="1" applyProtection="1">
      <alignment horizontal="center"/>
      <protection locked="0"/>
    </xf>
    <xf numFmtId="0" fontId="5" fillId="17" borderId="6" xfId="0" applyFont="1" applyFill="1" applyBorder="1" applyAlignment="1" applyProtection="1">
      <alignment horizontal="center"/>
      <protection locked="0"/>
    </xf>
    <xf numFmtId="0" fontId="5" fillId="9" borderId="5" xfId="0" applyFont="1" applyFill="1" applyBorder="1" applyAlignment="1" applyProtection="1">
      <alignment horizontal="center"/>
      <protection locked="0"/>
    </xf>
    <xf numFmtId="0" fontId="5" fillId="9" borderId="7" xfId="0" applyFont="1" applyFill="1" applyBorder="1" applyAlignment="1" applyProtection="1">
      <alignment horizontal="center"/>
      <protection locked="0"/>
    </xf>
    <xf numFmtId="0" fontId="5" fillId="9" borderId="6" xfId="0" applyFont="1" applyFill="1" applyBorder="1" applyAlignment="1" applyProtection="1">
      <alignment horizontal="center"/>
      <protection locked="0"/>
    </xf>
    <xf numFmtId="0" fontId="6" fillId="16" borderId="5" xfId="0" applyFont="1" applyFill="1" applyBorder="1" applyAlignment="1" applyProtection="1">
      <alignment horizontal="center"/>
      <protection locked="0"/>
    </xf>
    <xf numFmtId="0" fontId="6" fillId="16" borderId="7" xfId="0" applyFont="1" applyFill="1" applyBorder="1" applyAlignment="1" applyProtection="1">
      <alignment horizontal="center"/>
      <protection locked="0"/>
    </xf>
    <xf numFmtId="0" fontId="6" fillId="16" borderId="6" xfId="0" applyFont="1" applyFill="1" applyBorder="1" applyAlignment="1" applyProtection="1">
      <alignment horizontal="center"/>
      <protection locked="0"/>
    </xf>
    <xf numFmtId="0" fontId="4" fillId="10" borderId="5" xfId="0" applyFont="1" applyFill="1" applyBorder="1" applyAlignment="1" applyProtection="1">
      <alignment horizontal="center"/>
      <protection locked="0"/>
    </xf>
    <xf numFmtId="0" fontId="4" fillId="10" borderId="7" xfId="0" applyFont="1" applyFill="1" applyBorder="1" applyAlignment="1" applyProtection="1">
      <alignment horizontal="center"/>
      <protection locked="0"/>
    </xf>
    <xf numFmtId="0" fontId="4" fillId="10" borderId="6" xfId="0" applyFont="1" applyFill="1" applyBorder="1" applyAlignment="1" applyProtection="1">
      <alignment horizontal="center"/>
      <protection locked="0"/>
    </xf>
    <xf numFmtId="0" fontId="5" fillId="17" borderId="4" xfId="0" applyFont="1" applyFill="1" applyBorder="1" applyAlignment="1" applyProtection="1">
      <alignment horizontal="center"/>
      <protection locked="0"/>
    </xf>
    <xf numFmtId="0" fontId="5" fillId="17" borderId="1" xfId="0" applyFont="1" applyFill="1" applyBorder="1" applyAlignment="1" applyProtection="1">
      <alignment horizontal="center"/>
      <protection locked="0"/>
    </xf>
    <xf numFmtId="0" fontId="6" fillId="4" borderId="0" xfId="0" applyFont="1" applyFill="1" applyBorder="1" applyAlignment="1" applyProtection="1">
      <alignment horizontal="left" vertical="center" wrapText="1"/>
      <protection hidden="1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6" fillId="4" borderId="4" xfId="0" applyFont="1" applyFill="1" applyBorder="1" applyAlignment="1" applyProtection="1">
      <alignment horizontal="center" vertical="center" wrapText="1"/>
      <protection hidden="1"/>
    </xf>
    <xf numFmtId="0" fontId="6" fillId="4" borderId="1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5" xfId="0" applyFont="1" applyFill="1" applyBorder="1" applyAlignment="1" applyProtection="1">
      <alignment horizontal="center" vertical="center" wrapText="1"/>
      <protection hidden="1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top" wrapText="1"/>
      <protection hidden="1"/>
    </xf>
    <xf numFmtId="0" fontId="5" fillId="3" borderId="7" xfId="0" applyFont="1" applyFill="1" applyBorder="1" applyAlignment="1" applyProtection="1">
      <alignment horizontal="center" vertical="top" wrapText="1"/>
      <protection hidden="1"/>
    </xf>
    <xf numFmtId="0" fontId="5" fillId="3" borderId="6" xfId="0" applyFont="1" applyFill="1" applyBorder="1" applyAlignment="1" applyProtection="1">
      <alignment horizontal="center" vertical="top" wrapText="1"/>
      <protection hidden="1"/>
    </xf>
    <xf numFmtId="0" fontId="5" fillId="4" borderId="0" xfId="0" applyFont="1" applyFill="1" applyBorder="1" applyAlignment="1" applyProtection="1">
      <alignment horizontal="center" vertical="top" wrapText="1"/>
      <protection hidden="1"/>
    </xf>
    <xf numFmtId="0" fontId="6" fillId="5" borderId="7" xfId="0" applyFont="1" applyFill="1" applyBorder="1" applyAlignment="1" applyProtection="1">
      <alignment horizontal="left" vertical="center" wrapText="1"/>
      <protection hidden="1"/>
    </xf>
    <xf numFmtId="0" fontId="6" fillId="5" borderId="6" xfId="0" applyFont="1" applyFill="1" applyBorder="1" applyAlignment="1" applyProtection="1">
      <alignment horizontal="left" vertical="center" wrapText="1"/>
      <protection hidden="1"/>
    </xf>
    <xf numFmtId="0" fontId="5" fillId="5" borderId="7" xfId="0" applyFont="1" applyFill="1" applyBorder="1" applyAlignment="1" applyProtection="1">
      <alignment horizontal="center" vertical="center" wrapText="1"/>
      <protection hidden="1"/>
    </xf>
    <xf numFmtId="0" fontId="5" fillId="5" borderId="6" xfId="0" applyFont="1" applyFill="1" applyBorder="1" applyAlignment="1" applyProtection="1">
      <alignment horizontal="center" vertical="center" wrapText="1"/>
      <protection hidden="1"/>
    </xf>
    <xf numFmtId="0" fontId="6" fillId="5" borderId="5" xfId="0" applyFont="1" applyFill="1" applyBorder="1" applyAlignment="1" applyProtection="1">
      <alignment horizontal="left" vertical="center" wrapText="1"/>
      <protection hidden="1"/>
    </xf>
    <xf numFmtId="0" fontId="5" fillId="5" borderId="5" xfId="0" applyFont="1" applyFill="1" applyBorder="1" applyAlignment="1" applyProtection="1">
      <alignment horizontal="center" vertical="center" wrapText="1"/>
      <protection hidden="1"/>
    </xf>
    <xf numFmtId="0" fontId="5" fillId="4" borderId="5" xfId="0" applyFont="1" applyFill="1" applyBorder="1" applyAlignment="1" applyProtection="1">
      <alignment horizontal="center" vertical="center" wrapText="1"/>
      <protection hidden="1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168" fontId="4" fillId="4" borderId="3" xfId="4" applyNumberFormat="1" applyFont="1" applyFill="1" applyBorder="1" applyAlignment="1" applyProtection="1">
      <alignment horizontal="center" vertical="center" wrapText="1"/>
      <protection locked="0"/>
    </xf>
    <xf numFmtId="168" fontId="4" fillId="4" borderId="8" xfId="4" applyNumberFormat="1" applyFont="1" applyFill="1" applyBorder="1" applyAlignment="1" applyProtection="1">
      <alignment horizontal="center" vertical="center" wrapText="1"/>
      <protection locked="0"/>
    </xf>
    <xf numFmtId="168" fontId="4" fillId="4" borderId="5" xfId="4" applyNumberFormat="1" applyFont="1" applyFill="1" applyBorder="1" applyAlignment="1" applyProtection="1">
      <alignment horizontal="center" vertical="center" wrapText="1"/>
      <protection locked="0"/>
    </xf>
    <xf numFmtId="168" fontId="4" fillId="4" borderId="6" xfId="4" applyNumberFormat="1" applyFont="1" applyFill="1" applyBorder="1" applyAlignment="1" applyProtection="1">
      <alignment horizontal="center" vertical="center" wrapText="1"/>
      <protection locked="0"/>
    </xf>
    <xf numFmtId="167" fontId="4" fillId="4" borderId="5" xfId="4" applyNumberFormat="1" applyFont="1" applyFill="1" applyBorder="1" applyAlignment="1" applyProtection="1">
      <alignment horizontal="center" vertical="center" wrapText="1"/>
      <protection locked="0"/>
    </xf>
    <xf numFmtId="167" fontId="4" fillId="4" borderId="6" xfId="4" applyNumberFormat="1" applyFont="1" applyFill="1" applyBorder="1" applyAlignment="1" applyProtection="1">
      <alignment horizontal="center" vertical="center" wrapText="1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4" fillId="7" borderId="7" xfId="0" applyFont="1" applyFill="1" applyBorder="1" applyAlignment="1" applyProtection="1">
      <alignment horizontal="center"/>
      <protection locked="0"/>
    </xf>
    <xf numFmtId="0" fontId="4" fillId="7" borderId="6" xfId="0" applyFont="1" applyFill="1" applyBorder="1" applyAlignment="1" applyProtection="1">
      <alignment horizontal="center"/>
      <protection locked="0"/>
    </xf>
    <xf numFmtId="0" fontId="6" fillId="16" borderId="5" xfId="0" applyFont="1" applyFill="1" applyBorder="1" applyAlignment="1" applyProtection="1">
      <alignment horizontal="center"/>
      <protection hidden="1"/>
    </xf>
    <xf numFmtId="0" fontId="6" fillId="16" borderId="7" xfId="0" applyFont="1" applyFill="1" applyBorder="1" applyAlignment="1" applyProtection="1">
      <alignment horizontal="center"/>
      <protection hidden="1"/>
    </xf>
    <xf numFmtId="0" fontId="6" fillId="16" borderId="6" xfId="0" applyFont="1" applyFill="1" applyBorder="1" applyAlignment="1" applyProtection="1">
      <alignment horizontal="center"/>
      <protection hidden="1"/>
    </xf>
    <xf numFmtId="0" fontId="5" fillId="9" borderId="5" xfId="0" applyFont="1" applyFill="1" applyBorder="1" applyAlignment="1" applyProtection="1">
      <alignment horizontal="center"/>
      <protection hidden="1"/>
    </xf>
    <xf numFmtId="0" fontId="5" fillId="9" borderId="7" xfId="0" applyFont="1" applyFill="1" applyBorder="1" applyAlignment="1" applyProtection="1">
      <alignment horizontal="center"/>
      <protection hidden="1"/>
    </xf>
    <xf numFmtId="0" fontId="5" fillId="9" borderId="6" xfId="0" applyFont="1" applyFill="1" applyBorder="1" applyAlignment="1" applyProtection="1">
      <alignment horizontal="center"/>
      <protection hidden="1"/>
    </xf>
    <xf numFmtId="0" fontId="5" fillId="17" borderId="5" xfId="0" applyFont="1" applyFill="1" applyBorder="1" applyAlignment="1" applyProtection="1">
      <alignment horizontal="center"/>
      <protection hidden="1"/>
    </xf>
    <xf numFmtId="0" fontId="5" fillId="17" borderId="7" xfId="0" applyFont="1" applyFill="1" applyBorder="1" applyAlignment="1" applyProtection="1">
      <alignment horizontal="center"/>
      <protection hidden="1"/>
    </xf>
    <xf numFmtId="0" fontId="5" fillId="17" borderId="6" xfId="0" applyFont="1" applyFill="1" applyBorder="1" applyAlignment="1" applyProtection="1">
      <alignment horizontal="center"/>
      <protection hidden="1"/>
    </xf>
    <xf numFmtId="0" fontId="3" fillId="8" borderId="5" xfId="0" applyFont="1" applyFill="1" applyBorder="1" applyAlignment="1" applyProtection="1">
      <alignment horizontal="center"/>
      <protection hidden="1"/>
    </xf>
    <xf numFmtId="0" fontId="3" fillId="8" borderId="7" xfId="0" applyFont="1" applyFill="1" applyBorder="1" applyAlignment="1" applyProtection="1">
      <alignment horizontal="center"/>
      <protection hidden="1"/>
    </xf>
    <xf numFmtId="0" fontId="3" fillId="8" borderId="6" xfId="0" applyFont="1" applyFill="1" applyBorder="1" applyAlignment="1" applyProtection="1">
      <alignment horizontal="center"/>
      <protection hidden="1"/>
    </xf>
    <xf numFmtId="0" fontId="4" fillId="7" borderId="5" xfId="0" applyFont="1" applyFill="1" applyBorder="1" applyAlignment="1" applyProtection="1">
      <alignment horizontal="center"/>
      <protection hidden="1"/>
    </xf>
    <xf numFmtId="0" fontId="4" fillId="7" borderId="7" xfId="0" applyFont="1" applyFill="1" applyBorder="1" applyAlignment="1" applyProtection="1">
      <alignment horizontal="center"/>
      <protection hidden="1"/>
    </xf>
    <xf numFmtId="0" fontId="4" fillId="7" borderId="6" xfId="0" applyFont="1" applyFill="1" applyBorder="1" applyAlignment="1" applyProtection="1">
      <alignment horizontal="center"/>
      <protection hidden="1"/>
    </xf>
    <xf numFmtId="168" fontId="4" fillId="4" borderId="3" xfId="4" applyNumberFormat="1" applyFont="1" applyFill="1" applyBorder="1" applyAlignment="1" applyProtection="1">
      <alignment horizontal="center" vertical="center" wrapText="1"/>
      <protection hidden="1"/>
    </xf>
    <xf numFmtId="168" fontId="4" fillId="4" borderId="8" xfId="4" applyNumberFormat="1" applyFont="1" applyFill="1" applyBorder="1" applyAlignment="1" applyProtection="1">
      <alignment horizontal="center" vertical="center" wrapText="1"/>
      <protection hidden="1"/>
    </xf>
    <xf numFmtId="168" fontId="4" fillId="4" borderId="5" xfId="4" applyNumberFormat="1" applyFont="1" applyFill="1" applyBorder="1" applyAlignment="1" applyProtection="1">
      <alignment horizontal="center" vertical="center" wrapText="1"/>
      <protection hidden="1"/>
    </xf>
    <xf numFmtId="168" fontId="4" fillId="4" borderId="6" xfId="4" applyNumberFormat="1" applyFont="1" applyFill="1" applyBorder="1" applyAlignment="1" applyProtection="1">
      <alignment horizontal="center" vertical="center" wrapText="1"/>
      <protection hidden="1"/>
    </xf>
    <xf numFmtId="167" fontId="4" fillId="4" borderId="5" xfId="4" applyNumberFormat="1" applyFont="1" applyFill="1" applyBorder="1" applyAlignment="1" applyProtection="1">
      <alignment horizontal="center" vertical="center" wrapText="1"/>
      <protection hidden="1"/>
    </xf>
    <xf numFmtId="167" fontId="4" fillId="4" borderId="6" xfId="4" applyNumberFormat="1" applyFont="1" applyFill="1" applyBorder="1" applyAlignment="1" applyProtection="1">
      <alignment horizontal="center" vertical="center" wrapText="1"/>
      <protection hidden="1"/>
    </xf>
    <xf numFmtId="0" fontId="4" fillId="10" borderId="5" xfId="0" applyFont="1" applyFill="1" applyBorder="1" applyAlignment="1" applyProtection="1">
      <alignment horizontal="center"/>
      <protection hidden="1"/>
    </xf>
    <xf numFmtId="0" fontId="4" fillId="10" borderId="7" xfId="0" applyFont="1" applyFill="1" applyBorder="1" applyAlignment="1" applyProtection="1">
      <alignment horizontal="center"/>
      <protection hidden="1"/>
    </xf>
    <xf numFmtId="0" fontId="4" fillId="10" borderId="6" xfId="0" applyFont="1" applyFill="1" applyBorder="1" applyAlignment="1" applyProtection="1">
      <alignment horizontal="center"/>
      <protection hidden="1"/>
    </xf>
    <xf numFmtId="0" fontId="5" fillId="17" borderId="4" xfId="0" applyFont="1" applyFill="1" applyBorder="1" applyAlignment="1" applyProtection="1">
      <alignment horizontal="center"/>
      <protection hidden="1"/>
    </xf>
    <xf numFmtId="0" fontId="5" fillId="17" borderId="1" xfId="0" applyFont="1" applyFill="1" applyBorder="1" applyAlignment="1" applyProtection="1">
      <alignment horizontal="center"/>
      <protection hidden="1"/>
    </xf>
    <xf numFmtId="0" fontId="5" fillId="3" borderId="5" xfId="0" applyFont="1" applyFill="1" applyBorder="1" applyAlignment="1" applyProtection="1">
      <alignment horizontal="center" vertical="top" wrapText="1"/>
      <protection locked="0"/>
    </xf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5" fillId="3" borderId="6" xfId="0" applyFont="1" applyFill="1" applyBorder="1" applyAlignment="1" applyProtection="1">
      <alignment horizontal="center" vertical="top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7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 applyProtection="1">
      <alignment horizontal="left" vertical="center" wrapText="1"/>
      <protection locked="0"/>
    </xf>
    <xf numFmtId="0" fontId="6" fillId="5" borderId="7" xfId="0" applyFont="1" applyFill="1" applyBorder="1" applyAlignment="1" applyProtection="1">
      <alignment horizontal="left" vertical="center" wrapText="1"/>
      <protection locked="0"/>
    </xf>
    <xf numFmtId="0" fontId="6" fillId="5" borderId="6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protection hidden="1"/>
    </xf>
    <xf numFmtId="0" fontId="4" fillId="4" borderId="6" xfId="0" applyFont="1" applyFill="1" applyBorder="1" applyAlignment="1" applyProtection="1">
      <protection hidden="1"/>
    </xf>
    <xf numFmtId="168" fontId="4" fillId="11" borderId="2" xfId="4" applyNumberFormat="1" applyFont="1" applyFill="1" applyBorder="1" applyAlignment="1" applyProtection="1">
      <alignment horizontal="center" vertical="center" wrapText="1"/>
      <protection hidden="1"/>
    </xf>
    <xf numFmtId="0" fontId="3" fillId="4" borderId="0" xfId="0" applyFont="1" applyFill="1" applyBorder="1" applyAlignment="1" applyProtection="1">
      <alignment vertical="center"/>
      <protection hidden="1"/>
    </xf>
    <xf numFmtId="9" fontId="3" fillId="4" borderId="0" xfId="5" applyFont="1" applyFill="1" applyBorder="1" applyAlignment="1" applyProtection="1">
      <alignment vertical="center"/>
      <protection hidden="1"/>
    </xf>
    <xf numFmtId="0" fontId="6" fillId="0" borderId="2" xfId="0" applyFont="1" applyBorder="1" applyProtection="1">
      <protection hidden="1"/>
    </xf>
    <xf numFmtId="0" fontId="4" fillId="11" borderId="2" xfId="0" applyFont="1" applyFill="1" applyBorder="1" applyAlignment="1" applyProtection="1">
      <alignment vertical="center"/>
      <protection hidden="1"/>
    </xf>
    <xf numFmtId="9" fontId="4" fillId="4" borderId="0" xfId="5" applyFont="1" applyFill="1" applyBorder="1" applyAlignment="1" applyProtection="1">
      <alignment vertical="center"/>
      <protection hidden="1"/>
    </xf>
    <xf numFmtId="0" fontId="6" fillId="0" borderId="2" xfId="0" applyFont="1" applyBorder="1" applyAlignment="1" applyProtection="1">
      <alignment wrapText="1"/>
      <protection hidden="1"/>
    </xf>
    <xf numFmtId="164" fontId="3" fillId="0" borderId="2" xfId="4" applyFont="1" applyBorder="1" applyAlignment="1" applyProtection="1">
      <alignment vertical="center"/>
      <protection hidden="1"/>
    </xf>
    <xf numFmtId="0" fontId="3" fillId="10" borderId="2" xfId="0" applyFont="1" applyFill="1" applyBorder="1" applyProtection="1">
      <protection hidden="1"/>
    </xf>
    <xf numFmtId="0" fontId="3" fillId="4" borderId="0" xfId="0" applyFont="1" applyFill="1" applyBorder="1" applyAlignment="1" applyProtection="1">
      <protection hidden="1"/>
    </xf>
    <xf numFmtId="168" fontId="3" fillId="0" borderId="0" xfId="4" applyNumberFormat="1" applyFont="1" applyAlignment="1" applyProtection="1">
      <alignment vertical="center"/>
      <protection hidden="1"/>
    </xf>
    <xf numFmtId="168" fontId="3" fillId="15" borderId="2" xfId="0" applyNumberFormat="1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vertical="center" wrapText="1"/>
      <protection hidden="1"/>
    </xf>
    <xf numFmtId="168" fontId="3" fillId="0" borderId="2" xfId="5" applyNumberFormat="1" applyFont="1" applyBorder="1" applyAlignment="1" applyProtection="1">
      <alignment vertical="center"/>
      <protection hidden="1"/>
    </xf>
    <xf numFmtId="168" fontId="3" fillId="0" borderId="5" xfId="5" applyNumberFormat="1" applyFont="1" applyBorder="1" applyAlignment="1" applyProtection="1">
      <alignment vertical="center"/>
      <protection hidden="1"/>
    </xf>
  </cellXfs>
  <cellStyles count="6">
    <cellStyle name="Millares 2" xfId="1"/>
    <cellStyle name="Moneda" xfId="3" builtinId="4"/>
    <cellStyle name="Moneda [0]" xfId="4" builtinId="7"/>
    <cellStyle name="Normal" xfId="0" builtinId="0"/>
    <cellStyle name="Normal 2" xfId="2"/>
    <cellStyle name="Porcentaje" xfId="5" builtinId="5"/>
  </cellStyles>
  <dxfs count="0"/>
  <tableStyles count="0" defaultTableStyle="TableStyleMedium2" defaultPivotStyle="PivotStyleLight16"/>
  <colors>
    <mruColors>
      <color rgb="FFFB9DF0"/>
      <color rgb="FFDD09C4"/>
      <color rgb="FFFFFF00"/>
      <color rgb="FFCCFF33"/>
      <color rgb="FFCCCCFF"/>
      <color rgb="FFCC99FF"/>
      <color rgb="FFFF66FF"/>
      <color rgb="FF66FFFF"/>
      <color rgb="FF0F1FE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CFF"/>
  </sheetPr>
  <dimension ref="A1:CM41"/>
  <sheetViews>
    <sheetView tabSelected="1" topLeftCell="Z5" zoomScale="98" zoomScaleNormal="98" workbookViewId="0">
      <selection activeCell="AK10" sqref="AK10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10.85546875" style="77" bestFit="1" customWidth="1"/>
    <col min="7" max="7" width="36" style="77" customWidth="1"/>
    <col min="8" max="8" width="19.42578125" style="77" hidden="1" customWidth="1"/>
    <col min="9" max="9" width="22.85546875" style="77" customWidth="1"/>
    <col min="10" max="10" width="14" style="77" customWidth="1"/>
    <col min="11" max="11" width="18.85546875" style="77" customWidth="1"/>
    <col min="12" max="12" width="17" style="77" customWidth="1"/>
    <col min="13" max="13" width="10.85546875" style="77" customWidth="1"/>
    <col min="14" max="14" width="30.7109375" style="77" customWidth="1"/>
    <col min="15" max="15" width="25.85546875" style="77" customWidth="1"/>
    <col min="16" max="16" width="6.85546875" style="77" hidden="1" customWidth="1"/>
    <col min="17" max="17" width="22.85546875" style="77" customWidth="1"/>
    <col min="18" max="18" width="19.7109375" style="77" customWidth="1"/>
    <col min="19" max="19" width="13.5703125" style="77" customWidth="1"/>
    <col min="20" max="20" width="18.7109375" style="77" customWidth="1"/>
    <col min="21" max="21" width="18.140625" style="77" customWidth="1"/>
    <col min="22" max="22" width="10.85546875" style="77" customWidth="1"/>
    <col min="23" max="23" width="22.85546875" style="77" customWidth="1"/>
    <col min="24" max="24" width="26.7109375" style="77" customWidth="1"/>
    <col min="25" max="25" width="10.85546875" style="77" hidden="1" customWidth="1"/>
    <col min="26" max="26" width="18.5703125" style="77" customWidth="1"/>
    <col min="27" max="27" width="10.85546875" style="77" customWidth="1"/>
    <col min="28" max="28" width="16.140625" style="77" customWidth="1"/>
    <col min="29" max="29" width="17.140625" style="77" customWidth="1"/>
    <col min="30" max="30" width="19" style="77" customWidth="1"/>
    <col min="31" max="31" width="20.28515625" style="77" customWidth="1"/>
    <col min="32" max="33" width="15.42578125" style="77" customWidth="1"/>
    <col min="34" max="34" width="39.28515625" style="77" customWidth="1"/>
    <col min="35" max="35" width="18.7109375" style="77" customWidth="1"/>
    <col min="36" max="36" width="19.42578125" style="77" customWidth="1"/>
    <col min="37" max="37" width="20" style="77" customWidth="1"/>
    <col min="38" max="38" width="15.42578125" style="77" customWidth="1"/>
    <col min="39" max="39" width="23.140625" style="77" customWidth="1"/>
    <col min="40" max="40" width="10.85546875" style="20" hidden="1" customWidth="1"/>
    <col min="41" max="41" width="14.140625" style="20" hidden="1" customWidth="1"/>
    <col min="42" max="42" width="13" style="20" hidden="1" customWidth="1"/>
    <col min="43" max="44" width="14.140625" style="20" hidden="1" customWidth="1"/>
    <col min="45" max="48" width="10.85546875" style="20" hidden="1" customWidth="1"/>
    <col min="49" max="53" width="13.140625" style="20" hidden="1" customWidth="1"/>
    <col min="54" max="55" width="15.140625" style="20" hidden="1" customWidth="1"/>
    <col min="56" max="57" width="11.85546875" style="20" hidden="1" customWidth="1"/>
    <col min="58" max="58" width="16.140625" style="20" hidden="1" customWidth="1"/>
    <col min="59" max="59" width="10.85546875" style="20" hidden="1" customWidth="1"/>
    <col min="60" max="62" width="16.140625" style="20" hidden="1" customWidth="1"/>
    <col min="63" max="63" width="10.85546875" style="20" hidden="1" customWidth="1"/>
    <col min="64" max="64" width="13.85546875" style="20" hidden="1" customWidth="1"/>
    <col min="65" max="68" width="15.42578125" style="20" hidden="1" customWidth="1"/>
    <col min="69" max="69" width="13.85546875" style="20" hidden="1" customWidth="1"/>
    <col min="70" max="70" width="10.85546875" style="20" hidden="1" customWidth="1"/>
    <col min="71" max="71" width="20.85546875" style="20" hidden="1" customWidth="1"/>
    <col min="72" max="72" width="10.85546875" style="20" hidden="1" customWidth="1"/>
    <col min="73" max="73" width="12.85546875" style="20" hidden="1" customWidth="1"/>
    <col min="74" max="76" width="10.85546875" style="20" hidden="1" customWidth="1"/>
    <col min="77" max="77" width="29.140625" style="20" hidden="1" customWidth="1"/>
    <col min="78" max="78" width="43.85546875" style="20" hidden="1" customWidth="1"/>
    <col min="79" max="79" width="44.42578125" style="20" hidden="1" customWidth="1"/>
    <col min="80" max="91" width="10.85546875" style="20" hidden="1" customWidth="1"/>
    <col min="92" max="16384" width="10.85546875" style="20"/>
  </cols>
  <sheetData>
    <row r="1" spans="1:90" x14ac:dyDescent="0.2"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3"/>
      <c r="AO1" s="73"/>
      <c r="AP1" s="73"/>
      <c r="AQ1" s="73"/>
      <c r="AR1" s="73"/>
      <c r="AS1" s="73"/>
      <c r="AT1" s="73"/>
      <c r="AU1" s="74"/>
      <c r="CA1" s="21"/>
      <c r="CB1" s="22"/>
      <c r="CC1" s="22"/>
      <c r="CD1" s="23"/>
      <c r="CG1" s="24"/>
      <c r="CH1" s="25"/>
      <c r="CI1" s="25"/>
      <c r="CJ1" s="26"/>
      <c r="CK1" s="25"/>
    </row>
    <row r="2" spans="1:90" x14ac:dyDescent="0.2"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246" t="s">
        <v>42</v>
      </c>
      <c r="AO2" s="247"/>
      <c r="AP2" s="247"/>
      <c r="AQ2" s="247"/>
      <c r="AR2" s="247"/>
      <c r="AS2" s="247"/>
      <c r="AT2" s="247"/>
      <c r="AU2" s="248"/>
      <c r="CA2" s="21"/>
      <c r="CB2" s="22"/>
      <c r="CC2" s="22"/>
      <c r="CD2" s="23"/>
      <c r="CG2" s="24"/>
      <c r="CH2" s="25"/>
      <c r="CI2" s="25"/>
      <c r="CJ2" s="26"/>
      <c r="CK2" s="25"/>
    </row>
    <row r="3" spans="1:90" ht="52.9" customHeight="1" x14ac:dyDescent="0.2">
      <c r="A3" s="92"/>
      <c r="B3" s="93" t="s">
        <v>109</v>
      </c>
      <c r="C3" s="94"/>
      <c r="D3" s="94"/>
      <c r="E3" s="94"/>
      <c r="F3" s="94"/>
      <c r="G3" s="95"/>
      <c r="H3" s="96"/>
      <c r="P3" s="96"/>
      <c r="Y3" s="96"/>
      <c r="AN3" s="1"/>
      <c r="CA3" s="21"/>
      <c r="CB3" s="22"/>
      <c r="CC3" s="22"/>
      <c r="CD3" s="23"/>
      <c r="CG3" s="24"/>
      <c r="CH3" s="25"/>
      <c r="CI3" s="25"/>
      <c r="CJ3" s="26"/>
      <c r="CK3" s="25"/>
    </row>
    <row r="4" spans="1:90" ht="14.25" customHeight="1" x14ac:dyDescent="0.2">
      <c r="A4" s="92"/>
      <c r="B4" s="97"/>
      <c r="C4" s="98"/>
      <c r="D4" s="98"/>
      <c r="E4" s="98"/>
      <c r="F4" s="98"/>
      <c r="G4" s="99"/>
      <c r="H4" s="96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"/>
      <c r="AO4" s="24"/>
      <c r="AP4" s="24"/>
      <c r="AQ4" s="24"/>
      <c r="AR4" s="24"/>
      <c r="AS4" s="24"/>
      <c r="AT4" s="24"/>
      <c r="AU4" s="24"/>
      <c r="CA4" s="21"/>
      <c r="CB4" s="22"/>
      <c r="CC4" s="22"/>
      <c r="CD4" s="23"/>
      <c r="CG4" s="24"/>
      <c r="CH4" s="25"/>
      <c r="CI4" s="25"/>
      <c r="CJ4" s="26"/>
      <c r="CK4" s="25"/>
    </row>
    <row r="5" spans="1:90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2"/>
      <c r="AO5" s="24"/>
      <c r="AP5" s="24"/>
      <c r="AQ5" s="24"/>
      <c r="AR5" s="24"/>
      <c r="AS5" s="24"/>
      <c r="AT5" s="24"/>
      <c r="AU5" s="24"/>
      <c r="CA5" s="21"/>
      <c r="CB5" s="22"/>
      <c r="CC5" s="22"/>
      <c r="CD5" s="23"/>
      <c r="CG5" s="24"/>
      <c r="CH5" s="25"/>
      <c r="CI5" s="25"/>
      <c r="CJ5" s="26"/>
      <c r="CK5" s="25"/>
    </row>
    <row r="6" spans="1:90" ht="80.650000000000006" customHeight="1" x14ac:dyDescent="0.2">
      <c r="A6" s="106"/>
      <c r="B6" s="107" t="s">
        <v>112</v>
      </c>
      <c r="C6" s="108"/>
      <c r="D6" s="108"/>
      <c r="E6" s="108"/>
      <c r="F6" s="108"/>
      <c r="G6" s="109"/>
      <c r="H6" s="110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3"/>
      <c r="AO6" s="24"/>
      <c r="AP6" s="24"/>
      <c r="AQ6" s="24"/>
      <c r="AR6" s="24"/>
      <c r="AS6" s="24"/>
      <c r="AT6" s="24"/>
      <c r="AU6" s="24"/>
      <c r="AW6" s="264" t="s">
        <v>67</v>
      </c>
      <c r="AX6" s="265"/>
      <c r="AY6" s="265"/>
      <c r="AZ6" s="265"/>
      <c r="BA6" s="265"/>
      <c r="BB6" s="265"/>
      <c r="BC6" s="265"/>
      <c r="BD6" s="265"/>
      <c r="BE6" s="265"/>
      <c r="BF6" s="265"/>
      <c r="BG6" s="265"/>
      <c r="BH6" s="265"/>
      <c r="BI6" s="265"/>
      <c r="BJ6" s="266"/>
      <c r="BL6" s="295" t="s">
        <v>75</v>
      </c>
      <c r="BM6" s="296"/>
      <c r="BN6" s="296"/>
      <c r="BO6" s="296"/>
      <c r="BP6" s="296"/>
      <c r="BQ6" s="296"/>
      <c r="BR6" s="296"/>
      <c r="BS6" s="296"/>
      <c r="BT6" s="296"/>
      <c r="BU6" s="297"/>
      <c r="CA6" s="21"/>
      <c r="CB6" s="22"/>
      <c r="CC6" s="22"/>
      <c r="CD6" s="23"/>
      <c r="CG6" s="24"/>
      <c r="CH6" s="25"/>
      <c r="CI6" s="25"/>
      <c r="CJ6" s="26"/>
      <c r="CK6" s="25"/>
    </row>
    <row r="7" spans="1:90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112"/>
      <c r="P7" s="113"/>
      <c r="Y7" s="11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4"/>
      <c r="AO7" s="24"/>
      <c r="AP7" s="24"/>
      <c r="AQ7" s="24"/>
      <c r="AR7" s="24"/>
      <c r="AS7" s="24"/>
      <c r="AT7" s="24"/>
      <c r="AU7" s="24"/>
      <c r="BY7" s="289" t="s">
        <v>86</v>
      </c>
      <c r="BZ7" s="27"/>
      <c r="CA7" s="21"/>
      <c r="CB7" s="22"/>
      <c r="CC7" s="22"/>
      <c r="CD7" s="23"/>
      <c r="CG7" s="24"/>
      <c r="CH7" s="25"/>
      <c r="CI7" s="25"/>
      <c r="CJ7" s="26"/>
      <c r="CK7" s="25"/>
    </row>
    <row r="8" spans="1:90" ht="14.25" customHeight="1" x14ac:dyDescent="0.2">
      <c r="A8" s="114"/>
      <c r="B8" s="115"/>
      <c r="C8" s="274"/>
      <c r="D8" s="275"/>
      <c r="E8" s="275"/>
      <c r="F8" s="275"/>
      <c r="G8" s="276"/>
      <c r="H8" s="116"/>
      <c r="P8" s="117"/>
      <c r="Y8" s="118"/>
      <c r="AN8" s="5"/>
      <c r="AW8" s="261" t="s">
        <v>50</v>
      </c>
      <c r="AX8" s="262"/>
      <c r="AY8" s="262"/>
      <c r="AZ8" s="262"/>
      <c r="BA8" s="262"/>
      <c r="BB8" s="263"/>
      <c r="BC8" s="11" t="s">
        <v>49</v>
      </c>
      <c r="BD8" s="11"/>
      <c r="BE8" s="12"/>
      <c r="BF8" s="267" t="s">
        <v>111</v>
      </c>
      <c r="BG8" s="268"/>
      <c r="BH8" s="268"/>
      <c r="BI8" s="268"/>
      <c r="BY8" s="290"/>
      <c r="BZ8" s="27"/>
      <c r="CA8" s="21"/>
      <c r="CB8" s="22"/>
      <c r="CC8" s="22"/>
      <c r="CD8" s="23"/>
      <c r="CE8" s="291" t="s">
        <v>91</v>
      </c>
      <c r="CF8" s="292"/>
      <c r="CG8" s="28"/>
      <c r="CH8" s="293" t="s">
        <v>92</v>
      </c>
      <c r="CI8" s="294"/>
      <c r="CJ8" s="29"/>
      <c r="CK8" s="30" t="s">
        <v>92</v>
      </c>
      <c r="CL8" s="31" t="s">
        <v>91</v>
      </c>
    </row>
    <row r="9" spans="1:90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32" t="s">
        <v>14</v>
      </c>
      <c r="AO9" s="32" t="s">
        <v>10</v>
      </c>
      <c r="AP9" s="32" t="s">
        <v>11</v>
      </c>
      <c r="AQ9" s="32" t="s">
        <v>12</v>
      </c>
      <c r="AR9" s="32" t="s">
        <v>13</v>
      </c>
      <c r="AS9" s="32" t="s">
        <v>6</v>
      </c>
      <c r="AT9" s="32" t="s">
        <v>8</v>
      </c>
      <c r="AU9" s="32" t="s">
        <v>9</v>
      </c>
      <c r="AW9" s="33" t="s">
        <v>60</v>
      </c>
      <c r="AX9" s="33" t="s">
        <v>61</v>
      </c>
      <c r="AY9" s="33" t="s">
        <v>63</v>
      </c>
      <c r="AZ9" s="33" t="s">
        <v>64</v>
      </c>
      <c r="BA9" s="33" t="s">
        <v>65</v>
      </c>
      <c r="BB9" s="33" t="s">
        <v>62</v>
      </c>
      <c r="BC9" s="33" t="s">
        <v>51</v>
      </c>
      <c r="BD9" s="33" t="s">
        <v>52</v>
      </c>
      <c r="BE9" s="33" t="s">
        <v>56</v>
      </c>
      <c r="BF9" s="33" t="s">
        <v>53</v>
      </c>
      <c r="BG9" s="33" t="s">
        <v>54</v>
      </c>
      <c r="BH9" s="33" t="s">
        <v>55</v>
      </c>
      <c r="BI9" s="34" t="s">
        <v>110</v>
      </c>
      <c r="BJ9" s="33" t="s">
        <v>66</v>
      </c>
      <c r="BL9" s="35" t="s">
        <v>72</v>
      </c>
      <c r="BM9" s="35" t="s">
        <v>68</v>
      </c>
      <c r="BN9" s="35" t="s">
        <v>69</v>
      </c>
      <c r="BO9" s="35" t="s">
        <v>70</v>
      </c>
      <c r="BP9" s="35" t="s">
        <v>71</v>
      </c>
      <c r="BQ9" s="35" t="s">
        <v>76</v>
      </c>
      <c r="BR9" s="35" t="s">
        <v>77</v>
      </c>
      <c r="BS9" s="35" t="s">
        <v>84</v>
      </c>
      <c r="BT9" s="35" t="s">
        <v>73</v>
      </c>
      <c r="BU9" s="35" t="s">
        <v>74</v>
      </c>
      <c r="BY9" s="27" t="s">
        <v>87</v>
      </c>
      <c r="BZ9" s="27" t="s">
        <v>89</v>
      </c>
      <c r="CA9" s="36" t="s">
        <v>93</v>
      </c>
      <c r="CB9" s="37" t="s">
        <v>94</v>
      </c>
      <c r="CC9" s="38" t="s">
        <v>95</v>
      </c>
      <c r="CD9" s="39"/>
      <c r="CE9" s="40" t="s">
        <v>96</v>
      </c>
      <c r="CF9" s="40" t="s">
        <v>97</v>
      </c>
      <c r="CG9" s="28"/>
      <c r="CH9" s="41" t="s">
        <v>98</v>
      </c>
      <c r="CI9" s="41" t="s">
        <v>99</v>
      </c>
      <c r="CJ9" s="29"/>
      <c r="CK9" s="41" t="s">
        <v>100</v>
      </c>
      <c r="CL9" s="31" t="s">
        <v>107</v>
      </c>
    </row>
    <row r="10" spans="1:90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"/>
      <c r="AO10" s="42"/>
      <c r="AP10" s="42"/>
      <c r="AQ10" s="42"/>
      <c r="AR10" s="42"/>
      <c r="AS10" s="42"/>
      <c r="AT10" s="42"/>
      <c r="AU10" s="42"/>
      <c r="AW10" s="42"/>
      <c r="AX10" s="42"/>
      <c r="AY10" s="42"/>
      <c r="AZ10" s="42"/>
      <c r="BA10" s="42"/>
      <c r="BB10" s="42"/>
      <c r="BC10" s="43"/>
      <c r="BD10" s="43"/>
      <c r="BE10" s="43"/>
      <c r="BF10" s="43">
        <v>562500000</v>
      </c>
      <c r="BG10" s="43">
        <v>0</v>
      </c>
      <c r="BH10" s="43">
        <v>562500000</v>
      </c>
      <c r="BI10" s="44">
        <f>BH10*(120.27/109.14)</f>
        <v>619863249.03793287</v>
      </c>
      <c r="BJ10" s="45">
        <f>BI10</f>
        <v>619863249.03793287</v>
      </c>
      <c r="BL10" s="46">
        <f>MINA(L10,U10,AD10,AM10,BJ10)</f>
        <v>609880565.27999997</v>
      </c>
      <c r="BM10" s="46">
        <f>MAX(L10,U10,AD10,AM10,BJ10)</f>
        <v>2274528000</v>
      </c>
      <c r="BN10" s="46">
        <f>AVERAGE(L10,U10,AD10,AM10,BJ10)</f>
        <v>1260385930.8635864</v>
      </c>
      <c r="BO10" s="46">
        <f>GEOMEAN(L10,U10,AD10,AM10,BJ10)</f>
        <v>1109368736.8867741</v>
      </c>
      <c r="BP10" s="46">
        <f>MEDIAN(L10,U10,AD10,AM10,BJ10)</f>
        <v>1347657840</v>
      </c>
      <c r="BQ10" s="46">
        <f>_xlfn.STDEV.S(L10,U10,AD10,AM10,BJ10)</f>
        <v>690195724.83412874</v>
      </c>
      <c r="BR10" s="47">
        <f t="shared" ref="BR10" si="0">BQ10/BP10</f>
        <v>0.51214462925851323</v>
      </c>
      <c r="BS10" s="46">
        <f t="shared" ref="BS10" si="1">BL10</f>
        <v>609880565.27999997</v>
      </c>
      <c r="BT10" s="42" t="s">
        <v>78</v>
      </c>
      <c r="BU10" s="42" t="s">
        <v>108</v>
      </c>
      <c r="BW10" s="48" t="s">
        <v>81</v>
      </c>
      <c r="BY10" s="42">
        <v>1</v>
      </c>
      <c r="BZ10" s="46">
        <f>BY10*BS10</f>
        <v>609880565.27999997</v>
      </c>
      <c r="CA10" s="46">
        <f>BS10*F10</f>
        <v>609880565.27999997</v>
      </c>
      <c r="CB10" s="47">
        <f>BY10/F10</f>
        <v>1</v>
      </c>
      <c r="CC10" s="49">
        <f>CB10-1</f>
        <v>0</v>
      </c>
      <c r="CD10" s="23"/>
      <c r="CE10" s="50">
        <f>BZ10</f>
        <v>609880565.27999997</v>
      </c>
      <c r="CF10" s="50">
        <f>CE10*BY10</f>
        <v>609880565.27999997</v>
      </c>
      <c r="CG10" s="51"/>
      <c r="CH10" s="52">
        <f>CF10/3790.88</f>
        <v>160881</v>
      </c>
      <c r="CI10" s="52">
        <f>CH10*BY10</f>
        <v>160881</v>
      </c>
      <c r="CJ10" s="26"/>
      <c r="CK10" s="52">
        <f>CI10</f>
        <v>160881</v>
      </c>
      <c r="CL10" s="50">
        <f>CK10*4600</f>
        <v>740052600</v>
      </c>
    </row>
    <row r="11" spans="1:90" ht="12.75" hidden="1" customHeight="1" x14ac:dyDescent="0.2"/>
    <row r="12" spans="1:90" ht="12.75" hidden="1" customHeight="1" x14ac:dyDescent="0.2"/>
    <row r="13" spans="1:90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49"/>
      <c r="AO13" s="249"/>
      <c r="AP13" s="249"/>
      <c r="AQ13" s="24"/>
      <c r="AR13" s="24"/>
      <c r="AS13" s="24"/>
      <c r="AT13" s="24"/>
      <c r="AU13" s="24"/>
    </row>
    <row r="14" spans="1:90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54"/>
      <c r="AO14" s="254"/>
      <c r="AP14" s="254"/>
      <c r="AQ14" s="24"/>
      <c r="AR14" s="24"/>
      <c r="AS14" s="24"/>
      <c r="AT14" s="24"/>
      <c r="AU14" s="24"/>
    </row>
    <row r="15" spans="1:90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50"/>
      <c r="AO15" s="250"/>
      <c r="AP15" s="250"/>
      <c r="AQ15" s="24"/>
      <c r="AR15" s="24"/>
      <c r="AS15" s="24"/>
      <c r="AT15" s="24"/>
      <c r="AU15" s="24"/>
      <c r="BY15" s="27" t="s">
        <v>86</v>
      </c>
      <c r="BZ15" s="27"/>
      <c r="CA15" s="27"/>
    </row>
    <row r="16" spans="1:90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51"/>
      <c r="AO16" s="252"/>
      <c r="AP16" s="252"/>
      <c r="AQ16" s="253"/>
      <c r="AW16" s="261" t="s">
        <v>50</v>
      </c>
      <c r="AX16" s="262"/>
      <c r="AY16" s="262"/>
      <c r="AZ16" s="262"/>
      <c r="BA16" s="262"/>
      <c r="BB16" s="263"/>
      <c r="BC16" s="258" t="s">
        <v>59</v>
      </c>
      <c r="BD16" s="259"/>
      <c r="BE16" s="260"/>
      <c r="BF16" s="255" t="s">
        <v>58</v>
      </c>
      <c r="BG16" s="256"/>
      <c r="BH16" s="256"/>
      <c r="BI16" s="257"/>
      <c r="BY16" s="27"/>
      <c r="BZ16" s="27"/>
      <c r="CA16" s="27"/>
    </row>
    <row r="17" spans="1:79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53" t="s">
        <v>14</v>
      </c>
      <c r="AO17" s="53" t="s">
        <v>10</v>
      </c>
      <c r="AP17" s="53" t="s">
        <v>11</v>
      </c>
      <c r="AQ17" s="53" t="s">
        <v>12</v>
      </c>
      <c r="AR17" s="53" t="s">
        <v>13</v>
      </c>
      <c r="AS17" s="53" t="s">
        <v>6</v>
      </c>
      <c r="AT17" s="53" t="s">
        <v>8</v>
      </c>
      <c r="AU17" s="53" t="s">
        <v>9</v>
      </c>
      <c r="AW17" s="33" t="s">
        <v>60</v>
      </c>
      <c r="AX17" s="33" t="s">
        <v>61</v>
      </c>
      <c r="AY17" s="33" t="s">
        <v>63</v>
      </c>
      <c r="AZ17" s="33" t="s">
        <v>64</v>
      </c>
      <c r="BA17" s="33" t="s">
        <v>65</v>
      </c>
      <c r="BB17" s="33" t="s">
        <v>62</v>
      </c>
      <c r="BC17" s="33" t="s">
        <v>51</v>
      </c>
      <c r="BD17" s="33" t="s">
        <v>52</v>
      </c>
      <c r="BE17" s="33" t="s">
        <v>56</v>
      </c>
      <c r="BF17" s="33" t="s">
        <v>53</v>
      </c>
      <c r="BG17" s="33" t="s">
        <v>54</v>
      </c>
      <c r="BH17" s="33" t="s">
        <v>55</v>
      </c>
      <c r="BI17" s="33" t="s">
        <v>57</v>
      </c>
      <c r="BJ17" s="33" t="s">
        <v>66</v>
      </c>
      <c r="BL17" s="35" t="s">
        <v>72</v>
      </c>
      <c r="BM17" s="35" t="s">
        <v>68</v>
      </c>
      <c r="BN17" s="35" t="s">
        <v>69</v>
      </c>
      <c r="BO17" s="35" t="s">
        <v>70</v>
      </c>
      <c r="BP17" s="35" t="s">
        <v>71</v>
      </c>
      <c r="BQ17" s="35" t="s">
        <v>76</v>
      </c>
      <c r="BR17" s="35" t="s">
        <v>77</v>
      </c>
      <c r="BS17" s="35" t="s">
        <v>79</v>
      </c>
      <c r="BT17" s="35" t="s">
        <v>73</v>
      </c>
      <c r="BU17" s="35" t="s">
        <v>80</v>
      </c>
      <c r="BV17" s="35" t="s">
        <v>74</v>
      </c>
      <c r="BY17" s="27" t="s">
        <v>87</v>
      </c>
      <c r="BZ17" s="27" t="s">
        <v>89</v>
      </c>
      <c r="CA17" s="27" t="s">
        <v>88</v>
      </c>
    </row>
    <row r="18" spans="1:79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4" t="s">
        <v>29</v>
      </c>
      <c r="AO18" s="67">
        <v>112413795</v>
      </c>
      <c r="AP18" s="67">
        <f>+AO18*19%</f>
        <v>21358621.050000001</v>
      </c>
      <c r="AQ18" s="67">
        <f>+AP18+AO18</f>
        <v>133772416.05</v>
      </c>
      <c r="AR18" s="67">
        <f>+AQ18</f>
        <v>133772416.05</v>
      </c>
      <c r="AS18" s="42">
        <v>60</v>
      </c>
      <c r="AT18" s="19" t="s">
        <v>36</v>
      </c>
      <c r="AU18" s="19" t="s">
        <v>43</v>
      </c>
      <c r="AW18" s="52">
        <v>15100</v>
      </c>
      <c r="AX18" s="52">
        <f>AW18*2.44%+AW18</f>
        <v>15468.44</v>
      </c>
      <c r="AY18" s="52">
        <f>AX18*1.81%+AX18</f>
        <v>15748.418764</v>
      </c>
      <c r="AZ18" s="52">
        <f>AY18*1.24%+AY18</f>
        <v>15943.6991566736</v>
      </c>
      <c r="BA18" s="52">
        <f>AZ18*4.69%+AZ18</f>
        <v>16691.458647121592</v>
      </c>
      <c r="BB18" s="43">
        <f>BA18*3790.88</f>
        <v>63275316.756200299</v>
      </c>
      <c r="BC18" s="43">
        <v>53222155.560000002</v>
      </c>
      <c r="BD18" s="43">
        <v>63334365.119999997</v>
      </c>
      <c r="BE18" s="43">
        <f>BD18*(118.7/103.8)</f>
        <v>72425714.255722553</v>
      </c>
      <c r="BF18" s="42"/>
      <c r="BG18" s="42"/>
      <c r="BH18" s="42"/>
      <c r="BI18" s="42"/>
      <c r="BJ18" s="68">
        <f>BE18</f>
        <v>72425714.255722553</v>
      </c>
      <c r="BL18" s="46">
        <f>MIN(BJ18,AO18,AM18,I18)</f>
        <v>62000000</v>
      </c>
      <c r="BM18" s="46">
        <f>MAX(BJ18,AO18,AM18,I18)</f>
        <v>118275456</v>
      </c>
      <c r="BN18" s="46">
        <f>AVERAGE(BJ18,AO18,AM18,I18)</f>
        <v>91278741.313930631</v>
      </c>
      <c r="BO18" s="46">
        <f>GEOMEAN(BJ18,AO18,AM18,I18)</f>
        <v>87902186.760975689</v>
      </c>
      <c r="BP18" s="46">
        <f>MEDIAN(BJ18,AO18,AM18,I18)</f>
        <v>92419754.627861276</v>
      </c>
      <c r="BQ18" s="46">
        <f>_xlfn.STDEV.S(BJ18,AO18,AM18,I18)</f>
        <v>28214620.443661615</v>
      </c>
      <c r="BR18" s="47">
        <f t="shared" ref="BR18" si="2">BQ18/BP18</f>
        <v>0.30528776620616466</v>
      </c>
      <c r="BS18" s="42">
        <v>60861945.649999999</v>
      </c>
      <c r="BT18" s="42" t="s">
        <v>78</v>
      </c>
      <c r="BU18" s="46">
        <f>BS18*0.19+BS18</f>
        <v>72425715.323499992</v>
      </c>
      <c r="BV18" s="42"/>
      <c r="BW18" s="48" t="s">
        <v>82</v>
      </c>
      <c r="BY18" s="42">
        <v>1</v>
      </c>
      <c r="BZ18" s="46">
        <f>BY18*BS18</f>
        <v>60861945.649999999</v>
      </c>
      <c r="CA18" s="46">
        <f>BY18*BU18</f>
        <v>72425715.323499992</v>
      </c>
    </row>
    <row r="19" spans="1:79" ht="12.75" hidden="1" customHeight="1" x14ac:dyDescent="0.2"/>
    <row r="20" spans="1:79" ht="12.75" hidden="1" customHeight="1" x14ac:dyDescent="0.2"/>
    <row r="21" spans="1:79" ht="12.75" hidden="1" customHeight="1" x14ac:dyDescent="0.2">
      <c r="BZ21" s="69"/>
    </row>
    <row r="22" spans="1:79" ht="12.75" hidden="1" customHeight="1" x14ac:dyDescent="0.2"/>
    <row r="23" spans="1:79" ht="12.75" hidden="1" customHeight="1" x14ac:dyDescent="0.2"/>
    <row r="24" spans="1:79" ht="12.75" hidden="1" customHeight="1" x14ac:dyDescent="0.2"/>
    <row r="25" spans="1:79" ht="12.75" hidden="1" customHeight="1" x14ac:dyDescent="0.2"/>
    <row r="26" spans="1:79" ht="12.75" hidden="1" customHeight="1" x14ac:dyDescent="0.2">
      <c r="BZ26" s="46">
        <f>+BZ10/3790.88</f>
        <v>160881</v>
      </c>
      <c r="CA26" s="46">
        <f>+BZ26*4150</f>
        <v>667656150</v>
      </c>
    </row>
    <row r="27" spans="1:79" ht="12.75" hidden="1" customHeight="1" x14ac:dyDescent="0.2"/>
    <row r="28" spans="1:79" ht="12.75" hidden="1" customHeight="1" x14ac:dyDescent="0.2"/>
    <row r="29" spans="1:79" ht="12.75" hidden="1" customHeight="1" x14ac:dyDescent="0.2">
      <c r="A29" s="168" t="s">
        <v>101</v>
      </c>
      <c r="B29" s="169" t="s">
        <v>102</v>
      </c>
    </row>
    <row r="30" spans="1:79" ht="12.75" hidden="1" customHeight="1" x14ac:dyDescent="0.2">
      <c r="A30" s="168"/>
      <c r="B30" s="170">
        <v>35</v>
      </c>
    </row>
    <row r="31" spans="1:79" ht="12.75" hidden="1" customHeight="1" x14ac:dyDescent="0.2">
      <c r="A31" s="168"/>
      <c r="B31" s="170">
        <v>36</v>
      </c>
      <c r="C31" s="77" t="s">
        <v>106</v>
      </c>
    </row>
    <row r="32" spans="1:79" ht="12.75" hidden="1" customHeight="1" x14ac:dyDescent="0.2">
      <c r="A32" s="168"/>
      <c r="B32" s="170">
        <v>37</v>
      </c>
    </row>
    <row r="33" spans="1:4" ht="12.75" hidden="1" customHeight="1" x14ac:dyDescent="0.2">
      <c r="A33" s="168"/>
      <c r="B33" s="170">
        <v>38</v>
      </c>
    </row>
    <row r="34" spans="1:4" ht="12.75" hidden="1" customHeight="1" x14ac:dyDescent="0.2">
      <c r="A34" s="168"/>
      <c r="B34" s="170">
        <v>39</v>
      </c>
      <c r="C34" s="77" t="s">
        <v>106</v>
      </c>
    </row>
    <row r="35" spans="1:4" ht="12.75" hidden="1" customHeight="1" x14ac:dyDescent="0.2">
      <c r="A35" s="171" t="s">
        <v>103</v>
      </c>
      <c r="B35" s="169"/>
      <c r="D35" s="172"/>
    </row>
    <row r="36" spans="1:4" ht="12.75" hidden="1" customHeight="1" x14ac:dyDescent="0.2">
      <c r="A36" s="168"/>
      <c r="B36" s="169"/>
    </row>
    <row r="37" spans="1:4" ht="12.75" hidden="1" customHeight="1" x14ac:dyDescent="0.2">
      <c r="A37" s="168" t="s">
        <v>104</v>
      </c>
      <c r="B37" s="169"/>
    </row>
    <row r="38" spans="1:4" ht="12.75" hidden="1" customHeight="1" x14ac:dyDescent="0.2">
      <c r="A38" s="168" t="s">
        <v>105</v>
      </c>
      <c r="B38" s="169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password="F2BF" sheet="1" objects="1" scenarios="1"/>
  <mergeCells count="34">
    <mergeCell ref="BY7:BY8"/>
    <mergeCell ref="CE8:CF8"/>
    <mergeCell ref="CH8:CI8"/>
    <mergeCell ref="BL6:BU6"/>
    <mergeCell ref="A13:G13"/>
    <mergeCell ref="Y13:AA13"/>
    <mergeCell ref="H16:K16"/>
    <mergeCell ref="H13:J13"/>
    <mergeCell ref="C8:G8"/>
    <mergeCell ref="P13:R13"/>
    <mergeCell ref="H14:J14"/>
    <mergeCell ref="H15:J15"/>
    <mergeCell ref="A14:G14"/>
    <mergeCell ref="A15:B15"/>
    <mergeCell ref="C15:G15"/>
    <mergeCell ref="A16:B16"/>
    <mergeCell ref="C16:G16"/>
    <mergeCell ref="Y14:AA14"/>
    <mergeCell ref="Y15:AA15"/>
    <mergeCell ref="P14:R14"/>
    <mergeCell ref="P15:R15"/>
    <mergeCell ref="P16:S16"/>
    <mergeCell ref="Y16:AB16"/>
    <mergeCell ref="BF16:BI16"/>
    <mergeCell ref="BC16:BE16"/>
    <mergeCell ref="AW16:BB16"/>
    <mergeCell ref="AW8:BB8"/>
    <mergeCell ref="AW6:BJ6"/>
    <mergeCell ref="BF8:BI8"/>
    <mergeCell ref="AN2:AU2"/>
    <mergeCell ref="AN13:AP13"/>
    <mergeCell ref="AN15:AP15"/>
    <mergeCell ref="AN16:AQ16"/>
    <mergeCell ref="AN14:AP14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1"/>
  <sheetViews>
    <sheetView topLeftCell="AW7" zoomScale="124" zoomScaleNormal="124" workbookViewId="0">
      <selection activeCell="AZ9" sqref="AZ9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10.85546875" style="77" bestFit="1" customWidth="1"/>
    <col min="7" max="7" width="36" style="77" customWidth="1"/>
    <col min="8" max="8" width="19.42578125" style="77" hidden="1" customWidth="1"/>
    <col min="9" max="9" width="22.85546875" style="77" hidden="1" customWidth="1"/>
    <col min="10" max="10" width="14" style="77" hidden="1" customWidth="1"/>
    <col min="11" max="11" width="18.85546875" style="77" hidden="1" customWidth="1"/>
    <col min="12" max="12" width="17" style="77" hidden="1" customWidth="1"/>
    <col min="13" max="13" width="10.85546875" style="77" hidden="1" customWidth="1"/>
    <col min="14" max="14" width="30.7109375" style="77" hidden="1" customWidth="1"/>
    <col min="15" max="15" width="25.85546875" style="77" hidden="1" customWidth="1"/>
    <col min="16" max="16" width="6.85546875" style="77" hidden="1" customWidth="1"/>
    <col min="17" max="17" width="22.85546875" style="77" hidden="1" customWidth="1"/>
    <col min="18" max="18" width="19.7109375" style="77" hidden="1" customWidth="1"/>
    <col min="19" max="19" width="13.5703125" style="77" hidden="1" customWidth="1"/>
    <col min="20" max="20" width="18.7109375" style="77" hidden="1" customWidth="1"/>
    <col min="21" max="21" width="18.140625" style="77" hidden="1" customWidth="1"/>
    <col min="22" max="22" width="10.85546875" style="77" hidden="1" customWidth="1"/>
    <col min="23" max="23" width="22.85546875" style="77" hidden="1" customWidth="1"/>
    <col min="24" max="24" width="26.7109375" style="77" hidden="1" customWidth="1"/>
    <col min="25" max="25" width="10.85546875" style="77" hidden="1" customWidth="1"/>
    <col min="26" max="26" width="18.5703125" style="77" hidden="1" customWidth="1"/>
    <col min="27" max="27" width="10.85546875" style="77" hidden="1" customWidth="1"/>
    <col min="28" max="28" width="16.140625" style="77" hidden="1" customWidth="1"/>
    <col min="29" max="29" width="17.140625" style="77" hidden="1" customWidth="1"/>
    <col min="30" max="30" width="19" style="77" hidden="1" customWidth="1"/>
    <col min="31" max="31" width="20.28515625" style="77" hidden="1" customWidth="1"/>
    <col min="32" max="33" width="15.42578125" style="77" hidden="1" customWidth="1"/>
    <col min="34" max="34" width="39.28515625" style="77" hidden="1" customWidth="1"/>
    <col min="35" max="35" width="18.7109375" style="77" hidden="1" customWidth="1"/>
    <col min="36" max="36" width="19.42578125" style="77" hidden="1" customWidth="1"/>
    <col min="37" max="37" width="20" style="77" hidden="1" customWidth="1"/>
    <col min="38" max="38" width="15.42578125" style="77" hidden="1" customWidth="1"/>
    <col min="39" max="39" width="23.140625" style="77" hidden="1" customWidth="1"/>
    <col min="40" max="40" width="10.85546875" style="77" hidden="1" customWidth="1"/>
    <col min="41" max="41" width="14.140625" style="77" hidden="1" customWidth="1"/>
    <col min="42" max="42" width="13" style="77" hidden="1" customWidth="1"/>
    <col min="43" max="44" width="14.140625" style="77" hidden="1" customWidth="1"/>
    <col min="45" max="48" width="10.85546875" style="77" hidden="1" customWidth="1"/>
    <col min="49" max="53" width="13.140625" style="77" customWidth="1"/>
    <col min="54" max="55" width="15.140625" style="77" customWidth="1"/>
    <col min="56" max="56" width="11.85546875" style="77" customWidth="1"/>
    <col min="57" max="57" width="25.5703125" style="77" customWidth="1"/>
    <col min="58" max="58" width="16.140625" style="77" customWidth="1"/>
    <col min="59" max="59" width="10.85546875" style="77" customWidth="1"/>
    <col min="60" max="60" width="16.140625" style="77" customWidth="1"/>
    <col min="61" max="61" width="28.5703125" style="77" customWidth="1"/>
    <col min="62" max="62" width="29" style="77" customWidth="1"/>
    <col min="63" max="63" width="10.85546875" style="77" hidden="1" customWidth="1"/>
    <col min="64" max="64" width="13.85546875" style="77" hidden="1" customWidth="1"/>
    <col min="65" max="68" width="15.42578125" style="77" hidden="1" customWidth="1"/>
    <col min="69" max="69" width="13.85546875" style="77" hidden="1" customWidth="1"/>
    <col min="70" max="70" width="10.85546875" style="77" hidden="1" customWidth="1"/>
    <col min="71" max="71" width="20.85546875" style="77" hidden="1" customWidth="1"/>
    <col min="72" max="72" width="10.85546875" style="77" hidden="1" customWidth="1"/>
    <col min="73" max="73" width="12.85546875" style="77" hidden="1" customWidth="1"/>
    <col min="74" max="76" width="10.85546875" style="77" hidden="1" customWidth="1"/>
    <col min="77" max="77" width="29.140625" style="77" hidden="1" customWidth="1"/>
    <col min="78" max="78" width="43.85546875" style="77" hidden="1" customWidth="1"/>
    <col min="79" max="79" width="44.42578125" style="77" hidden="1" customWidth="1"/>
    <col min="80" max="91" width="10.85546875" style="77" hidden="1" customWidth="1"/>
    <col min="92" max="92" width="0" style="77" hidden="1" customWidth="1"/>
    <col min="93" max="16384" width="10.85546875" style="77"/>
  </cols>
  <sheetData>
    <row r="1" spans="1:90" x14ac:dyDescent="0.2"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CA1" s="175"/>
      <c r="CB1" s="176"/>
      <c r="CC1" s="176"/>
      <c r="CD1" s="177"/>
      <c r="CG1" s="101"/>
      <c r="CH1" s="178"/>
      <c r="CI1" s="178"/>
      <c r="CJ1" s="179"/>
      <c r="CK1" s="178"/>
    </row>
    <row r="2" spans="1:90" x14ac:dyDescent="0.2"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CA2" s="175"/>
      <c r="CB2" s="176"/>
      <c r="CC2" s="176"/>
      <c r="CD2" s="177"/>
      <c r="CG2" s="101"/>
      <c r="CH2" s="178"/>
      <c r="CI2" s="178"/>
      <c r="CJ2" s="179"/>
      <c r="CK2" s="178"/>
    </row>
    <row r="3" spans="1:90" ht="52.9" customHeight="1" x14ac:dyDescent="0.2">
      <c r="A3" s="92"/>
      <c r="B3" s="93" t="s">
        <v>109</v>
      </c>
      <c r="C3" s="94"/>
      <c r="D3" s="94"/>
      <c r="E3" s="94"/>
      <c r="F3" s="94"/>
      <c r="G3" s="95"/>
      <c r="H3" s="96"/>
      <c r="P3" s="96"/>
      <c r="Y3" s="96"/>
      <c r="AN3" s="96"/>
      <c r="CA3" s="175"/>
      <c r="CB3" s="176"/>
      <c r="CC3" s="176"/>
      <c r="CD3" s="177"/>
      <c r="CG3" s="101"/>
      <c r="CH3" s="178"/>
      <c r="CI3" s="178"/>
      <c r="CJ3" s="179"/>
      <c r="CK3" s="178"/>
    </row>
    <row r="4" spans="1:90" ht="14.25" customHeight="1" x14ac:dyDescent="0.2">
      <c r="A4" s="92"/>
      <c r="B4" s="97"/>
      <c r="C4" s="98"/>
      <c r="D4" s="98"/>
      <c r="E4" s="98"/>
      <c r="F4" s="98"/>
      <c r="G4" s="99"/>
      <c r="H4" s="96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CA4" s="175"/>
      <c r="CB4" s="176"/>
      <c r="CC4" s="176"/>
      <c r="CD4" s="177"/>
      <c r="CG4" s="101"/>
      <c r="CH4" s="178"/>
      <c r="CI4" s="178"/>
      <c r="CJ4" s="179"/>
      <c r="CK4" s="178"/>
    </row>
    <row r="5" spans="1:90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CA5" s="175"/>
      <c r="CB5" s="176"/>
      <c r="CC5" s="176"/>
      <c r="CD5" s="177"/>
      <c r="CG5" s="101"/>
      <c r="CH5" s="178"/>
      <c r="CI5" s="178"/>
      <c r="CJ5" s="179"/>
      <c r="CK5" s="178"/>
    </row>
    <row r="6" spans="1:90" ht="80.650000000000006" customHeight="1" x14ac:dyDescent="0.2">
      <c r="A6" s="106"/>
      <c r="B6" s="107" t="s">
        <v>112</v>
      </c>
      <c r="C6" s="108"/>
      <c r="D6" s="108"/>
      <c r="E6" s="108"/>
      <c r="F6" s="108"/>
      <c r="G6" s="109"/>
      <c r="H6" s="110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W6" s="180" t="s">
        <v>67</v>
      </c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2"/>
      <c r="BL6" s="310" t="s">
        <v>75</v>
      </c>
      <c r="BM6" s="311"/>
      <c r="BN6" s="311"/>
      <c r="BO6" s="311"/>
      <c r="BP6" s="311"/>
      <c r="BQ6" s="311"/>
      <c r="BR6" s="311"/>
      <c r="BS6" s="311"/>
      <c r="BT6" s="311"/>
      <c r="BU6" s="312"/>
      <c r="CA6" s="175"/>
      <c r="CB6" s="176"/>
      <c r="CC6" s="176"/>
      <c r="CD6" s="177"/>
      <c r="CG6" s="101"/>
      <c r="CH6" s="178"/>
      <c r="CI6" s="178"/>
      <c r="CJ6" s="179"/>
      <c r="CK6" s="178"/>
    </row>
    <row r="7" spans="1:90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112"/>
      <c r="P7" s="113"/>
      <c r="Y7" s="11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13"/>
      <c r="AO7" s="101"/>
      <c r="AP7" s="101"/>
      <c r="AQ7" s="101"/>
      <c r="AR7" s="101"/>
      <c r="AS7" s="101"/>
      <c r="AT7" s="101"/>
      <c r="AU7" s="101"/>
      <c r="BY7" s="313" t="s">
        <v>86</v>
      </c>
      <c r="BZ7" s="183"/>
      <c r="CA7" s="175"/>
      <c r="CB7" s="176"/>
      <c r="CC7" s="176"/>
      <c r="CD7" s="177"/>
      <c r="CG7" s="101"/>
      <c r="CH7" s="178"/>
      <c r="CI7" s="178"/>
      <c r="CJ7" s="179"/>
      <c r="CK7" s="178"/>
    </row>
    <row r="8" spans="1:90" ht="14.25" customHeight="1" x14ac:dyDescent="0.2">
      <c r="A8" s="114"/>
      <c r="B8" s="115"/>
      <c r="C8" s="274"/>
      <c r="D8" s="275"/>
      <c r="E8" s="275"/>
      <c r="F8" s="275"/>
      <c r="G8" s="276"/>
      <c r="H8" s="116"/>
      <c r="P8" s="117"/>
      <c r="Y8" s="118"/>
      <c r="AN8" s="118"/>
      <c r="AW8" s="184" t="s">
        <v>50</v>
      </c>
      <c r="AX8" s="185"/>
      <c r="AY8" s="185"/>
      <c r="AZ8" s="185"/>
      <c r="BA8" s="185"/>
      <c r="BB8" s="186"/>
      <c r="BC8" s="187" t="s">
        <v>49</v>
      </c>
      <c r="BD8" s="187"/>
      <c r="BE8" s="188"/>
      <c r="BF8" s="189" t="s">
        <v>111</v>
      </c>
      <c r="BG8" s="190"/>
      <c r="BH8" s="190"/>
      <c r="BI8" s="190"/>
      <c r="BJ8" s="191"/>
      <c r="BY8" s="314"/>
      <c r="BZ8" s="183"/>
      <c r="CA8" s="175"/>
      <c r="CB8" s="176"/>
      <c r="CC8" s="176"/>
      <c r="CD8" s="177"/>
      <c r="CE8" s="315" t="s">
        <v>91</v>
      </c>
      <c r="CF8" s="316"/>
      <c r="CG8" s="192"/>
      <c r="CH8" s="317" t="s">
        <v>92</v>
      </c>
      <c r="CI8" s="318"/>
      <c r="CJ8" s="193"/>
      <c r="CK8" s="194" t="s">
        <v>92</v>
      </c>
      <c r="CL8" s="195" t="s">
        <v>91</v>
      </c>
    </row>
    <row r="9" spans="1:90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122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Y9" s="183" t="s">
        <v>87</v>
      </c>
      <c r="BZ9" s="183" t="s">
        <v>89</v>
      </c>
      <c r="CA9" s="199" t="s">
        <v>93</v>
      </c>
      <c r="CB9" s="200" t="s">
        <v>94</v>
      </c>
      <c r="CC9" s="201" t="s">
        <v>95</v>
      </c>
      <c r="CD9" s="202"/>
      <c r="CE9" s="203" t="s">
        <v>96</v>
      </c>
      <c r="CF9" s="203" t="s">
        <v>97</v>
      </c>
      <c r="CG9" s="192"/>
      <c r="CH9" s="204" t="s">
        <v>98</v>
      </c>
      <c r="CI9" s="204" t="s">
        <v>99</v>
      </c>
      <c r="CJ9" s="193"/>
      <c r="CK9" s="204" t="s">
        <v>100</v>
      </c>
      <c r="CL9" s="195" t="s">
        <v>107</v>
      </c>
    </row>
    <row r="10" spans="1:90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0"/>
      <c r="AO10" s="163"/>
      <c r="AP10" s="163"/>
      <c r="AQ10" s="163"/>
      <c r="AR10" s="163"/>
      <c r="AS10" s="163"/>
      <c r="AT10" s="163"/>
      <c r="AU10" s="163"/>
      <c r="AW10" s="163"/>
      <c r="AX10" s="163"/>
      <c r="AY10" s="163"/>
      <c r="AZ10" s="163"/>
      <c r="BA10" s="163"/>
      <c r="BB10" s="163"/>
      <c r="BC10" s="205"/>
      <c r="BD10" s="205"/>
      <c r="BE10" s="205"/>
      <c r="BF10" s="205">
        <v>562500000</v>
      </c>
      <c r="BG10" s="205">
        <v>0</v>
      </c>
      <c r="BH10" s="205">
        <v>562500000</v>
      </c>
      <c r="BI10" s="205">
        <f>BH10*(120.27/109.14)</f>
        <v>619863249.03793287</v>
      </c>
      <c r="BJ10" s="206">
        <f>BI10</f>
        <v>619863249.03793287</v>
      </c>
      <c r="BL10" s="207">
        <f>MINA(L10,U10,AD10,AM10,BJ10)</f>
        <v>609880565.27999997</v>
      </c>
      <c r="BM10" s="207">
        <f>MAX(L10,U10,AD10,AM10,BJ10)</f>
        <v>2274528000</v>
      </c>
      <c r="BN10" s="207">
        <f>AVERAGE(L10,U10,AD10,AM10,BJ10)</f>
        <v>1260385930.8635864</v>
      </c>
      <c r="BO10" s="207">
        <f>GEOMEAN(L10,U10,AD10,AM10,BJ10)</f>
        <v>1109368736.8867741</v>
      </c>
      <c r="BP10" s="207">
        <f>MEDIAN(L10,U10,AD10,AM10,BJ10)</f>
        <v>1347657840</v>
      </c>
      <c r="BQ10" s="207">
        <f>_xlfn.STDEV.S(L10,U10,AD10,AM10,BJ10)</f>
        <v>690195724.83412874</v>
      </c>
      <c r="BR10" s="208">
        <f t="shared" ref="BR10" si="0">BQ10/BP10</f>
        <v>0.51214462925851323</v>
      </c>
      <c r="BS10" s="207">
        <f t="shared" ref="BS10" si="1">BL10</f>
        <v>609880565.27999997</v>
      </c>
      <c r="BT10" s="163" t="s">
        <v>78</v>
      </c>
      <c r="BU10" s="163" t="s">
        <v>108</v>
      </c>
      <c r="BW10" s="209" t="s">
        <v>81</v>
      </c>
      <c r="BY10" s="163">
        <v>1</v>
      </c>
      <c r="BZ10" s="207">
        <f>BY10*BS10</f>
        <v>609880565.27999997</v>
      </c>
      <c r="CA10" s="207">
        <f>BS10*F10</f>
        <v>609880565.27999997</v>
      </c>
      <c r="CB10" s="208">
        <f>BY10/F10</f>
        <v>1</v>
      </c>
      <c r="CC10" s="210">
        <f>CB10-1</f>
        <v>0</v>
      </c>
      <c r="CD10" s="177"/>
      <c r="CE10" s="211">
        <f>BZ10</f>
        <v>609880565.27999997</v>
      </c>
      <c r="CF10" s="211">
        <f>CE10*BY10</f>
        <v>609880565.27999997</v>
      </c>
      <c r="CG10" s="212"/>
      <c r="CH10" s="169">
        <f>CF10/3790.88</f>
        <v>160881</v>
      </c>
      <c r="CI10" s="169">
        <f>CH10*BY10</f>
        <v>160881</v>
      </c>
      <c r="CJ10" s="179"/>
      <c r="CK10" s="169">
        <f>CI10</f>
        <v>160881</v>
      </c>
      <c r="CL10" s="211">
        <f>CK10*4600</f>
        <v>740052600</v>
      </c>
    </row>
    <row r="11" spans="1:90" ht="12.75" hidden="1" customHeight="1" x14ac:dyDescent="0.2"/>
    <row r="12" spans="1:90" ht="12.75" hidden="1" customHeight="1" x14ac:dyDescent="0.2"/>
    <row r="13" spans="1:90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80"/>
      <c r="AO13" s="280"/>
      <c r="AP13" s="280"/>
      <c r="AQ13" s="101"/>
      <c r="AR13" s="101"/>
      <c r="AS13" s="101"/>
      <c r="AT13" s="101"/>
      <c r="AU13" s="101"/>
    </row>
    <row r="14" spans="1:90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69"/>
      <c r="AO14" s="269"/>
      <c r="AP14" s="269"/>
      <c r="AQ14" s="101"/>
      <c r="AR14" s="101"/>
      <c r="AS14" s="101"/>
      <c r="AT14" s="101"/>
      <c r="AU14" s="101"/>
    </row>
    <row r="15" spans="1:90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70"/>
      <c r="AO15" s="270"/>
      <c r="AP15" s="270"/>
      <c r="AQ15" s="101"/>
      <c r="AR15" s="101"/>
      <c r="AS15" s="101"/>
      <c r="AT15" s="101"/>
      <c r="AU15" s="101"/>
      <c r="BY15" s="183" t="s">
        <v>86</v>
      </c>
      <c r="BZ15" s="183"/>
      <c r="CA15" s="183"/>
    </row>
    <row r="16" spans="1:90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71"/>
      <c r="AO16" s="272"/>
      <c r="AP16" s="272"/>
      <c r="AQ16" s="273"/>
      <c r="AW16" s="298" t="s">
        <v>50</v>
      </c>
      <c r="AX16" s="299"/>
      <c r="AY16" s="299"/>
      <c r="AZ16" s="299"/>
      <c r="BA16" s="299"/>
      <c r="BB16" s="300"/>
      <c r="BC16" s="301" t="s">
        <v>59</v>
      </c>
      <c r="BD16" s="302"/>
      <c r="BE16" s="303"/>
      <c r="BF16" s="304" t="s">
        <v>58</v>
      </c>
      <c r="BG16" s="305"/>
      <c r="BH16" s="305"/>
      <c r="BI16" s="306"/>
      <c r="BY16" s="183"/>
      <c r="BZ16" s="183"/>
      <c r="CA16" s="183"/>
    </row>
    <row r="17" spans="1:79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146" t="s">
        <v>14</v>
      </c>
      <c r="AO17" s="146" t="s">
        <v>10</v>
      </c>
      <c r="AP17" s="146" t="s">
        <v>11</v>
      </c>
      <c r="AQ17" s="146" t="s">
        <v>12</v>
      </c>
      <c r="AR17" s="146" t="s">
        <v>13</v>
      </c>
      <c r="AS17" s="146" t="s">
        <v>6</v>
      </c>
      <c r="AT17" s="146" t="s">
        <v>8</v>
      </c>
      <c r="AU17" s="146" t="s">
        <v>9</v>
      </c>
      <c r="AW17" s="196" t="s">
        <v>60</v>
      </c>
      <c r="AX17" s="196" t="s">
        <v>61</v>
      </c>
      <c r="AY17" s="196" t="s">
        <v>63</v>
      </c>
      <c r="AZ17" s="196" t="s">
        <v>64</v>
      </c>
      <c r="BA17" s="196" t="s">
        <v>65</v>
      </c>
      <c r="BB17" s="196" t="s">
        <v>62</v>
      </c>
      <c r="BC17" s="196" t="s">
        <v>51</v>
      </c>
      <c r="BD17" s="196" t="s">
        <v>52</v>
      </c>
      <c r="BE17" s="196" t="s">
        <v>56</v>
      </c>
      <c r="BF17" s="196" t="s">
        <v>53</v>
      </c>
      <c r="BG17" s="196" t="s">
        <v>54</v>
      </c>
      <c r="BH17" s="196" t="s">
        <v>55</v>
      </c>
      <c r="BI17" s="196" t="s">
        <v>57</v>
      </c>
      <c r="BJ17" s="196" t="s">
        <v>66</v>
      </c>
      <c r="BL17" s="198" t="s">
        <v>72</v>
      </c>
      <c r="BM17" s="198" t="s">
        <v>68</v>
      </c>
      <c r="BN17" s="198" t="s">
        <v>69</v>
      </c>
      <c r="BO17" s="198" t="s">
        <v>70</v>
      </c>
      <c r="BP17" s="198" t="s">
        <v>71</v>
      </c>
      <c r="BQ17" s="198" t="s">
        <v>76</v>
      </c>
      <c r="BR17" s="198" t="s">
        <v>77</v>
      </c>
      <c r="BS17" s="198" t="s">
        <v>79</v>
      </c>
      <c r="BT17" s="198" t="s">
        <v>73</v>
      </c>
      <c r="BU17" s="198" t="s">
        <v>80</v>
      </c>
      <c r="BV17" s="198" t="s">
        <v>74</v>
      </c>
      <c r="BY17" s="183" t="s">
        <v>87</v>
      </c>
      <c r="BZ17" s="183" t="s">
        <v>89</v>
      </c>
      <c r="CA17" s="183" t="s">
        <v>88</v>
      </c>
    </row>
    <row r="18" spans="1:79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57" t="s">
        <v>29</v>
      </c>
      <c r="AO18" s="213">
        <v>112413795</v>
      </c>
      <c r="AP18" s="213">
        <f>+AO18*19%</f>
        <v>21358621.050000001</v>
      </c>
      <c r="AQ18" s="213">
        <f>+AP18+AO18</f>
        <v>133772416.05</v>
      </c>
      <c r="AR18" s="213">
        <f>+AQ18</f>
        <v>133772416.05</v>
      </c>
      <c r="AS18" s="163">
        <v>60</v>
      </c>
      <c r="AT18" s="214" t="s">
        <v>36</v>
      </c>
      <c r="AU18" s="214" t="s">
        <v>43</v>
      </c>
      <c r="AW18" s="169">
        <v>15100</v>
      </c>
      <c r="AX18" s="169">
        <f>AW18*2.44%+AW18</f>
        <v>15468.44</v>
      </c>
      <c r="AY18" s="169">
        <f>AX18*1.81%+AX18</f>
        <v>15748.418764</v>
      </c>
      <c r="AZ18" s="169">
        <f>AY18*1.24%+AY18</f>
        <v>15943.6991566736</v>
      </c>
      <c r="BA18" s="169">
        <f>AZ18*4.69%+AZ18</f>
        <v>16691.458647121592</v>
      </c>
      <c r="BB18" s="205">
        <f>BA18*3790.88</f>
        <v>63275316.756200299</v>
      </c>
      <c r="BC18" s="205">
        <v>53222155.560000002</v>
      </c>
      <c r="BD18" s="205">
        <v>63334365.119999997</v>
      </c>
      <c r="BE18" s="205">
        <f>BD18*(118.7/103.8)</f>
        <v>72425714.255722553</v>
      </c>
      <c r="BF18" s="163"/>
      <c r="BG18" s="163"/>
      <c r="BH18" s="163"/>
      <c r="BI18" s="163"/>
      <c r="BJ18" s="215">
        <f>BE18</f>
        <v>72425714.255722553</v>
      </c>
      <c r="BL18" s="207">
        <f>MIN(BJ18,AO18,AM18,I18)</f>
        <v>62000000</v>
      </c>
      <c r="BM18" s="207">
        <f>MAX(BJ18,AO18,AM18,I18)</f>
        <v>118275456</v>
      </c>
      <c r="BN18" s="207">
        <f>AVERAGE(BJ18,AO18,AM18,I18)</f>
        <v>91278741.313930631</v>
      </c>
      <c r="BO18" s="207">
        <f>GEOMEAN(BJ18,AO18,AM18,I18)</f>
        <v>87902186.760975689</v>
      </c>
      <c r="BP18" s="207">
        <f>MEDIAN(BJ18,AO18,AM18,I18)</f>
        <v>92419754.627861276</v>
      </c>
      <c r="BQ18" s="207">
        <f>_xlfn.STDEV.S(BJ18,AO18,AM18,I18)</f>
        <v>28214620.443661615</v>
      </c>
      <c r="BR18" s="208">
        <f t="shared" ref="BR18" si="2">BQ18/BP18</f>
        <v>0.30528776620616466</v>
      </c>
      <c r="BS18" s="163">
        <v>60861945.649999999</v>
      </c>
      <c r="BT18" s="163" t="s">
        <v>78</v>
      </c>
      <c r="BU18" s="207">
        <f>BS18*0.19+BS18</f>
        <v>72425715.323499992</v>
      </c>
      <c r="BV18" s="163"/>
      <c r="BW18" s="209" t="s">
        <v>82</v>
      </c>
      <c r="BY18" s="163">
        <v>1</v>
      </c>
      <c r="BZ18" s="207">
        <f>BY18*BS18</f>
        <v>60861945.649999999</v>
      </c>
      <c r="CA18" s="207">
        <f>BY18*BU18</f>
        <v>72425715.323499992</v>
      </c>
    </row>
    <row r="19" spans="1:79" ht="12.75" hidden="1" customHeight="1" x14ac:dyDescent="0.2"/>
    <row r="20" spans="1:79" ht="12.75" hidden="1" customHeight="1" x14ac:dyDescent="0.2"/>
    <row r="21" spans="1:79" ht="12.75" hidden="1" customHeight="1" x14ac:dyDescent="0.2">
      <c r="BZ21" s="172"/>
    </row>
    <row r="22" spans="1:79" ht="12.75" hidden="1" customHeight="1" x14ac:dyDescent="0.2"/>
    <row r="23" spans="1:79" ht="12.75" hidden="1" customHeight="1" x14ac:dyDescent="0.2"/>
    <row r="24" spans="1:79" ht="12.75" hidden="1" customHeight="1" x14ac:dyDescent="0.2"/>
    <row r="25" spans="1:79" ht="12.75" hidden="1" customHeight="1" x14ac:dyDescent="0.2"/>
    <row r="26" spans="1:79" ht="12.75" hidden="1" customHeight="1" x14ac:dyDescent="0.2">
      <c r="BZ26" s="207">
        <f>+BZ10/3790.88</f>
        <v>160881</v>
      </c>
      <c r="CA26" s="207">
        <f>+BZ26*4150</f>
        <v>667656150</v>
      </c>
    </row>
    <row r="27" spans="1:79" ht="12.75" hidden="1" customHeight="1" x14ac:dyDescent="0.2"/>
    <row r="28" spans="1:79" ht="12.75" hidden="1" customHeight="1" x14ac:dyDescent="0.2"/>
    <row r="29" spans="1:79" ht="12.75" hidden="1" customHeight="1" x14ac:dyDescent="0.2">
      <c r="A29" s="168" t="s">
        <v>101</v>
      </c>
      <c r="B29" s="169" t="s">
        <v>102</v>
      </c>
    </row>
    <row r="30" spans="1:79" ht="12.75" hidden="1" customHeight="1" x14ac:dyDescent="0.2">
      <c r="A30" s="168"/>
      <c r="B30" s="170">
        <v>35</v>
      </c>
    </row>
    <row r="31" spans="1:79" ht="12.75" hidden="1" customHeight="1" x14ac:dyDescent="0.2">
      <c r="A31" s="168"/>
      <c r="B31" s="170">
        <v>36</v>
      </c>
      <c r="C31" s="77" t="s">
        <v>106</v>
      </c>
    </row>
    <row r="32" spans="1:79" ht="12.75" hidden="1" customHeight="1" x14ac:dyDescent="0.2">
      <c r="A32" s="168"/>
      <c r="B32" s="170">
        <v>37</v>
      </c>
    </row>
    <row r="33" spans="1:4" ht="12.75" hidden="1" customHeight="1" x14ac:dyDescent="0.2">
      <c r="A33" s="168"/>
      <c r="B33" s="170">
        <v>38</v>
      </c>
    </row>
    <row r="34" spans="1:4" ht="12.75" hidden="1" customHeight="1" x14ac:dyDescent="0.2">
      <c r="A34" s="168"/>
      <c r="B34" s="170">
        <v>39</v>
      </c>
      <c r="C34" s="77" t="s">
        <v>106</v>
      </c>
    </row>
    <row r="35" spans="1:4" ht="12.75" hidden="1" customHeight="1" x14ac:dyDescent="0.2">
      <c r="A35" s="171" t="s">
        <v>103</v>
      </c>
      <c r="B35" s="169"/>
      <c r="D35" s="172"/>
    </row>
    <row r="36" spans="1:4" ht="12.75" hidden="1" customHeight="1" x14ac:dyDescent="0.2">
      <c r="A36" s="168"/>
      <c r="B36" s="169"/>
    </row>
    <row r="37" spans="1:4" ht="12.75" hidden="1" customHeight="1" x14ac:dyDescent="0.2">
      <c r="A37" s="168" t="s">
        <v>104</v>
      </c>
      <c r="B37" s="169"/>
    </row>
    <row r="38" spans="1:4" ht="12.75" hidden="1" customHeight="1" x14ac:dyDescent="0.2">
      <c r="A38" s="168" t="s">
        <v>105</v>
      </c>
      <c r="B38" s="169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password="F2BF" sheet="1" objects="1" scenarios="1"/>
  <mergeCells count="31">
    <mergeCell ref="A15:B15"/>
    <mergeCell ref="C15:G15"/>
    <mergeCell ref="H15:J15"/>
    <mergeCell ref="P15:R15"/>
    <mergeCell ref="Y15:AA15"/>
    <mergeCell ref="BL6:BU6"/>
    <mergeCell ref="BY7:BY8"/>
    <mergeCell ref="CE8:CF8"/>
    <mergeCell ref="CH8:CI8"/>
    <mergeCell ref="A13:G13"/>
    <mergeCell ref="H13:J13"/>
    <mergeCell ref="P13:R13"/>
    <mergeCell ref="Y13:AA13"/>
    <mergeCell ref="AN13:AP13"/>
    <mergeCell ref="C8:G8"/>
    <mergeCell ref="AW16:BB16"/>
    <mergeCell ref="BC16:BE16"/>
    <mergeCell ref="BF16:BI16"/>
    <mergeCell ref="AN2:AU2"/>
    <mergeCell ref="A14:G14"/>
    <mergeCell ref="H14:J14"/>
    <mergeCell ref="P14:R14"/>
    <mergeCell ref="Y14:AA14"/>
    <mergeCell ref="AN14:AP14"/>
    <mergeCell ref="AN15:AP15"/>
    <mergeCell ref="A16:B16"/>
    <mergeCell ref="C16:G16"/>
    <mergeCell ref="H16:K16"/>
    <mergeCell ref="P16:S16"/>
    <mergeCell ref="Y16:AB16"/>
    <mergeCell ref="AN16:AQ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1"/>
  <sheetViews>
    <sheetView topLeftCell="C1" zoomScale="75" zoomScaleNormal="75" workbookViewId="0">
      <selection activeCell="BS10" sqref="BS10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10.85546875" style="77" bestFit="1" customWidth="1"/>
    <col min="7" max="7" width="36" style="77" customWidth="1"/>
    <col min="8" max="8" width="19.42578125" style="77" hidden="1" customWidth="1"/>
    <col min="9" max="9" width="22.85546875" style="77" hidden="1" customWidth="1"/>
    <col min="10" max="10" width="14" style="77" hidden="1" customWidth="1"/>
    <col min="11" max="11" width="18.85546875" style="77" hidden="1" customWidth="1"/>
    <col min="12" max="12" width="17" style="77" hidden="1" customWidth="1"/>
    <col min="13" max="13" width="10.85546875" style="77" hidden="1" customWidth="1"/>
    <col min="14" max="14" width="30.7109375" style="77" hidden="1" customWidth="1"/>
    <col min="15" max="15" width="25.85546875" style="77" hidden="1" customWidth="1"/>
    <col min="16" max="16" width="6.85546875" style="77" hidden="1" customWidth="1"/>
    <col min="17" max="17" width="22.85546875" style="77" hidden="1" customWidth="1"/>
    <col min="18" max="18" width="19.7109375" style="77" hidden="1" customWidth="1"/>
    <col min="19" max="19" width="13.5703125" style="77" hidden="1" customWidth="1"/>
    <col min="20" max="20" width="18.7109375" style="77" hidden="1" customWidth="1"/>
    <col min="21" max="21" width="18.140625" style="77" hidden="1" customWidth="1"/>
    <col min="22" max="22" width="10.85546875" style="77" hidden="1" customWidth="1"/>
    <col min="23" max="23" width="22.85546875" style="77" hidden="1" customWidth="1"/>
    <col min="24" max="24" width="26.7109375" style="77" hidden="1" customWidth="1"/>
    <col min="25" max="25" width="10.85546875" style="77" hidden="1" customWidth="1"/>
    <col min="26" max="26" width="18.5703125" style="77" hidden="1" customWidth="1"/>
    <col min="27" max="27" width="10.85546875" style="77" hidden="1" customWidth="1"/>
    <col min="28" max="28" width="16.140625" style="77" hidden="1" customWidth="1"/>
    <col min="29" max="29" width="17.140625" style="77" hidden="1" customWidth="1"/>
    <col min="30" max="30" width="19" style="77" hidden="1" customWidth="1"/>
    <col min="31" max="31" width="20.28515625" style="77" hidden="1" customWidth="1"/>
    <col min="32" max="33" width="15.42578125" style="77" hidden="1" customWidth="1"/>
    <col min="34" max="34" width="39.28515625" style="77" hidden="1" customWidth="1"/>
    <col min="35" max="35" width="18.7109375" style="77" hidden="1" customWidth="1"/>
    <col min="36" max="36" width="19.42578125" style="77" hidden="1" customWidth="1"/>
    <col min="37" max="37" width="20" style="77" hidden="1" customWidth="1"/>
    <col min="38" max="38" width="15.42578125" style="77" hidden="1" customWidth="1"/>
    <col min="39" max="39" width="23.140625" style="77" hidden="1" customWidth="1"/>
    <col min="40" max="40" width="10.85546875" style="77" hidden="1" customWidth="1"/>
    <col min="41" max="41" width="14.140625" style="77" hidden="1" customWidth="1"/>
    <col min="42" max="42" width="13" style="77" hidden="1" customWidth="1"/>
    <col min="43" max="44" width="14.140625" style="77" hidden="1" customWidth="1"/>
    <col min="45" max="48" width="10.85546875" style="77" hidden="1" customWidth="1"/>
    <col min="49" max="53" width="13.140625" style="77" hidden="1" customWidth="1"/>
    <col min="54" max="55" width="15.140625" style="77" hidden="1" customWidth="1"/>
    <col min="56" max="57" width="11.85546875" style="77" hidden="1" customWidth="1"/>
    <col min="58" max="58" width="16.140625" style="77" hidden="1" customWidth="1"/>
    <col min="59" max="59" width="10.85546875" style="77" hidden="1" customWidth="1"/>
    <col min="60" max="62" width="16.140625" style="77" hidden="1" customWidth="1"/>
    <col min="63" max="63" width="10.85546875" style="77" customWidth="1"/>
    <col min="64" max="64" width="24.28515625" style="77" customWidth="1"/>
    <col min="65" max="65" width="23.28515625" style="77" customWidth="1"/>
    <col min="66" max="66" width="28.5703125" style="77" customWidth="1"/>
    <col min="67" max="67" width="24.5703125" style="77" customWidth="1"/>
    <col min="68" max="68" width="28.5703125" style="77" customWidth="1"/>
    <col min="69" max="69" width="21.42578125" style="77" customWidth="1"/>
    <col min="70" max="70" width="10.85546875" style="77" customWidth="1"/>
    <col min="71" max="71" width="20.85546875" style="77" customWidth="1"/>
    <col min="72" max="72" width="20.7109375" style="77" customWidth="1"/>
    <col min="73" max="73" width="15.85546875" style="77" customWidth="1"/>
    <col min="74" max="74" width="10.85546875" style="77" customWidth="1"/>
    <col min="75" max="76" width="10.85546875" style="77" hidden="1" customWidth="1"/>
    <col min="77" max="77" width="29.140625" style="77" hidden="1" customWidth="1"/>
    <col min="78" max="78" width="43.85546875" style="77" hidden="1" customWidth="1"/>
    <col min="79" max="79" width="44.42578125" style="77" hidden="1" customWidth="1"/>
    <col min="80" max="90" width="10.85546875" style="77" hidden="1" customWidth="1"/>
    <col min="91" max="91" width="10.85546875" style="77" customWidth="1"/>
    <col min="92" max="16384" width="10.85546875" style="77"/>
  </cols>
  <sheetData>
    <row r="1" spans="1:90" x14ac:dyDescent="0.2"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CA1" s="175"/>
      <c r="CB1" s="176"/>
      <c r="CC1" s="176"/>
      <c r="CD1" s="177"/>
      <c r="CG1" s="101"/>
      <c r="CH1" s="178"/>
      <c r="CI1" s="178"/>
      <c r="CJ1" s="179"/>
      <c r="CK1" s="178"/>
    </row>
    <row r="2" spans="1:90" x14ac:dyDescent="0.2"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CA2" s="175"/>
      <c r="CB2" s="176"/>
      <c r="CC2" s="176"/>
      <c r="CD2" s="177"/>
      <c r="CG2" s="101"/>
      <c r="CH2" s="178"/>
      <c r="CI2" s="178"/>
      <c r="CJ2" s="179"/>
      <c r="CK2" s="178"/>
    </row>
    <row r="3" spans="1:90" ht="52.9" customHeight="1" x14ac:dyDescent="0.2">
      <c r="A3" s="92"/>
      <c r="B3" s="93" t="s">
        <v>109</v>
      </c>
      <c r="C3" s="94"/>
      <c r="D3" s="94"/>
      <c r="E3" s="94"/>
      <c r="F3" s="94"/>
      <c r="G3" s="95"/>
      <c r="H3" s="96"/>
      <c r="P3" s="96"/>
      <c r="Y3" s="96"/>
      <c r="AN3" s="96"/>
      <c r="CA3" s="175"/>
      <c r="CB3" s="176"/>
      <c r="CC3" s="176"/>
      <c r="CD3" s="177"/>
      <c r="CG3" s="101"/>
      <c r="CH3" s="178"/>
      <c r="CI3" s="178"/>
      <c r="CJ3" s="179"/>
      <c r="CK3" s="178"/>
    </row>
    <row r="4" spans="1:90" ht="14.25" customHeight="1" x14ac:dyDescent="0.2">
      <c r="A4" s="92"/>
      <c r="B4" s="97"/>
      <c r="C4" s="98"/>
      <c r="D4" s="98"/>
      <c r="E4" s="98"/>
      <c r="F4" s="98"/>
      <c r="G4" s="99"/>
      <c r="H4" s="96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CA4" s="175"/>
      <c r="CB4" s="176"/>
      <c r="CC4" s="176"/>
      <c r="CD4" s="177"/>
      <c r="CG4" s="101"/>
      <c r="CH4" s="178"/>
      <c r="CI4" s="178"/>
      <c r="CJ4" s="179"/>
      <c r="CK4" s="178"/>
    </row>
    <row r="5" spans="1:90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CA5" s="175"/>
      <c r="CB5" s="176"/>
      <c r="CC5" s="176"/>
      <c r="CD5" s="177"/>
      <c r="CG5" s="101"/>
      <c r="CH5" s="178"/>
      <c r="CI5" s="178"/>
      <c r="CJ5" s="179"/>
      <c r="CK5" s="178"/>
    </row>
    <row r="6" spans="1:90" ht="80.650000000000006" customHeight="1" x14ac:dyDescent="0.2">
      <c r="A6" s="242"/>
      <c r="B6" s="241" t="s">
        <v>112</v>
      </c>
      <c r="C6" s="238"/>
      <c r="D6" s="238"/>
      <c r="E6" s="238"/>
      <c r="F6" s="238"/>
      <c r="G6" s="239"/>
      <c r="H6" s="110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W6" s="319" t="s">
        <v>67</v>
      </c>
      <c r="AX6" s="320"/>
      <c r="AY6" s="320"/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1"/>
      <c r="BL6" s="310" t="s">
        <v>75</v>
      </c>
      <c r="BM6" s="311"/>
      <c r="BN6" s="311"/>
      <c r="BO6" s="311"/>
      <c r="BP6" s="311"/>
      <c r="BQ6" s="311"/>
      <c r="BR6" s="311"/>
      <c r="BS6" s="311"/>
      <c r="BT6" s="311"/>
      <c r="BU6" s="312"/>
      <c r="CA6" s="175"/>
      <c r="CB6" s="176"/>
      <c r="CC6" s="176"/>
      <c r="CD6" s="177"/>
      <c r="CG6" s="101"/>
      <c r="CH6" s="178"/>
      <c r="CI6" s="178"/>
      <c r="CJ6" s="179"/>
      <c r="CK6" s="178"/>
    </row>
    <row r="7" spans="1:90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240"/>
      <c r="P7" s="243"/>
      <c r="Y7" s="24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243"/>
      <c r="AO7" s="101"/>
      <c r="AP7" s="101"/>
      <c r="AQ7" s="101"/>
      <c r="AR7" s="101"/>
      <c r="AS7" s="101"/>
      <c r="AT7" s="101"/>
      <c r="AU7" s="101"/>
      <c r="BY7" s="313" t="s">
        <v>86</v>
      </c>
      <c r="BZ7" s="183"/>
      <c r="CA7" s="175"/>
      <c r="CB7" s="176"/>
      <c r="CC7" s="176"/>
      <c r="CD7" s="177"/>
      <c r="CG7" s="101"/>
      <c r="CH7" s="178"/>
      <c r="CI7" s="178"/>
      <c r="CJ7" s="179"/>
      <c r="CK7" s="178"/>
    </row>
    <row r="8" spans="1:90" ht="14.25" customHeight="1" x14ac:dyDescent="0.2">
      <c r="A8" s="114"/>
      <c r="B8" s="115"/>
      <c r="C8" s="274"/>
      <c r="D8" s="275"/>
      <c r="E8" s="275"/>
      <c r="F8" s="275"/>
      <c r="G8" s="276"/>
      <c r="H8" s="237"/>
      <c r="P8" s="244"/>
      <c r="Y8" s="118"/>
      <c r="AN8" s="118"/>
      <c r="AW8" s="298" t="s">
        <v>50</v>
      </c>
      <c r="AX8" s="299"/>
      <c r="AY8" s="299"/>
      <c r="AZ8" s="299"/>
      <c r="BA8" s="299"/>
      <c r="BB8" s="300"/>
      <c r="BC8" s="187" t="s">
        <v>49</v>
      </c>
      <c r="BD8" s="187"/>
      <c r="BE8" s="188"/>
      <c r="BF8" s="322" t="s">
        <v>111</v>
      </c>
      <c r="BG8" s="323"/>
      <c r="BH8" s="323"/>
      <c r="BI8" s="323"/>
      <c r="BY8" s="314"/>
      <c r="BZ8" s="183"/>
      <c r="CA8" s="175"/>
      <c r="CB8" s="176"/>
      <c r="CC8" s="176"/>
      <c r="CD8" s="177"/>
      <c r="CE8" s="315" t="s">
        <v>91</v>
      </c>
      <c r="CF8" s="316"/>
      <c r="CG8" s="192"/>
      <c r="CH8" s="317" t="s">
        <v>92</v>
      </c>
      <c r="CI8" s="318"/>
      <c r="CJ8" s="193"/>
      <c r="CK8" s="194" t="s">
        <v>92</v>
      </c>
      <c r="CL8" s="195" t="s">
        <v>91</v>
      </c>
    </row>
    <row r="9" spans="1:90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56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Y9" s="183" t="s">
        <v>87</v>
      </c>
      <c r="BZ9" s="183" t="s">
        <v>89</v>
      </c>
      <c r="CA9" s="199" t="s">
        <v>93</v>
      </c>
      <c r="CB9" s="200" t="s">
        <v>94</v>
      </c>
      <c r="CC9" s="201" t="s">
        <v>95</v>
      </c>
      <c r="CD9" s="202"/>
      <c r="CE9" s="203" t="s">
        <v>96</v>
      </c>
      <c r="CF9" s="203" t="s">
        <v>97</v>
      </c>
      <c r="CG9" s="192"/>
      <c r="CH9" s="204" t="s">
        <v>98</v>
      </c>
      <c r="CI9" s="204" t="s">
        <v>99</v>
      </c>
      <c r="CJ9" s="193"/>
      <c r="CK9" s="204" t="s">
        <v>100</v>
      </c>
      <c r="CL9" s="195" t="s">
        <v>107</v>
      </c>
    </row>
    <row r="10" spans="1:90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0"/>
      <c r="AO10" s="163"/>
      <c r="AP10" s="163"/>
      <c r="AQ10" s="163"/>
      <c r="AR10" s="163"/>
      <c r="AS10" s="163"/>
      <c r="AT10" s="163"/>
      <c r="AU10" s="163"/>
      <c r="AW10" s="163"/>
      <c r="AX10" s="163"/>
      <c r="AY10" s="163"/>
      <c r="AZ10" s="163"/>
      <c r="BA10" s="163"/>
      <c r="BB10" s="163"/>
      <c r="BC10" s="205"/>
      <c r="BD10" s="205"/>
      <c r="BE10" s="205"/>
      <c r="BF10" s="205">
        <v>562500000</v>
      </c>
      <c r="BG10" s="205">
        <v>0</v>
      </c>
      <c r="BH10" s="205">
        <v>562500000</v>
      </c>
      <c r="BI10" s="216">
        <f>BH10*(120.27/109.14)</f>
        <v>619863249.03793287</v>
      </c>
      <c r="BJ10" s="206">
        <f>BI10</f>
        <v>619863249.03793287</v>
      </c>
      <c r="BL10" s="205">
        <f>MINA(L10,U10,AD10,AM10,BJ10)</f>
        <v>609880565.27999997</v>
      </c>
      <c r="BM10" s="205">
        <f>MAX(L10,U10,AD10,AM10,BJ10)</f>
        <v>2274528000</v>
      </c>
      <c r="BN10" s="205">
        <f>AVERAGE(L10,U10,AD10,AM10,BJ10)</f>
        <v>1260385930.8635864</v>
      </c>
      <c r="BO10" s="205">
        <f>GEOMEAN(L10,U10,AD10,AM10,BJ10)</f>
        <v>1109368736.8867741</v>
      </c>
      <c r="BP10" s="205">
        <f>MEDIAN(L10,U10,AD10,AM10,BJ10)</f>
        <v>1347657840</v>
      </c>
      <c r="BQ10" s="205">
        <f>_xlfn.STDEV.S(L10,U10,AD10,AM10,BJ10)</f>
        <v>690195724.83412874</v>
      </c>
      <c r="BR10" s="208">
        <f t="shared" ref="BR10" si="0">BQ10/BP10</f>
        <v>0.51214462925851323</v>
      </c>
      <c r="BS10" s="205">
        <f t="shared" ref="BS10" si="1">BL10</f>
        <v>609880565.27999997</v>
      </c>
      <c r="BT10" s="163" t="s">
        <v>78</v>
      </c>
      <c r="BU10" s="163" t="s">
        <v>108</v>
      </c>
      <c r="BW10" s="209" t="s">
        <v>81</v>
      </c>
      <c r="BY10" s="163">
        <v>1</v>
      </c>
      <c r="BZ10" s="207">
        <f>BY10*BS10</f>
        <v>609880565.27999997</v>
      </c>
      <c r="CA10" s="207">
        <f>BS10*F10</f>
        <v>609880565.27999997</v>
      </c>
      <c r="CB10" s="208">
        <f>BY10/F10</f>
        <v>1</v>
      </c>
      <c r="CC10" s="210">
        <f>CB10-1</f>
        <v>0</v>
      </c>
      <c r="CD10" s="177"/>
      <c r="CE10" s="211">
        <f>BZ10</f>
        <v>609880565.27999997</v>
      </c>
      <c r="CF10" s="211">
        <f>CE10*BY10</f>
        <v>609880565.27999997</v>
      </c>
      <c r="CG10" s="212"/>
      <c r="CH10" s="169">
        <f>CF10/3790.88</f>
        <v>160881</v>
      </c>
      <c r="CI10" s="169">
        <f>CH10*BY10</f>
        <v>160881</v>
      </c>
      <c r="CJ10" s="179"/>
      <c r="CK10" s="169">
        <f>CI10</f>
        <v>160881</v>
      </c>
      <c r="CL10" s="211">
        <f>CK10*4600</f>
        <v>740052600</v>
      </c>
    </row>
    <row r="11" spans="1:90" ht="12.75" hidden="1" customHeight="1" x14ac:dyDescent="0.2"/>
    <row r="12" spans="1:90" ht="12.75" hidden="1" customHeight="1" x14ac:dyDescent="0.2"/>
    <row r="13" spans="1:90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80"/>
      <c r="AO13" s="280"/>
      <c r="AP13" s="280"/>
      <c r="AQ13" s="101"/>
      <c r="AR13" s="101"/>
      <c r="AS13" s="101"/>
      <c r="AT13" s="101"/>
      <c r="AU13" s="101"/>
    </row>
    <row r="14" spans="1:90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69"/>
      <c r="AO14" s="269"/>
      <c r="AP14" s="269"/>
      <c r="AQ14" s="101"/>
      <c r="AR14" s="101"/>
      <c r="AS14" s="101"/>
      <c r="AT14" s="101"/>
      <c r="AU14" s="101"/>
    </row>
    <row r="15" spans="1:90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70"/>
      <c r="AO15" s="270"/>
      <c r="AP15" s="270"/>
      <c r="AQ15" s="101"/>
      <c r="AR15" s="101"/>
      <c r="AS15" s="101"/>
      <c r="AT15" s="101"/>
      <c r="AU15" s="101"/>
      <c r="BY15" s="183" t="s">
        <v>86</v>
      </c>
      <c r="BZ15" s="183"/>
      <c r="CA15" s="183"/>
    </row>
    <row r="16" spans="1:90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71"/>
      <c r="AO16" s="272"/>
      <c r="AP16" s="272"/>
      <c r="AQ16" s="273"/>
      <c r="AW16" s="298" t="s">
        <v>50</v>
      </c>
      <c r="AX16" s="299"/>
      <c r="AY16" s="299"/>
      <c r="AZ16" s="299"/>
      <c r="BA16" s="299"/>
      <c r="BB16" s="300"/>
      <c r="BC16" s="301" t="s">
        <v>59</v>
      </c>
      <c r="BD16" s="302"/>
      <c r="BE16" s="303"/>
      <c r="BF16" s="304" t="s">
        <v>58</v>
      </c>
      <c r="BG16" s="305"/>
      <c r="BH16" s="305"/>
      <c r="BI16" s="306"/>
      <c r="BY16" s="183"/>
      <c r="BZ16" s="183"/>
      <c r="CA16" s="183"/>
    </row>
    <row r="17" spans="1:79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146" t="s">
        <v>14</v>
      </c>
      <c r="AO17" s="146" t="s">
        <v>10</v>
      </c>
      <c r="AP17" s="146" t="s">
        <v>11</v>
      </c>
      <c r="AQ17" s="146" t="s">
        <v>12</v>
      </c>
      <c r="AR17" s="146" t="s">
        <v>13</v>
      </c>
      <c r="AS17" s="146" t="s">
        <v>6</v>
      </c>
      <c r="AT17" s="146" t="s">
        <v>8</v>
      </c>
      <c r="AU17" s="146" t="s">
        <v>9</v>
      </c>
      <c r="AW17" s="196" t="s">
        <v>60</v>
      </c>
      <c r="AX17" s="196" t="s">
        <v>61</v>
      </c>
      <c r="AY17" s="196" t="s">
        <v>63</v>
      </c>
      <c r="AZ17" s="196" t="s">
        <v>64</v>
      </c>
      <c r="BA17" s="196" t="s">
        <v>65</v>
      </c>
      <c r="BB17" s="196" t="s">
        <v>62</v>
      </c>
      <c r="BC17" s="196" t="s">
        <v>51</v>
      </c>
      <c r="BD17" s="196" t="s">
        <v>52</v>
      </c>
      <c r="BE17" s="196" t="s">
        <v>56</v>
      </c>
      <c r="BF17" s="196" t="s">
        <v>53</v>
      </c>
      <c r="BG17" s="196" t="s">
        <v>54</v>
      </c>
      <c r="BH17" s="196" t="s">
        <v>55</v>
      </c>
      <c r="BI17" s="196" t="s">
        <v>57</v>
      </c>
      <c r="BJ17" s="196" t="s">
        <v>66</v>
      </c>
      <c r="BL17" s="198" t="s">
        <v>72</v>
      </c>
      <c r="BM17" s="198" t="s">
        <v>68</v>
      </c>
      <c r="BN17" s="198" t="s">
        <v>69</v>
      </c>
      <c r="BO17" s="198" t="s">
        <v>70</v>
      </c>
      <c r="BP17" s="198" t="s">
        <v>71</v>
      </c>
      <c r="BQ17" s="198" t="s">
        <v>76</v>
      </c>
      <c r="BR17" s="198" t="s">
        <v>77</v>
      </c>
      <c r="BS17" s="198" t="s">
        <v>79</v>
      </c>
      <c r="BT17" s="198" t="s">
        <v>73</v>
      </c>
      <c r="BU17" s="198" t="s">
        <v>80</v>
      </c>
      <c r="BV17" s="198" t="s">
        <v>74</v>
      </c>
      <c r="BY17" s="183" t="s">
        <v>87</v>
      </c>
      <c r="BZ17" s="183" t="s">
        <v>89</v>
      </c>
      <c r="CA17" s="183" t="s">
        <v>88</v>
      </c>
    </row>
    <row r="18" spans="1:79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57" t="s">
        <v>29</v>
      </c>
      <c r="AO18" s="213">
        <v>112413795</v>
      </c>
      <c r="AP18" s="213">
        <f>+AO18*19%</f>
        <v>21358621.050000001</v>
      </c>
      <c r="AQ18" s="213">
        <f>+AP18+AO18</f>
        <v>133772416.05</v>
      </c>
      <c r="AR18" s="213">
        <f>+AQ18</f>
        <v>133772416.05</v>
      </c>
      <c r="AS18" s="163">
        <v>60</v>
      </c>
      <c r="AT18" s="214" t="s">
        <v>36</v>
      </c>
      <c r="AU18" s="214" t="s">
        <v>43</v>
      </c>
      <c r="AW18" s="169">
        <v>15100</v>
      </c>
      <c r="AX18" s="169">
        <f>AW18*2.44%+AW18</f>
        <v>15468.44</v>
      </c>
      <c r="AY18" s="169">
        <f>AX18*1.81%+AX18</f>
        <v>15748.418764</v>
      </c>
      <c r="AZ18" s="169">
        <f>AY18*1.24%+AY18</f>
        <v>15943.6991566736</v>
      </c>
      <c r="BA18" s="169">
        <f>AZ18*4.69%+AZ18</f>
        <v>16691.458647121592</v>
      </c>
      <c r="BB18" s="205">
        <f>BA18*3790.88</f>
        <v>63275316.756200299</v>
      </c>
      <c r="BC18" s="205">
        <v>53222155.560000002</v>
      </c>
      <c r="BD18" s="205">
        <v>63334365.119999997</v>
      </c>
      <c r="BE18" s="205">
        <f>BD18*(118.7/103.8)</f>
        <v>72425714.255722553</v>
      </c>
      <c r="BF18" s="163"/>
      <c r="BG18" s="163"/>
      <c r="BH18" s="163"/>
      <c r="BI18" s="163"/>
      <c r="BJ18" s="215">
        <f>BE18</f>
        <v>72425714.255722553</v>
      </c>
      <c r="BL18" s="207">
        <f>MIN(BJ18,AO18,AM18,I18)</f>
        <v>62000000</v>
      </c>
      <c r="BM18" s="207">
        <f>MAX(BJ18,AO18,AM18,I18)</f>
        <v>118275456</v>
      </c>
      <c r="BN18" s="207">
        <f>AVERAGE(BJ18,AO18,AM18,I18)</f>
        <v>91278741.313930631</v>
      </c>
      <c r="BO18" s="207">
        <f>GEOMEAN(BJ18,AO18,AM18,I18)</f>
        <v>87902186.760975689</v>
      </c>
      <c r="BP18" s="207">
        <f>MEDIAN(BJ18,AO18,AM18,I18)</f>
        <v>92419754.627861276</v>
      </c>
      <c r="BQ18" s="207">
        <f>_xlfn.STDEV.S(BJ18,AO18,AM18,I18)</f>
        <v>28214620.443661615</v>
      </c>
      <c r="BR18" s="208">
        <f t="shared" ref="BR18" si="2">BQ18/BP18</f>
        <v>0.30528776620616466</v>
      </c>
      <c r="BS18" s="163">
        <v>60861945.649999999</v>
      </c>
      <c r="BT18" s="163" t="s">
        <v>78</v>
      </c>
      <c r="BU18" s="207">
        <f>BS18*0.19+BS18</f>
        <v>72425715.323499992</v>
      </c>
      <c r="BV18" s="163"/>
      <c r="BW18" s="209" t="s">
        <v>82</v>
      </c>
      <c r="BY18" s="163">
        <v>1</v>
      </c>
      <c r="BZ18" s="207">
        <f>BY18*BS18</f>
        <v>60861945.649999999</v>
      </c>
      <c r="CA18" s="207">
        <f>BY18*BU18</f>
        <v>72425715.323499992</v>
      </c>
    </row>
    <row r="19" spans="1:79" ht="12.75" hidden="1" customHeight="1" x14ac:dyDescent="0.2"/>
    <row r="20" spans="1:79" ht="12.75" hidden="1" customHeight="1" x14ac:dyDescent="0.2"/>
    <row r="21" spans="1:79" ht="12.75" hidden="1" customHeight="1" x14ac:dyDescent="0.2">
      <c r="BZ21" s="172"/>
    </row>
    <row r="22" spans="1:79" ht="12.75" hidden="1" customHeight="1" x14ac:dyDescent="0.2"/>
    <row r="23" spans="1:79" ht="12.75" hidden="1" customHeight="1" x14ac:dyDescent="0.2"/>
    <row r="24" spans="1:79" ht="12.75" hidden="1" customHeight="1" x14ac:dyDescent="0.2"/>
    <row r="25" spans="1:79" ht="12.75" hidden="1" customHeight="1" x14ac:dyDescent="0.2"/>
    <row r="26" spans="1:79" ht="12.75" hidden="1" customHeight="1" x14ac:dyDescent="0.2">
      <c r="BZ26" s="207">
        <f>+BZ10/3790.88</f>
        <v>160881</v>
      </c>
      <c r="CA26" s="207">
        <f>+BZ26*4150</f>
        <v>667656150</v>
      </c>
    </row>
    <row r="27" spans="1:79" ht="12.75" hidden="1" customHeight="1" x14ac:dyDescent="0.2"/>
    <row r="28" spans="1:79" ht="12.75" hidden="1" customHeight="1" x14ac:dyDescent="0.2"/>
    <row r="29" spans="1:79" ht="12.75" hidden="1" customHeight="1" x14ac:dyDescent="0.2">
      <c r="A29" s="168" t="s">
        <v>101</v>
      </c>
      <c r="B29" s="169" t="s">
        <v>102</v>
      </c>
    </row>
    <row r="30" spans="1:79" ht="12.75" hidden="1" customHeight="1" x14ac:dyDescent="0.2">
      <c r="A30" s="168"/>
      <c r="B30" s="170">
        <v>35</v>
      </c>
    </row>
    <row r="31" spans="1:79" ht="12.75" hidden="1" customHeight="1" x14ac:dyDescent="0.2">
      <c r="A31" s="168"/>
      <c r="B31" s="170">
        <v>36</v>
      </c>
      <c r="C31" s="77" t="s">
        <v>106</v>
      </c>
    </row>
    <row r="32" spans="1:79" ht="12.75" hidden="1" customHeight="1" x14ac:dyDescent="0.2">
      <c r="A32" s="168"/>
      <c r="B32" s="170">
        <v>37</v>
      </c>
    </row>
    <row r="33" spans="1:4" ht="12.75" hidden="1" customHeight="1" x14ac:dyDescent="0.2">
      <c r="A33" s="168"/>
      <c r="B33" s="170">
        <v>38</v>
      </c>
    </row>
    <row r="34" spans="1:4" ht="12.75" hidden="1" customHeight="1" x14ac:dyDescent="0.2">
      <c r="A34" s="168"/>
      <c r="B34" s="170">
        <v>39</v>
      </c>
      <c r="C34" s="77" t="s">
        <v>106</v>
      </c>
    </row>
    <row r="35" spans="1:4" ht="12.75" hidden="1" customHeight="1" x14ac:dyDescent="0.2">
      <c r="A35" s="171" t="s">
        <v>103</v>
      </c>
      <c r="B35" s="169"/>
      <c r="D35" s="172"/>
    </row>
    <row r="36" spans="1:4" ht="12.75" hidden="1" customHeight="1" x14ac:dyDescent="0.2">
      <c r="A36" s="168"/>
      <c r="B36" s="169"/>
    </row>
    <row r="37" spans="1:4" ht="12.75" hidden="1" customHeight="1" x14ac:dyDescent="0.2">
      <c r="A37" s="168" t="s">
        <v>104</v>
      </c>
      <c r="B37" s="169"/>
    </row>
    <row r="38" spans="1:4" ht="12.75" hidden="1" customHeight="1" x14ac:dyDescent="0.2">
      <c r="A38" s="168" t="s">
        <v>105</v>
      </c>
      <c r="B38" s="169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algorithmName="SHA-512" hashValue="TpCanX400tTNKwkIqnxbqbiLMBLAWS48vy5MR2QhQIU0MM8veNSe5J5JsGQ9UXOLy+pU9Aab6KN9nRtSCi9lnQ==" saltValue="spc8E1+Fj4njdf86ocwhgA==" spinCount="100000" sheet="1" objects="1" scenarios="1"/>
  <mergeCells count="34">
    <mergeCell ref="A15:B15"/>
    <mergeCell ref="C15:G15"/>
    <mergeCell ref="H15:J15"/>
    <mergeCell ref="P15:R15"/>
    <mergeCell ref="Y15:AA15"/>
    <mergeCell ref="A16:B16"/>
    <mergeCell ref="C16:G16"/>
    <mergeCell ref="H16:K16"/>
    <mergeCell ref="P16:S16"/>
    <mergeCell ref="Y16:AB16"/>
    <mergeCell ref="BL6:BU6"/>
    <mergeCell ref="A14:G14"/>
    <mergeCell ref="H14:J14"/>
    <mergeCell ref="P14:R14"/>
    <mergeCell ref="Y14:AA14"/>
    <mergeCell ref="AN14:AP14"/>
    <mergeCell ref="CH8:CI8"/>
    <mergeCell ref="A13:G13"/>
    <mergeCell ref="H13:J13"/>
    <mergeCell ref="P13:R13"/>
    <mergeCell ref="Y13:AA13"/>
    <mergeCell ref="AN13:AP13"/>
    <mergeCell ref="BY7:BY8"/>
    <mergeCell ref="C8:G8"/>
    <mergeCell ref="AW8:BB8"/>
    <mergeCell ref="BF8:BI8"/>
    <mergeCell ref="CE8:CF8"/>
    <mergeCell ref="AW16:BB16"/>
    <mergeCell ref="BC16:BE16"/>
    <mergeCell ref="BF16:BI16"/>
    <mergeCell ref="AW6:BJ6"/>
    <mergeCell ref="AN2:AU2"/>
    <mergeCell ref="AN15:AP15"/>
    <mergeCell ref="AN16:AQ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1"/>
  <sheetViews>
    <sheetView topLeftCell="A7" zoomScale="112" zoomScaleNormal="112" workbookViewId="0">
      <selection activeCell="CA10" sqref="CA10"/>
    </sheetView>
  </sheetViews>
  <sheetFormatPr baseColWidth="10" defaultColWidth="10.85546875" defaultRowHeight="12.75" x14ac:dyDescent="0.2"/>
  <cols>
    <col min="1" max="1" width="7.5703125" style="20" customWidth="1"/>
    <col min="2" max="2" width="45.140625" style="20" customWidth="1"/>
    <col min="3" max="3" width="31" style="20" customWidth="1"/>
    <col min="4" max="4" width="17" style="20" customWidth="1"/>
    <col min="5" max="5" width="10.85546875" style="20"/>
    <col min="6" max="6" width="10.85546875" style="20" bestFit="1" customWidth="1"/>
    <col min="7" max="7" width="36" style="20" customWidth="1"/>
    <col min="8" max="8" width="19.42578125" style="20" hidden="1" customWidth="1"/>
    <col min="9" max="9" width="22.85546875" style="20" hidden="1" customWidth="1"/>
    <col min="10" max="10" width="14" style="20" hidden="1" customWidth="1"/>
    <col min="11" max="11" width="18.85546875" style="20" hidden="1" customWidth="1"/>
    <col min="12" max="12" width="17" style="20" hidden="1" customWidth="1"/>
    <col min="13" max="13" width="10.85546875" style="20" hidden="1" customWidth="1"/>
    <col min="14" max="14" width="30.7109375" style="20" hidden="1" customWidth="1"/>
    <col min="15" max="15" width="25.85546875" style="20" hidden="1" customWidth="1"/>
    <col min="16" max="16" width="6.85546875" style="20" hidden="1" customWidth="1"/>
    <col min="17" max="17" width="22.85546875" style="20" hidden="1" customWidth="1"/>
    <col min="18" max="18" width="19.7109375" style="20" hidden="1" customWidth="1"/>
    <col min="19" max="19" width="13.5703125" style="20" hidden="1" customWidth="1"/>
    <col min="20" max="20" width="18.7109375" style="20" hidden="1" customWidth="1"/>
    <col min="21" max="21" width="18.140625" style="20" hidden="1" customWidth="1"/>
    <col min="22" max="22" width="10.85546875" style="20" hidden="1" customWidth="1"/>
    <col min="23" max="23" width="22.85546875" style="20" hidden="1" customWidth="1"/>
    <col min="24" max="24" width="26.7109375" style="20" hidden="1" customWidth="1"/>
    <col min="25" max="25" width="10.85546875" style="20" hidden="1" customWidth="1"/>
    <col min="26" max="26" width="18.5703125" style="20" hidden="1" customWidth="1"/>
    <col min="27" max="27" width="10.85546875" style="20" hidden="1" customWidth="1"/>
    <col min="28" max="28" width="16.140625" style="20" hidden="1" customWidth="1"/>
    <col min="29" max="29" width="17.140625" style="20" hidden="1" customWidth="1"/>
    <col min="30" max="30" width="19" style="20" hidden="1" customWidth="1"/>
    <col min="31" max="31" width="20.28515625" style="20" hidden="1" customWidth="1"/>
    <col min="32" max="33" width="15.42578125" style="20" hidden="1" customWidth="1"/>
    <col min="34" max="34" width="39.28515625" style="20" hidden="1" customWidth="1"/>
    <col min="35" max="35" width="18.7109375" style="20" hidden="1" customWidth="1"/>
    <col min="36" max="36" width="19.42578125" style="20" hidden="1" customWidth="1"/>
    <col min="37" max="37" width="20" style="20" hidden="1" customWidth="1"/>
    <col min="38" max="38" width="15.42578125" style="20" hidden="1" customWidth="1"/>
    <col min="39" max="39" width="23.140625" style="20" hidden="1" customWidth="1"/>
    <col min="40" max="40" width="10.85546875" style="20" hidden="1" customWidth="1"/>
    <col min="41" max="41" width="14.140625" style="20" hidden="1" customWidth="1"/>
    <col min="42" max="42" width="13" style="20" hidden="1" customWidth="1"/>
    <col min="43" max="44" width="14.140625" style="20" hidden="1" customWidth="1"/>
    <col min="45" max="48" width="10.85546875" style="20" hidden="1" customWidth="1"/>
    <col min="49" max="53" width="13.140625" style="20" hidden="1" customWidth="1"/>
    <col min="54" max="55" width="15.140625" style="20" hidden="1" customWidth="1"/>
    <col min="56" max="57" width="11.85546875" style="20" hidden="1" customWidth="1"/>
    <col min="58" max="58" width="16.140625" style="20" hidden="1" customWidth="1"/>
    <col min="59" max="59" width="10.85546875" style="20" hidden="1" customWidth="1"/>
    <col min="60" max="62" width="16.140625" style="20" hidden="1" customWidth="1"/>
    <col min="63" max="63" width="10.85546875" style="20" hidden="1" customWidth="1"/>
    <col min="64" max="64" width="13.85546875" style="20" hidden="1" customWidth="1"/>
    <col min="65" max="68" width="15.42578125" style="20" hidden="1" customWidth="1"/>
    <col min="69" max="69" width="13.85546875" style="20" hidden="1" customWidth="1"/>
    <col min="70" max="70" width="10.85546875" style="20" hidden="1" customWidth="1"/>
    <col min="71" max="71" width="20.85546875" style="20" hidden="1" customWidth="1"/>
    <col min="72" max="72" width="10.85546875" style="20" hidden="1" customWidth="1"/>
    <col min="73" max="73" width="12.85546875" style="20" hidden="1" customWidth="1"/>
    <col min="74" max="76" width="10.85546875" style="20" hidden="1" customWidth="1"/>
    <col min="77" max="77" width="29.140625" style="20" hidden="1" customWidth="1"/>
    <col min="78" max="78" width="43.85546875" style="20" hidden="1" customWidth="1"/>
    <col min="79" max="79" width="44.42578125" style="20" customWidth="1"/>
    <col min="80" max="90" width="10.85546875" style="20" hidden="1" customWidth="1"/>
    <col min="91" max="91" width="10.85546875" style="20" customWidth="1"/>
    <col min="92" max="16384" width="10.85546875" style="20"/>
  </cols>
  <sheetData>
    <row r="1" spans="1:90" x14ac:dyDescent="0.2">
      <c r="A1" s="77"/>
      <c r="B1" s="77"/>
      <c r="C1" s="77"/>
      <c r="D1" s="77"/>
      <c r="E1" s="77"/>
      <c r="F1" s="77"/>
      <c r="G1" s="77"/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175"/>
      <c r="CB1" s="22"/>
      <c r="CC1" s="22"/>
      <c r="CD1" s="23"/>
      <c r="CG1" s="24"/>
      <c r="CH1" s="25"/>
      <c r="CI1" s="25"/>
      <c r="CJ1" s="26"/>
      <c r="CK1" s="25"/>
    </row>
    <row r="2" spans="1:90" x14ac:dyDescent="0.2">
      <c r="A2" s="77"/>
      <c r="B2" s="77"/>
      <c r="C2" s="77"/>
      <c r="D2" s="77"/>
      <c r="E2" s="77"/>
      <c r="F2" s="77"/>
      <c r="G2" s="77"/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175"/>
      <c r="CB2" s="22"/>
      <c r="CC2" s="22"/>
      <c r="CD2" s="23"/>
      <c r="CG2" s="24"/>
      <c r="CH2" s="25"/>
      <c r="CI2" s="25"/>
      <c r="CJ2" s="26"/>
      <c r="CK2" s="25"/>
    </row>
    <row r="3" spans="1:90" ht="52.9" customHeight="1" x14ac:dyDescent="0.2">
      <c r="A3" s="92"/>
      <c r="B3" s="93" t="s">
        <v>109</v>
      </c>
      <c r="C3" s="94"/>
      <c r="D3" s="94"/>
      <c r="E3" s="94"/>
      <c r="F3" s="94"/>
      <c r="G3" s="95"/>
      <c r="H3" s="96"/>
      <c r="I3" s="77"/>
      <c r="J3" s="77"/>
      <c r="K3" s="77"/>
      <c r="L3" s="77"/>
      <c r="M3" s="77"/>
      <c r="N3" s="77"/>
      <c r="O3" s="77"/>
      <c r="P3" s="96"/>
      <c r="Q3" s="77"/>
      <c r="R3" s="77"/>
      <c r="S3" s="77"/>
      <c r="T3" s="77"/>
      <c r="U3" s="77"/>
      <c r="V3" s="77"/>
      <c r="W3" s="77"/>
      <c r="X3" s="77"/>
      <c r="Y3" s="96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96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175"/>
      <c r="CB3" s="22"/>
      <c r="CC3" s="22"/>
      <c r="CD3" s="23"/>
      <c r="CG3" s="24"/>
      <c r="CH3" s="25"/>
      <c r="CI3" s="25"/>
      <c r="CJ3" s="26"/>
      <c r="CK3" s="25"/>
    </row>
    <row r="4" spans="1:90" ht="14.25" customHeight="1" x14ac:dyDescent="0.2">
      <c r="A4" s="92"/>
      <c r="B4" s="97"/>
      <c r="C4" s="98"/>
      <c r="D4" s="98"/>
      <c r="E4" s="98"/>
      <c r="F4" s="98"/>
      <c r="G4" s="99"/>
      <c r="H4" s="96"/>
      <c r="I4" s="77"/>
      <c r="J4" s="77"/>
      <c r="K4" s="77"/>
      <c r="L4" s="77"/>
      <c r="M4" s="77"/>
      <c r="N4" s="77"/>
      <c r="O4" s="77"/>
      <c r="P4" s="96"/>
      <c r="Q4" s="77"/>
      <c r="R4" s="77"/>
      <c r="S4" s="77"/>
      <c r="T4" s="77"/>
      <c r="U4" s="77"/>
      <c r="V4" s="77"/>
      <c r="W4" s="77"/>
      <c r="X4" s="77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175"/>
      <c r="CB4" s="22"/>
      <c r="CC4" s="22"/>
      <c r="CD4" s="23"/>
      <c r="CG4" s="24"/>
      <c r="CH4" s="25"/>
      <c r="CI4" s="25"/>
      <c r="CJ4" s="26"/>
      <c r="CK4" s="25"/>
    </row>
    <row r="5" spans="1:90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I5" s="77"/>
      <c r="J5" s="77"/>
      <c r="K5" s="77"/>
      <c r="L5" s="77"/>
      <c r="M5" s="77"/>
      <c r="N5" s="77"/>
      <c r="O5" s="77"/>
      <c r="P5" s="92"/>
      <c r="Q5" s="77"/>
      <c r="R5" s="77"/>
      <c r="S5" s="77"/>
      <c r="T5" s="77"/>
      <c r="U5" s="77"/>
      <c r="V5" s="77"/>
      <c r="W5" s="77"/>
      <c r="X5" s="77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175"/>
      <c r="CB5" s="22"/>
      <c r="CC5" s="22"/>
      <c r="CD5" s="23"/>
      <c r="CG5" s="24"/>
      <c r="CH5" s="25"/>
      <c r="CI5" s="25"/>
      <c r="CJ5" s="26"/>
      <c r="CK5" s="25"/>
    </row>
    <row r="6" spans="1:90" ht="80.650000000000006" customHeight="1" x14ac:dyDescent="0.2">
      <c r="A6" s="106"/>
      <c r="B6" s="107" t="s">
        <v>112</v>
      </c>
      <c r="C6" s="108"/>
      <c r="D6" s="108"/>
      <c r="E6" s="108"/>
      <c r="F6" s="108"/>
      <c r="G6" s="109"/>
      <c r="H6" s="110"/>
      <c r="I6" s="77"/>
      <c r="J6" s="77"/>
      <c r="K6" s="77"/>
      <c r="L6" s="77"/>
      <c r="M6" s="77"/>
      <c r="N6" s="77"/>
      <c r="O6" s="77"/>
      <c r="P6" s="111"/>
      <c r="Q6" s="77"/>
      <c r="R6" s="77"/>
      <c r="S6" s="77"/>
      <c r="T6" s="77"/>
      <c r="U6" s="77"/>
      <c r="V6" s="77"/>
      <c r="W6" s="77"/>
      <c r="X6" s="77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V6" s="77"/>
      <c r="AW6" s="319" t="s">
        <v>67</v>
      </c>
      <c r="AX6" s="320"/>
      <c r="AY6" s="320"/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1"/>
      <c r="BK6" s="77"/>
      <c r="BL6" s="310" t="s">
        <v>75</v>
      </c>
      <c r="BM6" s="311"/>
      <c r="BN6" s="311"/>
      <c r="BO6" s="311"/>
      <c r="BP6" s="311"/>
      <c r="BQ6" s="311"/>
      <c r="BR6" s="311"/>
      <c r="BS6" s="311"/>
      <c r="BT6" s="311"/>
      <c r="BU6" s="312"/>
      <c r="BV6" s="77"/>
      <c r="BW6" s="77"/>
      <c r="BX6" s="77"/>
      <c r="BY6" s="77"/>
      <c r="BZ6" s="77"/>
      <c r="CA6" s="175"/>
      <c r="CB6" s="22"/>
      <c r="CC6" s="22"/>
      <c r="CD6" s="23"/>
      <c r="CG6" s="24"/>
      <c r="CH6" s="25"/>
      <c r="CI6" s="25"/>
      <c r="CJ6" s="26"/>
      <c r="CK6" s="25"/>
    </row>
    <row r="7" spans="1:90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112"/>
      <c r="I7" s="77"/>
      <c r="J7" s="77"/>
      <c r="K7" s="77"/>
      <c r="L7" s="77"/>
      <c r="M7" s="77"/>
      <c r="N7" s="77"/>
      <c r="O7" s="77"/>
      <c r="P7" s="113"/>
      <c r="Q7" s="77"/>
      <c r="R7" s="77"/>
      <c r="S7" s="77"/>
      <c r="T7" s="77"/>
      <c r="U7" s="77"/>
      <c r="V7" s="77"/>
      <c r="W7" s="77"/>
      <c r="X7" s="77"/>
      <c r="Y7" s="11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13"/>
      <c r="AO7" s="101"/>
      <c r="AP7" s="101"/>
      <c r="AQ7" s="101"/>
      <c r="AR7" s="101"/>
      <c r="AS7" s="101"/>
      <c r="AT7" s="101"/>
      <c r="AU7" s="101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313" t="s">
        <v>86</v>
      </c>
      <c r="BZ7" s="183"/>
      <c r="CA7" s="175"/>
      <c r="CB7" s="22"/>
      <c r="CC7" s="22"/>
      <c r="CD7" s="23"/>
      <c r="CG7" s="24"/>
      <c r="CH7" s="25"/>
      <c r="CI7" s="25"/>
      <c r="CJ7" s="26"/>
      <c r="CK7" s="25"/>
    </row>
    <row r="8" spans="1:90" ht="14.25" customHeight="1" x14ac:dyDescent="0.2">
      <c r="A8" s="114"/>
      <c r="B8" s="115"/>
      <c r="C8" s="274"/>
      <c r="D8" s="275"/>
      <c r="E8" s="275"/>
      <c r="F8" s="275"/>
      <c r="G8" s="276"/>
      <c r="H8" s="116"/>
      <c r="I8" s="77"/>
      <c r="J8" s="77"/>
      <c r="K8" s="77"/>
      <c r="L8" s="77"/>
      <c r="M8" s="77"/>
      <c r="N8" s="77"/>
      <c r="O8" s="77"/>
      <c r="P8" s="117"/>
      <c r="Q8" s="77"/>
      <c r="R8" s="77"/>
      <c r="S8" s="77"/>
      <c r="T8" s="77"/>
      <c r="U8" s="77"/>
      <c r="V8" s="77"/>
      <c r="W8" s="77"/>
      <c r="X8" s="77"/>
      <c r="Y8" s="118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118"/>
      <c r="AO8" s="77"/>
      <c r="AP8" s="77"/>
      <c r="AQ8" s="77"/>
      <c r="AR8" s="77"/>
      <c r="AS8" s="77"/>
      <c r="AT8" s="77"/>
      <c r="AU8" s="77"/>
      <c r="AV8" s="77"/>
      <c r="AW8" s="298" t="s">
        <v>50</v>
      </c>
      <c r="AX8" s="299"/>
      <c r="AY8" s="299"/>
      <c r="AZ8" s="299"/>
      <c r="BA8" s="299"/>
      <c r="BB8" s="300"/>
      <c r="BC8" s="187" t="s">
        <v>49</v>
      </c>
      <c r="BD8" s="187"/>
      <c r="BE8" s="188"/>
      <c r="BF8" s="322" t="s">
        <v>111</v>
      </c>
      <c r="BG8" s="323"/>
      <c r="BH8" s="323"/>
      <c r="BI8" s="323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314"/>
      <c r="BZ8" s="183"/>
      <c r="CA8" s="175"/>
      <c r="CB8" s="22"/>
      <c r="CC8" s="22"/>
      <c r="CD8" s="23"/>
      <c r="CE8" s="291" t="s">
        <v>91</v>
      </c>
      <c r="CF8" s="292"/>
      <c r="CG8" s="28"/>
      <c r="CH8" s="293" t="s">
        <v>92</v>
      </c>
      <c r="CI8" s="294"/>
      <c r="CJ8" s="29"/>
      <c r="CK8" s="30" t="s">
        <v>92</v>
      </c>
      <c r="CL8" s="31" t="s">
        <v>91</v>
      </c>
    </row>
    <row r="9" spans="1:90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V9" s="77"/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56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K9" s="77"/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V9" s="77"/>
      <c r="BW9" s="77"/>
      <c r="BX9" s="77"/>
      <c r="BY9" s="183" t="s">
        <v>87</v>
      </c>
      <c r="BZ9" s="183" t="s">
        <v>89</v>
      </c>
      <c r="CA9" s="199" t="s">
        <v>93</v>
      </c>
      <c r="CB9" s="37" t="s">
        <v>94</v>
      </c>
      <c r="CC9" s="38" t="s">
        <v>95</v>
      </c>
      <c r="CD9" s="39"/>
      <c r="CE9" s="40" t="s">
        <v>96</v>
      </c>
      <c r="CF9" s="40" t="s">
        <v>97</v>
      </c>
      <c r="CG9" s="28"/>
      <c r="CH9" s="41" t="s">
        <v>98</v>
      </c>
      <c r="CI9" s="41" t="s">
        <v>99</v>
      </c>
      <c r="CJ9" s="29"/>
      <c r="CK9" s="41" t="s">
        <v>100</v>
      </c>
      <c r="CL9" s="31" t="s">
        <v>107</v>
      </c>
    </row>
    <row r="10" spans="1:90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0"/>
      <c r="AO10" s="163"/>
      <c r="AP10" s="163"/>
      <c r="AQ10" s="163"/>
      <c r="AR10" s="163"/>
      <c r="AS10" s="163"/>
      <c r="AT10" s="163"/>
      <c r="AU10" s="163"/>
      <c r="AV10" s="77"/>
      <c r="AW10" s="163"/>
      <c r="AX10" s="163"/>
      <c r="AY10" s="163"/>
      <c r="AZ10" s="163"/>
      <c r="BA10" s="163"/>
      <c r="BB10" s="163"/>
      <c r="BC10" s="205"/>
      <c r="BD10" s="205"/>
      <c r="BE10" s="205"/>
      <c r="BF10" s="205">
        <v>562500000</v>
      </c>
      <c r="BG10" s="205">
        <v>0</v>
      </c>
      <c r="BH10" s="205">
        <v>562500000</v>
      </c>
      <c r="BI10" s="216">
        <f>BH10*(120.27/109.14)</f>
        <v>619863249.03793287</v>
      </c>
      <c r="BJ10" s="206">
        <f>BI10</f>
        <v>619863249.03793287</v>
      </c>
      <c r="BK10" s="77"/>
      <c r="BL10" s="207">
        <f>MINA(L10,U10,AD10,AM10,BJ10)</f>
        <v>609880565.27999997</v>
      </c>
      <c r="BM10" s="207">
        <f>MAX(L10,U10,AD10,AM10,BJ10)</f>
        <v>2274528000</v>
      </c>
      <c r="BN10" s="207">
        <f>AVERAGE(L10,U10,AD10,AM10,BJ10)</f>
        <v>1260385930.8635864</v>
      </c>
      <c r="BO10" s="207">
        <f>GEOMEAN(L10,U10,AD10,AM10,BJ10)</f>
        <v>1109368736.8867741</v>
      </c>
      <c r="BP10" s="207">
        <f>MEDIAN(L10,U10,AD10,AM10,BJ10)</f>
        <v>1347657840</v>
      </c>
      <c r="BQ10" s="207">
        <f>_xlfn.STDEV.S(L10,U10,AD10,AM10,BJ10)</f>
        <v>690195724.83412874</v>
      </c>
      <c r="BR10" s="208">
        <f t="shared" ref="BR10" si="0">BQ10/BP10</f>
        <v>0.51214462925851323</v>
      </c>
      <c r="BS10" s="207">
        <f t="shared" ref="BS10" si="1">BL10</f>
        <v>609880565.27999997</v>
      </c>
      <c r="BT10" s="163" t="s">
        <v>78</v>
      </c>
      <c r="BU10" s="163" t="s">
        <v>108</v>
      </c>
      <c r="BV10" s="77"/>
      <c r="BW10" s="209" t="s">
        <v>81</v>
      </c>
      <c r="BX10" s="77"/>
      <c r="BY10" s="163">
        <v>1</v>
      </c>
      <c r="BZ10" s="207">
        <f>BY10*BS10</f>
        <v>609880565.27999997</v>
      </c>
      <c r="CA10" s="205">
        <f>BS10*F10</f>
        <v>609880565.27999997</v>
      </c>
      <c r="CB10" s="47">
        <f>BY10/F10</f>
        <v>1</v>
      </c>
      <c r="CC10" s="49">
        <f>CB10-1</f>
        <v>0</v>
      </c>
      <c r="CD10" s="23"/>
      <c r="CE10" s="50">
        <f>BZ10</f>
        <v>609880565.27999997</v>
      </c>
      <c r="CF10" s="50">
        <f>CE10*BY10</f>
        <v>609880565.27999997</v>
      </c>
      <c r="CG10" s="51"/>
      <c r="CH10" s="52">
        <f>CF10/3790.88</f>
        <v>160881</v>
      </c>
      <c r="CI10" s="52">
        <f>CH10*BY10</f>
        <v>160881</v>
      </c>
      <c r="CJ10" s="26"/>
      <c r="CK10" s="52">
        <f>CI10</f>
        <v>160881</v>
      </c>
      <c r="CL10" s="50">
        <f>CK10*4600</f>
        <v>740052600</v>
      </c>
    </row>
    <row r="11" spans="1:90" ht="12.75" hidden="1" customHeight="1" x14ac:dyDescent="0.2"/>
    <row r="12" spans="1:90" ht="12.75" hidden="1" customHeight="1" x14ac:dyDescent="0.2"/>
    <row r="13" spans="1:90" ht="20.25" hidden="1" customHeight="1" x14ac:dyDescent="0.2">
      <c r="A13" s="324" t="s">
        <v>90</v>
      </c>
      <c r="B13" s="325"/>
      <c r="C13" s="325"/>
      <c r="D13" s="325"/>
      <c r="E13" s="325"/>
      <c r="F13" s="325"/>
      <c r="G13" s="326"/>
      <c r="H13" s="324"/>
      <c r="I13" s="325"/>
      <c r="J13" s="326"/>
      <c r="M13" s="24"/>
      <c r="N13" s="24"/>
      <c r="O13" s="24"/>
      <c r="P13" s="249"/>
      <c r="Q13" s="249"/>
      <c r="R13" s="249"/>
      <c r="S13" s="24"/>
      <c r="T13" s="24"/>
      <c r="U13" s="24"/>
      <c r="V13" s="24"/>
      <c r="W13" s="24"/>
      <c r="X13" s="24"/>
      <c r="Y13" s="249"/>
      <c r="Z13" s="249"/>
      <c r="AA13" s="249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9"/>
      <c r="AO13" s="249"/>
      <c r="AP13" s="249"/>
      <c r="AQ13" s="24"/>
      <c r="AR13" s="24"/>
      <c r="AS13" s="24"/>
      <c r="AT13" s="24"/>
      <c r="AU13" s="24"/>
    </row>
    <row r="14" spans="1:90" ht="10.35" hidden="1" customHeight="1" x14ac:dyDescent="0.2">
      <c r="A14" s="330" t="s">
        <v>115</v>
      </c>
      <c r="B14" s="331"/>
      <c r="C14" s="331"/>
      <c r="D14" s="331"/>
      <c r="E14" s="331"/>
      <c r="F14" s="331"/>
      <c r="G14" s="331"/>
      <c r="H14" s="331"/>
      <c r="I14" s="331"/>
      <c r="J14" s="332"/>
      <c r="M14" s="24"/>
      <c r="N14" s="24"/>
      <c r="O14" s="24"/>
      <c r="P14" s="254"/>
      <c r="Q14" s="254"/>
      <c r="R14" s="254"/>
      <c r="S14" s="24"/>
      <c r="T14" s="24"/>
      <c r="U14" s="24"/>
      <c r="V14" s="24"/>
      <c r="W14" s="24"/>
      <c r="X14" s="24"/>
      <c r="Y14" s="254"/>
      <c r="Z14" s="254"/>
      <c r="AA14" s="25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54"/>
      <c r="AO14" s="254"/>
      <c r="AP14" s="254"/>
      <c r="AQ14" s="24"/>
      <c r="AR14" s="24"/>
      <c r="AS14" s="24"/>
      <c r="AT14" s="24"/>
      <c r="AU14" s="24"/>
    </row>
    <row r="15" spans="1:90" ht="10.35" hidden="1" customHeight="1" x14ac:dyDescent="0.2">
      <c r="A15" s="327" t="s">
        <v>16</v>
      </c>
      <c r="B15" s="328"/>
      <c r="C15" s="327" t="s">
        <v>17</v>
      </c>
      <c r="D15" s="328"/>
      <c r="E15" s="328"/>
      <c r="F15" s="328"/>
      <c r="G15" s="328"/>
      <c r="H15" s="328"/>
      <c r="I15" s="328"/>
      <c r="J15" s="329"/>
      <c r="M15" s="24"/>
      <c r="N15" s="24"/>
      <c r="O15" s="24"/>
      <c r="P15" s="250"/>
      <c r="Q15" s="250"/>
      <c r="R15" s="250"/>
      <c r="S15" s="24"/>
      <c r="T15" s="24"/>
      <c r="U15" s="24"/>
      <c r="V15" s="24"/>
      <c r="W15" s="24"/>
      <c r="X15" s="24"/>
      <c r="Y15" s="250"/>
      <c r="Z15" s="250"/>
      <c r="AA15" s="250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50"/>
      <c r="AO15" s="250"/>
      <c r="AP15" s="250"/>
      <c r="AQ15" s="24"/>
      <c r="AR15" s="24"/>
      <c r="AS15" s="24"/>
      <c r="AT15" s="24"/>
      <c r="AU15" s="24"/>
      <c r="BY15" s="27" t="s">
        <v>86</v>
      </c>
      <c r="BZ15" s="27"/>
      <c r="CA15" s="27"/>
    </row>
    <row r="16" spans="1:90" ht="10.35" hidden="1" customHeight="1" x14ac:dyDescent="0.2">
      <c r="A16" s="333" t="s">
        <v>20</v>
      </c>
      <c r="B16" s="334"/>
      <c r="C16" s="335" t="s">
        <v>21</v>
      </c>
      <c r="D16" s="336"/>
      <c r="E16" s="336"/>
      <c r="F16" s="336"/>
      <c r="G16" s="337"/>
      <c r="H16" s="335"/>
      <c r="I16" s="336"/>
      <c r="J16" s="336"/>
      <c r="K16" s="337"/>
      <c r="P16" s="251"/>
      <c r="Q16" s="252"/>
      <c r="R16" s="252"/>
      <c r="S16" s="253"/>
      <c r="Y16" s="251"/>
      <c r="Z16" s="252"/>
      <c r="AA16" s="252"/>
      <c r="AB16" s="253"/>
      <c r="AN16" s="251"/>
      <c r="AO16" s="252"/>
      <c r="AP16" s="252"/>
      <c r="AQ16" s="253"/>
      <c r="AW16" s="261" t="s">
        <v>50</v>
      </c>
      <c r="AX16" s="262"/>
      <c r="AY16" s="262"/>
      <c r="AZ16" s="262"/>
      <c r="BA16" s="262"/>
      <c r="BB16" s="263"/>
      <c r="BC16" s="258" t="s">
        <v>59</v>
      </c>
      <c r="BD16" s="259"/>
      <c r="BE16" s="260"/>
      <c r="BF16" s="255" t="s">
        <v>58</v>
      </c>
      <c r="BG16" s="256"/>
      <c r="BH16" s="256"/>
      <c r="BI16" s="257"/>
      <c r="BY16" s="27"/>
      <c r="BZ16" s="27"/>
      <c r="CA16" s="27"/>
    </row>
    <row r="17" spans="1:79" ht="40.5" hidden="1" customHeight="1" x14ac:dyDescent="0.2">
      <c r="A17" s="15" t="s">
        <v>0</v>
      </c>
      <c r="B17" s="75" t="s">
        <v>1</v>
      </c>
      <c r="C17" s="8" t="s">
        <v>2</v>
      </c>
      <c r="D17" s="9" t="s">
        <v>3</v>
      </c>
      <c r="E17" s="9" t="s">
        <v>19</v>
      </c>
      <c r="F17" s="8" t="s">
        <v>4</v>
      </c>
      <c r="G17" s="8" t="s">
        <v>7</v>
      </c>
      <c r="H17" s="53" t="s">
        <v>14</v>
      </c>
      <c r="I17" s="53" t="s">
        <v>10</v>
      </c>
      <c r="J17" s="53" t="s">
        <v>11</v>
      </c>
      <c r="K17" s="53" t="s">
        <v>12</v>
      </c>
      <c r="L17" s="53" t="s">
        <v>13</v>
      </c>
      <c r="M17" s="53" t="s">
        <v>6</v>
      </c>
      <c r="N17" s="53" t="s">
        <v>8</v>
      </c>
      <c r="O17" s="53" t="s">
        <v>9</v>
      </c>
      <c r="P17" s="53" t="s">
        <v>14</v>
      </c>
      <c r="Q17" s="53" t="s">
        <v>10</v>
      </c>
      <c r="R17" s="53" t="s">
        <v>11</v>
      </c>
      <c r="S17" s="53" t="s">
        <v>12</v>
      </c>
      <c r="T17" s="53" t="s">
        <v>13</v>
      </c>
      <c r="U17" s="54" t="s">
        <v>46</v>
      </c>
      <c r="V17" s="53" t="s">
        <v>6</v>
      </c>
      <c r="W17" s="53" t="s">
        <v>8</v>
      </c>
      <c r="X17" s="53" t="s">
        <v>9</v>
      </c>
      <c r="Y17" s="53" t="s">
        <v>14</v>
      </c>
      <c r="Z17" s="53" t="s">
        <v>10</v>
      </c>
      <c r="AA17" s="53" t="s">
        <v>11</v>
      </c>
      <c r="AB17" s="53" t="s">
        <v>12</v>
      </c>
      <c r="AC17" s="53" t="s">
        <v>13</v>
      </c>
      <c r="AD17" s="54" t="s">
        <v>46</v>
      </c>
      <c r="AE17" s="53" t="s">
        <v>6</v>
      </c>
      <c r="AF17" s="53" t="s">
        <v>8</v>
      </c>
      <c r="AG17" s="53" t="s">
        <v>9</v>
      </c>
      <c r="AH17" s="55" t="s">
        <v>14</v>
      </c>
      <c r="AI17" s="56" t="s">
        <v>85</v>
      </c>
      <c r="AJ17" s="55" t="s">
        <v>11</v>
      </c>
      <c r="AK17" s="57" t="s">
        <v>12</v>
      </c>
      <c r="AL17" s="58" t="s">
        <v>118</v>
      </c>
      <c r="AM17" s="59" t="s">
        <v>46</v>
      </c>
      <c r="AN17" s="53" t="s">
        <v>14</v>
      </c>
      <c r="AO17" s="53" t="s">
        <v>10</v>
      </c>
      <c r="AP17" s="53" t="s">
        <v>11</v>
      </c>
      <c r="AQ17" s="53" t="s">
        <v>12</v>
      </c>
      <c r="AR17" s="53" t="s">
        <v>13</v>
      </c>
      <c r="AS17" s="53" t="s">
        <v>6</v>
      </c>
      <c r="AT17" s="53" t="s">
        <v>8</v>
      </c>
      <c r="AU17" s="53" t="s">
        <v>9</v>
      </c>
      <c r="AW17" s="33" t="s">
        <v>60</v>
      </c>
      <c r="AX17" s="33" t="s">
        <v>61</v>
      </c>
      <c r="AY17" s="33" t="s">
        <v>63</v>
      </c>
      <c r="AZ17" s="33" t="s">
        <v>64</v>
      </c>
      <c r="BA17" s="33" t="s">
        <v>65</v>
      </c>
      <c r="BB17" s="33" t="s">
        <v>62</v>
      </c>
      <c r="BC17" s="33" t="s">
        <v>51</v>
      </c>
      <c r="BD17" s="33" t="s">
        <v>52</v>
      </c>
      <c r="BE17" s="33" t="s">
        <v>56</v>
      </c>
      <c r="BF17" s="33" t="s">
        <v>53</v>
      </c>
      <c r="BG17" s="33" t="s">
        <v>54</v>
      </c>
      <c r="BH17" s="33" t="s">
        <v>55</v>
      </c>
      <c r="BI17" s="33" t="s">
        <v>57</v>
      </c>
      <c r="BJ17" s="33" t="s">
        <v>66</v>
      </c>
      <c r="BL17" s="35" t="s">
        <v>72</v>
      </c>
      <c r="BM17" s="35" t="s">
        <v>68</v>
      </c>
      <c r="BN17" s="35" t="s">
        <v>69</v>
      </c>
      <c r="BO17" s="35" t="s">
        <v>70</v>
      </c>
      <c r="BP17" s="35" t="s">
        <v>71</v>
      </c>
      <c r="BQ17" s="35" t="s">
        <v>76</v>
      </c>
      <c r="BR17" s="35" t="s">
        <v>77</v>
      </c>
      <c r="BS17" s="35" t="s">
        <v>79</v>
      </c>
      <c r="BT17" s="35" t="s">
        <v>73</v>
      </c>
      <c r="BU17" s="35" t="s">
        <v>80</v>
      </c>
      <c r="BV17" s="35" t="s">
        <v>74</v>
      </c>
      <c r="BY17" s="27" t="s">
        <v>87</v>
      </c>
      <c r="BZ17" s="27" t="s">
        <v>89</v>
      </c>
      <c r="CA17" s="27" t="s">
        <v>88</v>
      </c>
    </row>
    <row r="18" spans="1:79" ht="165.75" hidden="1" customHeight="1" x14ac:dyDescent="0.2">
      <c r="A18" s="6">
        <v>1</v>
      </c>
      <c r="B18" s="76" t="s">
        <v>26</v>
      </c>
      <c r="C18" s="7" t="s">
        <v>27</v>
      </c>
      <c r="D18" s="7" t="s">
        <v>5</v>
      </c>
      <c r="E18" s="16" t="s">
        <v>28</v>
      </c>
      <c r="F18" s="7">
        <v>1</v>
      </c>
      <c r="G18" s="14" t="s">
        <v>29</v>
      </c>
      <c r="H18" s="60" t="s">
        <v>45</v>
      </c>
      <c r="I18" s="17">
        <v>62000000</v>
      </c>
      <c r="J18" s="61">
        <f>I18*19/100</f>
        <v>11780000</v>
      </c>
      <c r="K18" s="18">
        <f>I18+J18</f>
        <v>73780000</v>
      </c>
      <c r="L18" s="62">
        <f>K18</f>
        <v>73780000</v>
      </c>
      <c r="M18" s="42" t="s">
        <v>31</v>
      </c>
      <c r="N18" s="42" t="s">
        <v>30</v>
      </c>
      <c r="O18" s="42" t="s">
        <v>34</v>
      </c>
      <c r="P18" s="42"/>
      <c r="Q18" s="42"/>
      <c r="R18" s="42"/>
      <c r="S18" s="42"/>
      <c r="T18" s="42"/>
      <c r="U18" s="42"/>
      <c r="V18" s="42"/>
      <c r="W18" s="42"/>
      <c r="X18" s="42"/>
      <c r="Y18" s="7"/>
      <c r="Z18" s="14"/>
      <c r="AA18" s="7"/>
      <c r="AB18" s="13"/>
      <c r="AC18" s="42"/>
      <c r="AD18" s="42"/>
      <c r="AE18" s="42"/>
      <c r="AF18" s="42"/>
      <c r="AG18" s="42"/>
      <c r="AH18" s="63" t="s">
        <v>114</v>
      </c>
      <c r="AI18" s="64">
        <v>31200</v>
      </c>
      <c r="AJ18" s="63" t="s">
        <v>113</v>
      </c>
      <c r="AK18" s="64">
        <v>31200</v>
      </c>
      <c r="AL18" s="65">
        <v>31200</v>
      </c>
      <c r="AM18" s="66">
        <f>AL18*3790.88</f>
        <v>118275456</v>
      </c>
      <c r="AN18" s="14" t="s">
        <v>29</v>
      </c>
      <c r="AO18" s="67">
        <v>112413795</v>
      </c>
      <c r="AP18" s="67">
        <f>+AO18*19%</f>
        <v>21358621.050000001</v>
      </c>
      <c r="AQ18" s="67">
        <f>+AP18+AO18</f>
        <v>133772416.05</v>
      </c>
      <c r="AR18" s="67">
        <f>+AQ18</f>
        <v>133772416.05</v>
      </c>
      <c r="AS18" s="42">
        <v>60</v>
      </c>
      <c r="AT18" s="19" t="s">
        <v>36</v>
      </c>
      <c r="AU18" s="19" t="s">
        <v>43</v>
      </c>
      <c r="AW18" s="52">
        <v>15100</v>
      </c>
      <c r="AX18" s="52">
        <f>AW18*2.44%+AW18</f>
        <v>15468.44</v>
      </c>
      <c r="AY18" s="52">
        <f>AX18*1.81%+AX18</f>
        <v>15748.418764</v>
      </c>
      <c r="AZ18" s="52">
        <f>AY18*1.24%+AY18</f>
        <v>15943.6991566736</v>
      </c>
      <c r="BA18" s="52">
        <f>AZ18*4.69%+AZ18</f>
        <v>16691.458647121592</v>
      </c>
      <c r="BB18" s="43">
        <f>BA18*3790.88</f>
        <v>63275316.756200299</v>
      </c>
      <c r="BC18" s="43">
        <v>53222155.560000002</v>
      </c>
      <c r="BD18" s="43">
        <v>63334365.119999997</v>
      </c>
      <c r="BE18" s="43">
        <f>BD18*(118.7/103.8)</f>
        <v>72425714.255722553</v>
      </c>
      <c r="BF18" s="42"/>
      <c r="BG18" s="42"/>
      <c r="BH18" s="42"/>
      <c r="BI18" s="42"/>
      <c r="BJ18" s="68">
        <f>BE18</f>
        <v>72425714.255722553</v>
      </c>
      <c r="BL18" s="46">
        <f>MIN(BJ18,AO18,AM18,I18)</f>
        <v>62000000</v>
      </c>
      <c r="BM18" s="46">
        <f>MAX(BJ18,AO18,AM18,I18)</f>
        <v>118275456</v>
      </c>
      <c r="BN18" s="46">
        <f>AVERAGE(BJ18,AO18,AM18,I18)</f>
        <v>91278741.313930631</v>
      </c>
      <c r="BO18" s="46">
        <f>GEOMEAN(BJ18,AO18,AM18,I18)</f>
        <v>87902186.760975689</v>
      </c>
      <c r="BP18" s="46">
        <f>MEDIAN(BJ18,AO18,AM18,I18)</f>
        <v>92419754.627861276</v>
      </c>
      <c r="BQ18" s="46">
        <f>_xlfn.STDEV.S(BJ18,AO18,AM18,I18)</f>
        <v>28214620.443661615</v>
      </c>
      <c r="BR18" s="47">
        <f t="shared" ref="BR18" si="2">BQ18/BP18</f>
        <v>0.30528776620616466</v>
      </c>
      <c r="BS18" s="42">
        <v>60861945.649999999</v>
      </c>
      <c r="BT18" s="42" t="s">
        <v>78</v>
      </c>
      <c r="BU18" s="46">
        <f>BS18*0.19+BS18</f>
        <v>72425715.323499992</v>
      </c>
      <c r="BV18" s="42"/>
      <c r="BW18" s="48" t="s">
        <v>82</v>
      </c>
      <c r="BY18" s="42">
        <v>1</v>
      </c>
      <c r="BZ18" s="46">
        <f>BY18*BS18</f>
        <v>60861945.649999999</v>
      </c>
      <c r="CA18" s="46">
        <f>BY18*BU18</f>
        <v>72425715.323499992</v>
      </c>
    </row>
    <row r="19" spans="1:79" ht="12.75" hidden="1" customHeight="1" x14ac:dyDescent="0.2"/>
    <row r="20" spans="1:79" ht="12.75" hidden="1" customHeight="1" x14ac:dyDescent="0.2"/>
    <row r="21" spans="1:79" ht="12.75" hidden="1" customHeight="1" x14ac:dyDescent="0.2">
      <c r="BZ21" s="69"/>
    </row>
    <row r="22" spans="1:79" ht="12.75" hidden="1" customHeight="1" x14ac:dyDescent="0.2"/>
    <row r="23" spans="1:79" ht="12.75" hidden="1" customHeight="1" x14ac:dyDescent="0.2"/>
    <row r="24" spans="1:79" ht="12.75" hidden="1" customHeight="1" x14ac:dyDescent="0.2"/>
    <row r="25" spans="1:79" ht="12.75" hidden="1" customHeight="1" x14ac:dyDescent="0.2"/>
    <row r="26" spans="1:79" ht="12.75" hidden="1" customHeight="1" x14ac:dyDescent="0.2">
      <c r="BZ26" s="46">
        <f>+BZ10/3790.88</f>
        <v>160881</v>
      </c>
      <c r="CA26" s="46">
        <f>+BZ26*4150</f>
        <v>667656150</v>
      </c>
    </row>
    <row r="27" spans="1:79" ht="12.75" hidden="1" customHeight="1" x14ac:dyDescent="0.2"/>
    <row r="28" spans="1:79" ht="12.75" hidden="1" customHeight="1" x14ac:dyDescent="0.2"/>
    <row r="29" spans="1:79" ht="12.75" hidden="1" customHeight="1" x14ac:dyDescent="0.2">
      <c r="A29" s="70" t="s">
        <v>101</v>
      </c>
      <c r="B29" s="52" t="s">
        <v>102</v>
      </c>
    </row>
    <row r="30" spans="1:79" ht="12.75" hidden="1" customHeight="1" x14ac:dyDescent="0.2">
      <c r="A30" s="70"/>
      <c r="B30" s="71">
        <v>35</v>
      </c>
    </row>
    <row r="31" spans="1:79" ht="12.75" hidden="1" customHeight="1" x14ac:dyDescent="0.2">
      <c r="A31" s="70"/>
      <c r="B31" s="71">
        <v>36</v>
      </c>
      <c r="C31" s="20" t="s">
        <v>106</v>
      </c>
    </row>
    <row r="32" spans="1:79" ht="12.75" hidden="1" customHeight="1" x14ac:dyDescent="0.2">
      <c r="A32" s="70"/>
      <c r="B32" s="71">
        <v>37</v>
      </c>
    </row>
    <row r="33" spans="1:4" ht="12.75" hidden="1" customHeight="1" x14ac:dyDescent="0.2">
      <c r="A33" s="70"/>
      <c r="B33" s="71">
        <v>38</v>
      </c>
    </row>
    <row r="34" spans="1:4" ht="12.75" hidden="1" customHeight="1" x14ac:dyDescent="0.2">
      <c r="A34" s="70"/>
      <c r="B34" s="71">
        <v>39</v>
      </c>
      <c r="C34" s="20" t="s">
        <v>106</v>
      </c>
    </row>
    <row r="35" spans="1:4" ht="12.75" hidden="1" customHeight="1" x14ac:dyDescent="0.2">
      <c r="A35" s="72" t="s">
        <v>103</v>
      </c>
      <c r="B35" s="52"/>
      <c r="D35" s="69"/>
    </row>
    <row r="36" spans="1:4" ht="12.75" hidden="1" customHeight="1" x14ac:dyDescent="0.2">
      <c r="A36" s="70"/>
      <c r="B36" s="52"/>
    </row>
    <row r="37" spans="1:4" ht="12.75" hidden="1" customHeight="1" x14ac:dyDescent="0.2">
      <c r="A37" s="70" t="s">
        <v>104</v>
      </c>
      <c r="B37" s="52"/>
    </row>
    <row r="38" spans="1:4" ht="12.75" hidden="1" customHeight="1" x14ac:dyDescent="0.2">
      <c r="A38" s="70" t="s">
        <v>105</v>
      </c>
      <c r="B38" s="52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password="F2BF" sheet="1" objects="1" scenarios="1"/>
  <mergeCells count="34">
    <mergeCell ref="AN16:AQ16"/>
    <mergeCell ref="AW16:BB16"/>
    <mergeCell ref="BC16:BE16"/>
    <mergeCell ref="BF16:BI16"/>
    <mergeCell ref="A16:B16"/>
    <mergeCell ref="C16:G16"/>
    <mergeCell ref="H16:K16"/>
    <mergeCell ref="P16:S16"/>
    <mergeCell ref="Y16:AB16"/>
    <mergeCell ref="P14:R14"/>
    <mergeCell ref="Y14:AA14"/>
    <mergeCell ref="AN14:AP14"/>
    <mergeCell ref="A15:B15"/>
    <mergeCell ref="C15:G15"/>
    <mergeCell ref="H15:J15"/>
    <mergeCell ref="P15:R15"/>
    <mergeCell ref="Y15:AA15"/>
    <mergeCell ref="AN15:AP15"/>
    <mergeCell ref="A14:G14"/>
    <mergeCell ref="H14:J14"/>
    <mergeCell ref="BY7:BY8"/>
    <mergeCell ref="AW8:BB8"/>
    <mergeCell ref="BF8:BI8"/>
    <mergeCell ref="CH8:CI8"/>
    <mergeCell ref="CE8:CF8"/>
    <mergeCell ref="AW6:BJ6"/>
    <mergeCell ref="C8:G8"/>
    <mergeCell ref="AN2:AU2"/>
    <mergeCell ref="BL6:BU6"/>
    <mergeCell ref="A13:G13"/>
    <mergeCell ref="H13:J13"/>
    <mergeCell ref="P13:R13"/>
    <mergeCell ref="Y13:AA13"/>
    <mergeCell ref="AN13:AP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1"/>
  <sheetViews>
    <sheetView zoomScaleNormal="100" workbookViewId="0">
      <selection sqref="A1:XFD1048576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14.140625" style="77" customWidth="1"/>
    <col min="7" max="7" width="36" style="77" customWidth="1"/>
    <col min="8" max="8" width="19.42578125" style="77" hidden="1" customWidth="1"/>
    <col min="9" max="9" width="22.85546875" style="77" hidden="1" customWidth="1"/>
    <col min="10" max="10" width="14" style="77" hidden="1" customWidth="1"/>
    <col min="11" max="11" width="18.85546875" style="77" hidden="1" customWidth="1"/>
    <col min="12" max="12" width="17" style="77" hidden="1" customWidth="1"/>
    <col min="13" max="13" width="10.85546875" style="77" hidden="1" customWidth="1"/>
    <col min="14" max="14" width="30.7109375" style="77" hidden="1" customWidth="1"/>
    <col min="15" max="15" width="25.85546875" style="77" hidden="1" customWidth="1"/>
    <col min="16" max="16" width="6.85546875" style="77" hidden="1" customWidth="1"/>
    <col min="17" max="17" width="22.85546875" style="77" hidden="1" customWidth="1"/>
    <col min="18" max="18" width="19.7109375" style="77" hidden="1" customWidth="1"/>
    <col min="19" max="19" width="13.5703125" style="77" hidden="1" customWidth="1"/>
    <col min="20" max="20" width="18.7109375" style="77" hidden="1" customWidth="1"/>
    <col min="21" max="21" width="18.140625" style="77" hidden="1" customWidth="1"/>
    <col min="22" max="22" width="10.85546875" style="77" hidden="1" customWidth="1"/>
    <col min="23" max="23" width="22.85546875" style="77" hidden="1" customWidth="1"/>
    <col min="24" max="24" width="26.7109375" style="77" hidden="1" customWidth="1"/>
    <col min="25" max="25" width="10.85546875" style="77" hidden="1" customWidth="1"/>
    <col min="26" max="26" width="18.5703125" style="77" hidden="1" customWidth="1"/>
    <col min="27" max="27" width="10.85546875" style="77" hidden="1" customWidth="1"/>
    <col min="28" max="28" width="16.140625" style="77" hidden="1" customWidth="1"/>
    <col min="29" max="29" width="17.140625" style="77" hidden="1" customWidth="1"/>
    <col min="30" max="30" width="19" style="77" hidden="1" customWidth="1"/>
    <col min="31" max="31" width="20.28515625" style="77" hidden="1" customWidth="1"/>
    <col min="32" max="33" width="15.42578125" style="77" hidden="1" customWidth="1"/>
    <col min="34" max="34" width="39.28515625" style="77" hidden="1" customWidth="1"/>
    <col min="35" max="35" width="18.7109375" style="77" hidden="1" customWidth="1"/>
    <col min="36" max="36" width="19.42578125" style="77" hidden="1" customWidth="1"/>
    <col min="37" max="37" width="20" style="77" hidden="1" customWidth="1"/>
    <col min="38" max="38" width="15.42578125" style="77" hidden="1" customWidth="1"/>
    <col min="39" max="39" width="23.140625" style="77" hidden="1" customWidth="1"/>
    <col min="40" max="40" width="10.85546875" style="77" hidden="1" customWidth="1"/>
    <col min="41" max="41" width="14.140625" style="77" hidden="1" customWidth="1"/>
    <col min="42" max="42" width="13" style="77" hidden="1" customWidth="1"/>
    <col min="43" max="44" width="14.140625" style="77" hidden="1" customWidth="1"/>
    <col min="45" max="48" width="10.85546875" style="77" hidden="1" customWidth="1"/>
    <col min="49" max="53" width="13.140625" style="77" hidden="1" customWidth="1"/>
    <col min="54" max="55" width="15.140625" style="77" hidden="1" customWidth="1"/>
    <col min="56" max="57" width="11.85546875" style="77" hidden="1" customWidth="1"/>
    <col min="58" max="58" width="16.140625" style="77" hidden="1" customWidth="1"/>
    <col min="59" max="59" width="10.85546875" style="77" hidden="1" customWidth="1"/>
    <col min="60" max="62" width="16.140625" style="77" hidden="1" customWidth="1"/>
    <col min="63" max="63" width="10.85546875" style="77" hidden="1" customWidth="1"/>
    <col min="64" max="64" width="13.85546875" style="77" hidden="1" customWidth="1"/>
    <col min="65" max="68" width="15.42578125" style="77" hidden="1" customWidth="1"/>
    <col min="69" max="69" width="13.85546875" style="77" hidden="1" customWidth="1"/>
    <col min="70" max="70" width="10.85546875" style="77" hidden="1" customWidth="1"/>
    <col min="71" max="71" width="20.85546875" style="77" hidden="1" customWidth="1"/>
    <col min="72" max="72" width="10.85546875" style="77" hidden="1" customWidth="1"/>
    <col min="73" max="73" width="12.85546875" style="77" hidden="1" customWidth="1"/>
    <col min="74" max="76" width="10.85546875" style="77" hidden="1" customWidth="1"/>
    <col min="77" max="77" width="29.140625" style="77" customWidth="1"/>
    <col min="78" max="79" width="43.85546875" style="77" customWidth="1"/>
    <col min="80" max="80" width="44.42578125" style="77" customWidth="1"/>
    <col min="81" max="81" width="27.140625" style="77" customWidth="1"/>
    <col min="82" max="82" width="24.7109375" style="77" customWidth="1"/>
    <col min="83" max="83" width="10.85546875" style="77" customWidth="1"/>
    <col min="84" max="84" width="25" style="77" hidden="1" customWidth="1"/>
    <col min="85" max="85" width="22.42578125" style="77" hidden="1" customWidth="1"/>
    <col min="86" max="86" width="10.85546875" style="77" hidden="1" customWidth="1"/>
    <col min="87" max="87" width="19.42578125" style="77" hidden="1" customWidth="1"/>
    <col min="88" max="88" width="19.28515625" style="77" hidden="1" customWidth="1"/>
    <col min="89" max="89" width="10.85546875" style="77" hidden="1" customWidth="1"/>
    <col min="90" max="90" width="24" style="77" hidden="1" customWidth="1"/>
    <col min="91" max="91" width="31.85546875" style="77" hidden="1" customWidth="1"/>
    <col min="92" max="92" width="10.85546875" style="77" hidden="1" customWidth="1"/>
    <col min="93" max="93" width="0" style="77" hidden="1" customWidth="1"/>
    <col min="94" max="16384" width="10.85546875" style="77"/>
  </cols>
  <sheetData>
    <row r="1" spans="1:91" x14ac:dyDescent="0.2"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CB1" s="175"/>
      <c r="CC1" s="176"/>
      <c r="CD1" s="176"/>
      <c r="CE1" s="177"/>
      <c r="CH1" s="101"/>
      <c r="CI1" s="178"/>
      <c r="CJ1" s="178"/>
      <c r="CK1" s="179"/>
      <c r="CL1" s="178"/>
    </row>
    <row r="2" spans="1:91" x14ac:dyDescent="0.2"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CB2" s="175"/>
      <c r="CC2" s="176"/>
      <c r="CD2" s="176"/>
      <c r="CE2" s="177"/>
      <c r="CH2" s="101"/>
      <c r="CI2" s="178"/>
      <c r="CJ2" s="178"/>
      <c r="CK2" s="179"/>
      <c r="CL2" s="178"/>
    </row>
    <row r="3" spans="1:91" ht="52.9" customHeight="1" x14ac:dyDescent="0.2">
      <c r="A3" s="92"/>
      <c r="B3" s="93" t="s">
        <v>109</v>
      </c>
      <c r="C3" s="94"/>
      <c r="D3" s="94"/>
      <c r="E3" s="94"/>
      <c r="F3" s="94"/>
      <c r="G3" s="95"/>
      <c r="H3" s="96"/>
      <c r="P3" s="96"/>
      <c r="Y3" s="96"/>
      <c r="AN3" s="96"/>
      <c r="CB3" s="175"/>
      <c r="CC3" s="176"/>
      <c r="CD3" s="176"/>
      <c r="CE3" s="177"/>
      <c r="CH3" s="101"/>
      <c r="CI3" s="178"/>
      <c r="CJ3" s="178"/>
      <c r="CK3" s="179"/>
      <c r="CL3" s="178"/>
    </row>
    <row r="4" spans="1:91" ht="14.25" customHeight="1" x14ac:dyDescent="0.2">
      <c r="A4" s="92"/>
      <c r="B4" s="97"/>
      <c r="C4" s="98"/>
      <c r="D4" s="98"/>
      <c r="E4" s="98"/>
      <c r="F4" s="98"/>
      <c r="G4" s="99"/>
      <c r="H4" s="96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BS4" s="217"/>
      <c r="BT4" s="217"/>
      <c r="CB4" s="175"/>
      <c r="CC4" s="176"/>
      <c r="CD4" s="176"/>
      <c r="CE4" s="177"/>
      <c r="CH4" s="101"/>
      <c r="CI4" s="178"/>
      <c r="CJ4" s="178"/>
      <c r="CK4" s="179"/>
      <c r="CL4" s="178"/>
    </row>
    <row r="5" spans="1:91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BS5" s="217"/>
      <c r="BT5" s="217"/>
      <c r="CB5" s="175"/>
      <c r="CC5" s="176"/>
      <c r="CD5" s="176"/>
      <c r="CE5" s="177"/>
      <c r="CH5" s="101"/>
      <c r="CI5" s="178"/>
      <c r="CJ5" s="178"/>
      <c r="CK5" s="179"/>
      <c r="CL5" s="178"/>
    </row>
    <row r="6" spans="1:91" ht="80.650000000000006" customHeight="1" x14ac:dyDescent="0.2">
      <c r="A6" s="242"/>
      <c r="B6" s="241" t="s">
        <v>112</v>
      </c>
      <c r="C6" s="238"/>
      <c r="D6" s="238"/>
      <c r="E6" s="238"/>
      <c r="F6" s="238"/>
      <c r="G6" s="239"/>
      <c r="H6" s="110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W6" s="319" t="s">
        <v>67</v>
      </c>
      <c r="AX6" s="320"/>
      <c r="AY6" s="320"/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1"/>
      <c r="BL6" s="339" t="s">
        <v>75</v>
      </c>
      <c r="BM6" s="79"/>
      <c r="BN6" s="79"/>
      <c r="BO6" s="79"/>
      <c r="BP6" s="79"/>
      <c r="BQ6" s="79"/>
      <c r="BR6" s="79"/>
      <c r="BS6" s="218"/>
      <c r="BT6" s="218"/>
      <c r="BU6" s="340"/>
      <c r="CB6" s="175"/>
      <c r="CC6" s="176"/>
      <c r="CD6" s="176"/>
      <c r="CE6" s="177"/>
      <c r="CH6" s="101"/>
      <c r="CI6" s="178"/>
      <c r="CJ6" s="178"/>
      <c r="CK6" s="179"/>
      <c r="CL6" s="178"/>
    </row>
    <row r="7" spans="1:91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240"/>
      <c r="P7" s="243"/>
      <c r="Y7" s="24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243"/>
      <c r="AO7" s="101"/>
      <c r="AP7" s="101"/>
      <c r="AQ7" s="101"/>
      <c r="AR7" s="101"/>
      <c r="AS7" s="101"/>
      <c r="AT7" s="101"/>
      <c r="AU7" s="101"/>
      <c r="BS7" s="217"/>
      <c r="BT7" s="217"/>
      <c r="BY7" s="341" t="s">
        <v>86</v>
      </c>
      <c r="BZ7" s="342"/>
      <c r="CA7" s="342"/>
      <c r="CB7" s="219"/>
      <c r="CC7" s="221"/>
      <c r="CD7" s="221"/>
      <c r="CE7" s="343"/>
      <c r="CF7" s="224"/>
      <c r="CG7" s="224"/>
      <c r="CH7" s="342"/>
      <c r="CI7" s="226"/>
      <c r="CJ7" s="226"/>
      <c r="CK7" s="233"/>
      <c r="CL7" s="226"/>
      <c r="CM7" s="224"/>
    </row>
    <row r="8" spans="1:91" ht="61.5" customHeight="1" x14ac:dyDescent="0.2">
      <c r="A8" s="114"/>
      <c r="B8" s="115"/>
      <c r="C8" s="274"/>
      <c r="D8" s="275"/>
      <c r="E8" s="275"/>
      <c r="F8" s="275"/>
      <c r="G8" s="276"/>
      <c r="H8" s="237"/>
      <c r="P8" s="244"/>
      <c r="Y8" s="118"/>
      <c r="AN8" s="118"/>
      <c r="AW8" s="298" t="s">
        <v>50</v>
      </c>
      <c r="AX8" s="299"/>
      <c r="AY8" s="299"/>
      <c r="AZ8" s="299"/>
      <c r="BA8" s="299"/>
      <c r="BB8" s="300"/>
      <c r="BC8" s="187" t="s">
        <v>49</v>
      </c>
      <c r="BD8" s="187"/>
      <c r="BE8" s="188"/>
      <c r="BF8" s="322" t="s">
        <v>111</v>
      </c>
      <c r="BG8" s="323"/>
      <c r="BH8" s="323"/>
      <c r="BI8" s="323"/>
      <c r="BY8" s="341"/>
      <c r="BZ8" s="342"/>
      <c r="CA8" s="342"/>
      <c r="CB8" s="219"/>
      <c r="CC8" s="221"/>
      <c r="CD8" s="221"/>
      <c r="CE8" s="343"/>
      <c r="CF8" s="315" t="s">
        <v>91</v>
      </c>
      <c r="CG8" s="316"/>
      <c r="CH8" s="192"/>
      <c r="CI8" s="317" t="s">
        <v>92</v>
      </c>
      <c r="CJ8" s="318"/>
      <c r="CK8" s="193"/>
      <c r="CL8" s="194" t="s">
        <v>92</v>
      </c>
      <c r="CM8" s="194" t="s">
        <v>91</v>
      </c>
    </row>
    <row r="9" spans="1:91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56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W9" s="344" t="s">
        <v>124</v>
      </c>
      <c r="BY9" s="345" t="s">
        <v>87</v>
      </c>
      <c r="BZ9" s="345" t="s">
        <v>89</v>
      </c>
      <c r="CA9" s="345" t="s">
        <v>123</v>
      </c>
      <c r="CB9" s="220" t="s">
        <v>93</v>
      </c>
      <c r="CC9" s="222" t="s">
        <v>94</v>
      </c>
      <c r="CD9" s="222" t="s">
        <v>95</v>
      </c>
      <c r="CE9" s="346"/>
      <c r="CF9" s="203" t="s">
        <v>96</v>
      </c>
      <c r="CG9" s="203" t="s">
        <v>97</v>
      </c>
      <c r="CH9" s="192"/>
      <c r="CI9" s="204" t="s">
        <v>98</v>
      </c>
      <c r="CJ9" s="204" t="s">
        <v>99</v>
      </c>
      <c r="CK9" s="193"/>
      <c r="CL9" s="204" t="s">
        <v>100</v>
      </c>
      <c r="CM9" s="195" t="s">
        <v>107</v>
      </c>
    </row>
    <row r="10" spans="1:91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0"/>
      <c r="AO10" s="163"/>
      <c r="AP10" s="163"/>
      <c r="AQ10" s="163"/>
      <c r="AR10" s="163"/>
      <c r="AS10" s="163"/>
      <c r="AT10" s="163"/>
      <c r="AU10" s="163"/>
      <c r="AW10" s="163"/>
      <c r="AX10" s="163"/>
      <c r="AY10" s="163"/>
      <c r="AZ10" s="163"/>
      <c r="BA10" s="163"/>
      <c r="BB10" s="163"/>
      <c r="BC10" s="205"/>
      <c r="BD10" s="205"/>
      <c r="BE10" s="205"/>
      <c r="BF10" s="205">
        <v>562500000</v>
      </c>
      <c r="BG10" s="205">
        <v>0</v>
      </c>
      <c r="BH10" s="205">
        <v>562500000</v>
      </c>
      <c r="BI10" s="216">
        <f>BH10*(120.27/109.14)</f>
        <v>619863249.03793287</v>
      </c>
      <c r="BJ10" s="206">
        <f>BI10</f>
        <v>619863249.03793287</v>
      </c>
      <c r="BL10" s="207">
        <f>MINA(L10,U10,AD10,AM10,BJ10)</f>
        <v>609880565.27999997</v>
      </c>
      <c r="BM10" s="207">
        <f>MAX(L10,U10,AD10,AM10,BJ10)</f>
        <v>2274528000</v>
      </c>
      <c r="BN10" s="207">
        <f>AVERAGE(L10,U10,AD10,AM10,BJ10)</f>
        <v>1260385930.8635864</v>
      </c>
      <c r="BO10" s="207">
        <f>GEOMEAN(L10,U10,AD10,AM10,BJ10)</f>
        <v>1109368736.8867741</v>
      </c>
      <c r="BP10" s="207">
        <f>MEDIAN(L10,U10,AD10,AM10,BJ10)</f>
        <v>1347657840</v>
      </c>
      <c r="BQ10" s="207">
        <f>_xlfn.STDEV.S(L10,U10,AD10,AM10,BJ10)</f>
        <v>690195724.83412874</v>
      </c>
      <c r="BR10" s="208">
        <f t="shared" ref="BR10" si="0">BQ10/BP10</f>
        <v>0.51214462925851323</v>
      </c>
      <c r="BS10" s="205">
        <f t="shared" ref="BS10" si="1">BL10</f>
        <v>609880565.27999997</v>
      </c>
      <c r="BT10" s="163" t="s">
        <v>78</v>
      </c>
      <c r="BU10" s="163" t="s">
        <v>108</v>
      </c>
      <c r="BW10" s="347" t="s">
        <v>81</v>
      </c>
      <c r="BY10" s="132">
        <v>1</v>
      </c>
      <c r="BZ10" s="348">
        <f>BY10*BS10</f>
        <v>609880565.27999997</v>
      </c>
      <c r="CA10" s="348" t="s">
        <v>125</v>
      </c>
      <c r="CB10" s="135">
        <f>BS10*F10</f>
        <v>609880565.27999997</v>
      </c>
      <c r="CC10" s="223">
        <f>BY10/F10</f>
        <v>1</v>
      </c>
      <c r="CD10" s="223">
        <f>CC10-1</f>
        <v>0</v>
      </c>
      <c r="CE10" s="343"/>
      <c r="CF10" s="225">
        <f>BS10</f>
        <v>609880565.27999997</v>
      </c>
      <c r="CG10" s="225">
        <f>CF10*BY10</f>
        <v>609880565.27999997</v>
      </c>
      <c r="CH10" s="232"/>
      <c r="CI10" s="227">
        <f>BS10/3790.88</f>
        <v>160881</v>
      </c>
      <c r="CJ10" s="227">
        <f>CI10*BY10</f>
        <v>160881</v>
      </c>
      <c r="CK10" s="233"/>
      <c r="CL10" s="227">
        <f>CJ10</f>
        <v>160881</v>
      </c>
      <c r="CM10" s="225">
        <f>CL10*4600</f>
        <v>740052600</v>
      </c>
    </row>
    <row r="11" spans="1:91" ht="12.75" hidden="1" customHeight="1" x14ac:dyDescent="0.2"/>
    <row r="12" spans="1:91" ht="12.75" hidden="1" customHeight="1" x14ac:dyDescent="0.2"/>
    <row r="13" spans="1:91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80"/>
      <c r="AO13" s="280"/>
      <c r="AP13" s="280"/>
      <c r="AQ13" s="101"/>
      <c r="AR13" s="101"/>
      <c r="AS13" s="101"/>
      <c r="AT13" s="101"/>
      <c r="AU13" s="101"/>
    </row>
    <row r="14" spans="1:91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69"/>
      <c r="AO14" s="269"/>
      <c r="AP14" s="269"/>
      <c r="AQ14" s="101"/>
      <c r="AR14" s="101"/>
      <c r="AS14" s="101"/>
      <c r="AT14" s="101"/>
      <c r="AU14" s="101"/>
    </row>
    <row r="15" spans="1:91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70"/>
      <c r="AO15" s="270"/>
      <c r="AP15" s="270"/>
      <c r="AQ15" s="101"/>
      <c r="AR15" s="101"/>
      <c r="AS15" s="101"/>
      <c r="AT15" s="101"/>
      <c r="AU15" s="101"/>
      <c r="BY15" s="183" t="s">
        <v>86</v>
      </c>
      <c r="BZ15" s="183"/>
      <c r="CA15" s="183"/>
      <c r="CB15" s="183"/>
    </row>
    <row r="16" spans="1:91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71"/>
      <c r="AO16" s="272"/>
      <c r="AP16" s="272"/>
      <c r="AQ16" s="273"/>
      <c r="AW16" s="298" t="s">
        <v>50</v>
      </c>
      <c r="AX16" s="299"/>
      <c r="AY16" s="299"/>
      <c r="AZ16" s="299"/>
      <c r="BA16" s="299"/>
      <c r="BB16" s="300"/>
      <c r="BC16" s="301" t="s">
        <v>59</v>
      </c>
      <c r="BD16" s="302"/>
      <c r="BE16" s="303"/>
      <c r="BF16" s="304" t="s">
        <v>58</v>
      </c>
      <c r="BG16" s="305"/>
      <c r="BH16" s="305"/>
      <c r="BI16" s="306"/>
      <c r="BY16" s="183"/>
      <c r="BZ16" s="183"/>
      <c r="CA16" s="183"/>
      <c r="CB16" s="183"/>
    </row>
    <row r="17" spans="1:80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146" t="s">
        <v>14</v>
      </c>
      <c r="AO17" s="146" t="s">
        <v>10</v>
      </c>
      <c r="AP17" s="146" t="s">
        <v>11</v>
      </c>
      <c r="AQ17" s="146" t="s">
        <v>12</v>
      </c>
      <c r="AR17" s="146" t="s">
        <v>13</v>
      </c>
      <c r="AS17" s="146" t="s">
        <v>6</v>
      </c>
      <c r="AT17" s="146" t="s">
        <v>8</v>
      </c>
      <c r="AU17" s="146" t="s">
        <v>9</v>
      </c>
      <c r="AW17" s="196" t="s">
        <v>60</v>
      </c>
      <c r="AX17" s="196" t="s">
        <v>61</v>
      </c>
      <c r="AY17" s="196" t="s">
        <v>63</v>
      </c>
      <c r="AZ17" s="196" t="s">
        <v>64</v>
      </c>
      <c r="BA17" s="196" t="s">
        <v>65</v>
      </c>
      <c r="BB17" s="196" t="s">
        <v>62</v>
      </c>
      <c r="BC17" s="196" t="s">
        <v>51</v>
      </c>
      <c r="BD17" s="196" t="s">
        <v>52</v>
      </c>
      <c r="BE17" s="196" t="s">
        <v>56</v>
      </c>
      <c r="BF17" s="196" t="s">
        <v>53</v>
      </c>
      <c r="BG17" s="196" t="s">
        <v>54</v>
      </c>
      <c r="BH17" s="196" t="s">
        <v>55</v>
      </c>
      <c r="BI17" s="196" t="s">
        <v>57</v>
      </c>
      <c r="BJ17" s="196" t="s">
        <v>66</v>
      </c>
      <c r="BL17" s="198" t="s">
        <v>72</v>
      </c>
      <c r="BM17" s="198" t="s">
        <v>68</v>
      </c>
      <c r="BN17" s="198" t="s">
        <v>69</v>
      </c>
      <c r="BO17" s="198" t="s">
        <v>70</v>
      </c>
      <c r="BP17" s="198" t="s">
        <v>71</v>
      </c>
      <c r="BQ17" s="198" t="s">
        <v>76</v>
      </c>
      <c r="BR17" s="198" t="s">
        <v>77</v>
      </c>
      <c r="BS17" s="198" t="s">
        <v>79</v>
      </c>
      <c r="BT17" s="198" t="s">
        <v>73</v>
      </c>
      <c r="BU17" s="198" t="s">
        <v>80</v>
      </c>
      <c r="BV17" s="198" t="s">
        <v>74</v>
      </c>
      <c r="BY17" s="183" t="s">
        <v>87</v>
      </c>
      <c r="BZ17" s="183" t="s">
        <v>89</v>
      </c>
      <c r="CA17" s="183"/>
      <c r="CB17" s="183" t="s">
        <v>88</v>
      </c>
    </row>
    <row r="18" spans="1:80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57" t="s">
        <v>29</v>
      </c>
      <c r="AO18" s="213">
        <v>112413795</v>
      </c>
      <c r="AP18" s="213">
        <f>+AO18*19%</f>
        <v>21358621.050000001</v>
      </c>
      <c r="AQ18" s="213">
        <f>+AP18+AO18</f>
        <v>133772416.05</v>
      </c>
      <c r="AR18" s="213">
        <f>+AQ18</f>
        <v>133772416.05</v>
      </c>
      <c r="AS18" s="163">
        <v>60</v>
      </c>
      <c r="AT18" s="214" t="s">
        <v>36</v>
      </c>
      <c r="AU18" s="214" t="s">
        <v>43</v>
      </c>
      <c r="AW18" s="169">
        <v>15100</v>
      </c>
      <c r="AX18" s="169">
        <f>AW18*2.44%+AW18</f>
        <v>15468.44</v>
      </c>
      <c r="AY18" s="169">
        <f>AX18*1.81%+AX18</f>
        <v>15748.418764</v>
      </c>
      <c r="AZ18" s="169">
        <f>AY18*1.24%+AY18</f>
        <v>15943.6991566736</v>
      </c>
      <c r="BA18" s="169">
        <f>AZ18*4.69%+AZ18</f>
        <v>16691.458647121592</v>
      </c>
      <c r="BB18" s="205">
        <f>BA18*3790.88</f>
        <v>63275316.756200299</v>
      </c>
      <c r="BC18" s="205">
        <v>53222155.560000002</v>
      </c>
      <c r="BD18" s="205">
        <v>63334365.119999997</v>
      </c>
      <c r="BE18" s="205">
        <f>BD18*(118.7/103.8)</f>
        <v>72425714.255722553</v>
      </c>
      <c r="BF18" s="163"/>
      <c r="BG18" s="163"/>
      <c r="BH18" s="163"/>
      <c r="BI18" s="163"/>
      <c r="BJ18" s="215">
        <f>BE18</f>
        <v>72425714.255722553</v>
      </c>
      <c r="BL18" s="207">
        <f>MIN(BJ18,AO18,AM18,I18)</f>
        <v>62000000</v>
      </c>
      <c r="BM18" s="207">
        <f>MAX(BJ18,AO18,AM18,I18)</f>
        <v>118275456</v>
      </c>
      <c r="BN18" s="207">
        <f>AVERAGE(BJ18,AO18,AM18,I18)</f>
        <v>91278741.313930631</v>
      </c>
      <c r="BO18" s="207">
        <f>GEOMEAN(BJ18,AO18,AM18,I18)</f>
        <v>87902186.760975689</v>
      </c>
      <c r="BP18" s="207">
        <f>MEDIAN(BJ18,AO18,AM18,I18)</f>
        <v>92419754.627861276</v>
      </c>
      <c r="BQ18" s="207">
        <f>_xlfn.STDEV.S(BJ18,AO18,AM18,I18)</f>
        <v>28214620.443661615</v>
      </c>
      <c r="BR18" s="208">
        <f t="shared" ref="BR18" si="2">BQ18/BP18</f>
        <v>0.30528776620616466</v>
      </c>
      <c r="BS18" s="163">
        <v>60861945.649999999</v>
      </c>
      <c r="BT18" s="163" t="s">
        <v>78</v>
      </c>
      <c r="BU18" s="207">
        <f>BS18*0.19+BS18</f>
        <v>72425715.323499992</v>
      </c>
      <c r="BV18" s="163"/>
      <c r="BW18" s="209" t="s">
        <v>82</v>
      </c>
      <c r="BY18" s="163">
        <v>1</v>
      </c>
      <c r="BZ18" s="207">
        <f>BY18*BS18</f>
        <v>60861945.649999999</v>
      </c>
      <c r="CA18" s="207"/>
      <c r="CB18" s="207">
        <f>BY18*BU18</f>
        <v>72425715.323499992</v>
      </c>
    </row>
    <row r="19" spans="1:80" ht="12.75" hidden="1" customHeight="1" x14ac:dyDescent="0.2"/>
    <row r="20" spans="1:80" ht="12.75" hidden="1" customHeight="1" x14ac:dyDescent="0.2"/>
    <row r="21" spans="1:80" ht="12.75" hidden="1" customHeight="1" x14ac:dyDescent="0.2">
      <c r="BZ21" s="172"/>
      <c r="CA21" s="172"/>
    </row>
    <row r="22" spans="1:80" ht="12.75" hidden="1" customHeight="1" x14ac:dyDescent="0.2"/>
    <row r="23" spans="1:80" ht="12.75" hidden="1" customHeight="1" x14ac:dyDescent="0.2"/>
    <row r="24" spans="1:80" ht="12.75" hidden="1" customHeight="1" x14ac:dyDescent="0.2"/>
    <row r="25" spans="1:80" ht="12.75" hidden="1" customHeight="1" x14ac:dyDescent="0.2"/>
    <row r="26" spans="1:80" ht="12.75" hidden="1" customHeight="1" x14ac:dyDescent="0.2">
      <c r="BZ26" s="207">
        <f>+BZ10/3790.88</f>
        <v>160881</v>
      </c>
      <c r="CA26" s="207"/>
      <c r="CB26" s="207">
        <f>+BZ26*4150</f>
        <v>667656150</v>
      </c>
    </row>
    <row r="27" spans="1:80" ht="12.75" hidden="1" customHeight="1" x14ac:dyDescent="0.2"/>
    <row r="28" spans="1:80" ht="12.75" hidden="1" customHeight="1" x14ac:dyDescent="0.2"/>
    <row r="29" spans="1:80" ht="12.75" hidden="1" customHeight="1" x14ac:dyDescent="0.2">
      <c r="A29" s="168" t="s">
        <v>101</v>
      </c>
      <c r="B29" s="169" t="s">
        <v>102</v>
      </c>
    </row>
    <row r="30" spans="1:80" ht="12.75" hidden="1" customHeight="1" x14ac:dyDescent="0.2">
      <c r="A30" s="168"/>
      <c r="B30" s="170">
        <v>35</v>
      </c>
    </row>
    <row r="31" spans="1:80" ht="12.75" hidden="1" customHeight="1" x14ac:dyDescent="0.2">
      <c r="A31" s="168"/>
      <c r="B31" s="170">
        <v>36</v>
      </c>
      <c r="C31" s="77" t="s">
        <v>106</v>
      </c>
    </row>
    <row r="32" spans="1:80" ht="12.75" hidden="1" customHeight="1" x14ac:dyDescent="0.2">
      <c r="A32" s="168"/>
      <c r="B32" s="170">
        <v>37</v>
      </c>
    </row>
    <row r="33" spans="1:4" ht="12.75" hidden="1" customHeight="1" x14ac:dyDescent="0.2">
      <c r="A33" s="168"/>
      <c r="B33" s="170">
        <v>38</v>
      </c>
    </row>
    <row r="34" spans="1:4" ht="12.75" hidden="1" customHeight="1" x14ac:dyDescent="0.2">
      <c r="A34" s="168"/>
      <c r="B34" s="170">
        <v>39</v>
      </c>
      <c r="C34" s="77" t="s">
        <v>106</v>
      </c>
    </row>
    <row r="35" spans="1:4" ht="12.75" hidden="1" customHeight="1" x14ac:dyDescent="0.2">
      <c r="A35" s="171" t="s">
        <v>103</v>
      </c>
      <c r="B35" s="169"/>
      <c r="D35" s="172"/>
    </row>
    <row r="36" spans="1:4" ht="12.75" hidden="1" customHeight="1" x14ac:dyDescent="0.2">
      <c r="A36" s="168"/>
      <c r="B36" s="169"/>
    </row>
    <row r="37" spans="1:4" ht="12.75" hidden="1" customHeight="1" x14ac:dyDescent="0.2">
      <c r="A37" s="168" t="s">
        <v>104</v>
      </c>
      <c r="B37" s="169"/>
    </row>
    <row r="38" spans="1:4" ht="12.75" hidden="1" customHeight="1" x14ac:dyDescent="0.2">
      <c r="A38" s="168" t="s">
        <v>105</v>
      </c>
      <c r="B38" s="169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algorithmName="SHA-512" hashValue="PblIlKF2cFQS33lNkNbbxDgbRgcgKUps3bTedZDe9HD6I/+Qw/hEEyhjtkjd85pp3HRpaxpgIa6jqcEsSNZLlQ==" saltValue="vVOalTo92vKtTnwMhQ4TaQ==" spinCount="100000" sheet="1" objects="1" scenarios="1"/>
  <mergeCells count="33">
    <mergeCell ref="CF8:CG8"/>
    <mergeCell ref="BY7:BY8"/>
    <mergeCell ref="AW8:BB8"/>
    <mergeCell ref="BF8:BI8"/>
    <mergeCell ref="CI8:CJ8"/>
    <mergeCell ref="P16:S16"/>
    <mergeCell ref="A13:G13"/>
    <mergeCell ref="H13:J13"/>
    <mergeCell ref="P13:R13"/>
    <mergeCell ref="Y13:AA13"/>
    <mergeCell ref="A14:G14"/>
    <mergeCell ref="H14:J14"/>
    <mergeCell ref="P14:R14"/>
    <mergeCell ref="Y14:AA14"/>
    <mergeCell ref="A16:B16"/>
    <mergeCell ref="C16:G16"/>
    <mergeCell ref="H16:K16"/>
    <mergeCell ref="A15:B15"/>
    <mergeCell ref="C15:G15"/>
    <mergeCell ref="H15:J15"/>
    <mergeCell ref="Y16:AB16"/>
    <mergeCell ref="C8:G8"/>
    <mergeCell ref="AN2:AU2"/>
    <mergeCell ref="P15:R15"/>
    <mergeCell ref="Y15:AA15"/>
    <mergeCell ref="AN15:AP15"/>
    <mergeCell ref="AN13:AP13"/>
    <mergeCell ref="AN14:AP14"/>
    <mergeCell ref="AN16:AQ16"/>
    <mergeCell ref="AW16:BB16"/>
    <mergeCell ref="BC16:BE16"/>
    <mergeCell ref="BF16:BI16"/>
    <mergeCell ref="AW6:BJ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workbookViewId="0">
      <selection sqref="A1:XFD1048576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0" style="77" hidden="1" customWidth="1"/>
    <col min="7" max="7" width="36" style="77" customWidth="1"/>
    <col min="8" max="8" width="19.42578125" style="77" hidden="1" customWidth="1"/>
    <col min="9" max="9" width="22.85546875" style="77" hidden="1" customWidth="1"/>
    <col min="10" max="10" width="14" style="77" hidden="1" customWidth="1"/>
    <col min="11" max="11" width="18.85546875" style="77" hidden="1" customWidth="1"/>
    <col min="12" max="12" width="17" style="77" hidden="1" customWidth="1"/>
    <col min="13" max="13" width="10.85546875" style="77" hidden="1" customWidth="1"/>
    <col min="14" max="14" width="30.7109375" style="77" hidden="1" customWidth="1"/>
    <col min="15" max="15" width="25.85546875" style="77" hidden="1" customWidth="1"/>
    <col min="16" max="16" width="6.85546875" style="77" hidden="1" customWidth="1"/>
    <col min="17" max="17" width="22.85546875" style="77" hidden="1" customWidth="1"/>
    <col min="18" max="18" width="19.7109375" style="77" hidden="1" customWidth="1"/>
    <col min="19" max="19" width="13.5703125" style="77" hidden="1" customWidth="1"/>
    <col min="20" max="20" width="18.7109375" style="77" hidden="1" customWidth="1"/>
    <col min="21" max="21" width="18.140625" style="77" hidden="1" customWidth="1"/>
    <col min="22" max="22" width="10.85546875" style="77" hidden="1" customWidth="1"/>
    <col min="23" max="23" width="22.85546875" style="77" hidden="1" customWidth="1"/>
    <col min="24" max="24" width="26.7109375" style="77" hidden="1" customWidth="1"/>
    <col min="25" max="25" width="10.85546875" style="77" hidden="1" customWidth="1"/>
    <col min="26" max="26" width="18.5703125" style="77" hidden="1" customWidth="1"/>
    <col min="27" max="27" width="10.85546875" style="77" hidden="1" customWidth="1"/>
    <col min="28" max="28" width="16.140625" style="77" hidden="1" customWidth="1"/>
    <col min="29" max="29" width="17.140625" style="77" hidden="1" customWidth="1"/>
    <col min="30" max="30" width="19" style="77" hidden="1" customWidth="1"/>
    <col min="31" max="31" width="20.28515625" style="77" hidden="1" customWidth="1"/>
    <col min="32" max="33" width="15.42578125" style="77" hidden="1" customWidth="1"/>
    <col min="34" max="34" width="39.28515625" style="77" hidden="1" customWidth="1"/>
    <col min="35" max="35" width="18.7109375" style="77" hidden="1" customWidth="1"/>
    <col min="36" max="36" width="19.42578125" style="77" hidden="1" customWidth="1"/>
    <col min="37" max="37" width="20" style="77" hidden="1" customWidth="1"/>
    <col min="38" max="38" width="15.42578125" style="77" hidden="1" customWidth="1"/>
    <col min="39" max="39" width="23.140625" style="77" hidden="1" customWidth="1"/>
    <col min="40" max="40" width="10.85546875" style="77" hidden="1" customWidth="1"/>
    <col min="41" max="41" width="14.140625" style="77" hidden="1" customWidth="1"/>
    <col min="42" max="42" width="13" style="77" hidden="1" customWidth="1"/>
    <col min="43" max="44" width="14.140625" style="77" hidden="1" customWidth="1"/>
    <col min="45" max="48" width="10.85546875" style="77" hidden="1" customWidth="1"/>
    <col min="49" max="53" width="13.140625" style="77" hidden="1" customWidth="1"/>
    <col min="54" max="55" width="15.140625" style="77" hidden="1" customWidth="1"/>
    <col min="56" max="57" width="11.85546875" style="77" hidden="1" customWidth="1"/>
    <col min="58" max="58" width="16.140625" style="77" hidden="1" customWidth="1"/>
    <col min="59" max="59" width="10.85546875" style="77" hidden="1" customWidth="1"/>
    <col min="60" max="62" width="16.140625" style="77" hidden="1" customWidth="1"/>
    <col min="63" max="63" width="10.85546875" style="77" hidden="1" customWidth="1"/>
    <col min="64" max="64" width="13.85546875" style="77" hidden="1" customWidth="1"/>
    <col min="65" max="68" width="15.42578125" style="77" hidden="1" customWidth="1"/>
    <col min="69" max="69" width="13.85546875" style="77" hidden="1" customWidth="1"/>
    <col min="70" max="70" width="10.85546875" style="77" hidden="1" customWidth="1"/>
    <col min="71" max="71" width="20.85546875" style="77" hidden="1" customWidth="1"/>
    <col min="72" max="72" width="0" style="77" hidden="1" customWidth="1"/>
    <col min="73" max="73" width="12.85546875" style="77" hidden="1" customWidth="1"/>
    <col min="74" max="76" width="10.85546875" style="77" hidden="1" customWidth="1"/>
    <col min="77" max="77" width="24.140625" style="77" customWidth="1"/>
    <col min="78" max="78" width="43.85546875" style="77" hidden="1" customWidth="1"/>
    <col min="79" max="79" width="49.85546875" style="77" customWidth="1"/>
    <col min="80" max="80" width="44.42578125" style="77" hidden="1" customWidth="1"/>
    <col min="81" max="81" width="27.140625" style="77" hidden="1" customWidth="1"/>
    <col min="82" max="82" width="24.7109375" style="77" hidden="1" customWidth="1"/>
    <col min="83" max="83" width="0" style="77" hidden="1" customWidth="1"/>
    <col min="84" max="84" width="25" style="77" customWidth="1"/>
    <col min="85" max="85" width="22.42578125" style="77" customWidth="1"/>
    <col min="86" max="86" width="10.85546875" style="77"/>
    <col min="87" max="87" width="19.42578125" style="77" customWidth="1"/>
    <col min="88" max="88" width="19.28515625" style="77" customWidth="1"/>
    <col min="89" max="89" width="10.85546875" style="77"/>
    <col min="90" max="90" width="24" style="77" customWidth="1"/>
    <col min="91" max="91" width="31.85546875" style="77" customWidth="1"/>
    <col min="92" max="92" width="17.85546875" style="77" customWidth="1"/>
    <col min="93" max="16384" width="10.85546875" style="77"/>
  </cols>
  <sheetData>
    <row r="1" spans="1:91" x14ac:dyDescent="0.2">
      <c r="H1" s="78" t="s">
        <v>83</v>
      </c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CB1" s="175"/>
      <c r="CC1" s="176"/>
      <c r="CD1" s="176"/>
      <c r="CE1" s="177"/>
      <c r="CH1" s="101"/>
      <c r="CI1" s="178"/>
      <c r="CJ1" s="178"/>
      <c r="CK1" s="179"/>
      <c r="CL1" s="178"/>
    </row>
    <row r="2" spans="1:91" x14ac:dyDescent="0.2">
      <c r="H2" s="8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CB2" s="175"/>
      <c r="CC2" s="176"/>
      <c r="CD2" s="176"/>
      <c r="CE2" s="177"/>
      <c r="CH2" s="101"/>
      <c r="CI2" s="178"/>
      <c r="CJ2" s="178"/>
      <c r="CK2" s="179"/>
      <c r="CL2" s="178"/>
    </row>
    <row r="3" spans="1:91" ht="52.9" customHeight="1" x14ac:dyDescent="0.2">
      <c r="A3" s="92"/>
      <c r="B3" s="93" t="s">
        <v>134</v>
      </c>
      <c r="C3" s="94"/>
      <c r="D3" s="94"/>
      <c r="E3" s="94"/>
      <c r="F3" s="94"/>
      <c r="G3" s="95"/>
      <c r="H3" s="96"/>
      <c r="P3" s="96"/>
      <c r="Y3" s="96"/>
      <c r="AN3" s="96"/>
      <c r="CB3" s="175"/>
      <c r="CC3" s="176"/>
      <c r="CD3" s="176"/>
      <c r="CE3" s="177"/>
      <c r="CH3" s="101"/>
      <c r="CI3" s="178"/>
      <c r="CJ3" s="178"/>
      <c r="CK3" s="179"/>
      <c r="CL3" s="178"/>
    </row>
    <row r="4" spans="1:91" ht="14.25" customHeight="1" x14ac:dyDescent="0.2">
      <c r="A4" s="92"/>
      <c r="B4" s="97"/>
      <c r="C4" s="98"/>
      <c r="D4" s="98"/>
      <c r="E4" s="98"/>
      <c r="F4" s="98"/>
      <c r="G4" s="99"/>
      <c r="H4" s="96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BS4" s="217"/>
      <c r="BT4" s="217"/>
      <c r="CB4" s="175"/>
      <c r="CC4" s="176"/>
      <c r="CD4" s="176"/>
      <c r="CE4" s="177"/>
      <c r="CH4" s="101"/>
      <c r="CI4" s="178"/>
      <c r="CJ4" s="178"/>
      <c r="CK4" s="179"/>
      <c r="CL4" s="178"/>
    </row>
    <row r="5" spans="1:91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105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BS5" s="217"/>
      <c r="BT5" s="217"/>
      <c r="CB5" s="175"/>
      <c r="CC5" s="176"/>
      <c r="CD5" s="176"/>
      <c r="CE5" s="177"/>
      <c r="CH5" s="101"/>
      <c r="CI5" s="178"/>
      <c r="CJ5" s="178"/>
      <c r="CK5" s="179"/>
      <c r="CL5" s="178"/>
    </row>
    <row r="6" spans="1:91" ht="80.650000000000006" customHeight="1" x14ac:dyDescent="0.2">
      <c r="A6" s="242"/>
      <c r="B6" s="241" t="s">
        <v>112</v>
      </c>
      <c r="C6" s="238"/>
      <c r="D6" s="238"/>
      <c r="E6" s="238"/>
      <c r="F6" s="238"/>
      <c r="G6" s="239"/>
      <c r="H6" s="110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W6" s="319" t="s">
        <v>67</v>
      </c>
      <c r="AX6" s="320"/>
      <c r="AY6" s="320"/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1"/>
      <c r="BL6" s="339" t="s">
        <v>75</v>
      </c>
      <c r="BM6" s="79"/>
      <c r="BN6" s="79"/>
      <c r="BO6" s="79"/>
      <c r="BP6" s="79"/>
      <c r="BQ6" s="79"/>
      <c r="BR6" s="79"/>
      <c r="BS6" s="218"/>
      <c r="BT6" s="218"/>
      <c r="BU6" s="340"/>
      <c r="CB6" s="175"/>
      <c r="CC6" s="176"/>
      <c r="CD6" s="176"/>
      <c r="CE6" s="177"/>
      <c r="CH6" s="101"/>
      <c r="CI6" s="178"/>
      <c r="CJ6" s="178"/>
      <c r="CK6" s="179"/>
      <c r="CL6" s="178"/>
    </row>
    <row r="7" spans="1:91" ht="64.900000000000006" customHeight="1" x14ac:dyDescent="0.2">
      <c r="A7" s="92"/>
      <c r="B7" s="102" t="s">
        <v>119</v>
      </c>
      <c r="C7" s="102" t="s">
        <v>120</v>
      </c>
      <c r="D7" s="103"/>
      <c r="E7" s="103"/>
      <c r="F7" s="103"/>
      <c r="G7" s="104"/>
      <c r="H7" s="240"/>
      <c r="P7" s="243"/>
      <c r="Y7" s="24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243"/>
      <c r="AO7" s="101"/>
      <c r="AP7" s="101"/>
      <c r="AQ7" s="101"/>
      <c r="AR7" s="101"/>
      <c r="AS7" s="101"/>
      <c r="AT7" s="101"/>
      <c r="AU7" s="101"/>
      <c r="BS7" s="217"/>
      <c r="BT7" s="217"/>
      <c r="BY7" s="341" t="s">
        <v>86</v>
      </c>
      <c r="BZ7" s="342"/>
      <c r="CA7" s="342"/>
      <c r="CB7" s="219"/>
      <c r="CC7" s="221"/>
      <c r="CD7" s="221"/>
      <c r="CE7" s="343"/>
      <c r="CF7" s="224"/>
      <c r="CG7" s="224"/>
      <c r="CH7" s="342"/>
      <c r="CI7" s="226"/>
      <c r="CJ7" s="226"/>
      <c r="CK7" s="233"/>
      <c r="CL7" s="226"/>
      <c r="CM7" s="224"/>
    </row>
    <row r="8" spans="1:91" ht="61.5" customHeight="1" x14ac:dyDescent="0.2">
      <c r="A8" s="114"/>
      <c r="B8" s="115"/>
      <c r="C8" s="274"/>
      <c r="D8" s="275"/>
      <c r="E8" s="275"/>
      <c r="F8" s="275"/>
      <c r="G8" s="276"/>
      <c r="H8" s="237"/>
      <c r="P8" s="244"/>
      <c r="Y8" s="118"/>
      <c r="AN8" s="118"/>
      <c r="AW8" s="298" t="s">
        <v>50</v>
      </c>
      <c r="AX8" s="299"/>
      <c r="AY8" s="299"/>
      <c r="AZ8" s="299"/>
      <c r="BA8" s="299"/>
      <c r="BB8" s="300"/>
      <c r="BC8" s="187" t="s">
        <v>49</v>
      </c>
      <c r="BD8" s="187"/>
      <c r="BE8" s="188"/>
      <c r="BF8" s="322" t="s">
        <v>111</v>
      </c>
      <c r="BG8" s="323"/>
      <c r="BH8" s="323"/>
      <c r="BI8" s="323"/>
      <c r="BY8" s="341"/>
      <c r="BZ8" s="342"/>
      <c r="CA8" s="342"/>
      <c r="CB8" s="219"/>
      <c r="CC8" s="221"/>
      <c r="CD8" s="221"/>
      <c r="CE8" s="343"/>
      <c r="CF8" s="315" t="s">
        <v>91</v>
      </c>
      <c r="CG8" s="316"/>
      <c r="CH8" s="192"/>
      <c r="CI8" s="317" t="s">
        <v>92</v>
      </c>
      <c r="CJ8" s="318"/>
      <c r="CK8" s="193"/>
      <c r="CL8" s="194" t="s">
        <v>92</v>
      </c>
      <c r="CM8" s="194" t="s">
        <v>91</v>
      </c>
    </row>
    <row r="9" spans="1:91" ht="105" customHeight="1" x14ac:dyDescent="0.2">
      <c r="A9" s="119" t="s">
        <v>0</v>
      </c>
      <c r="B9" s="120" t="s">
        <v>1</v>
      </c>
      <c r="C9" s="121" t="s">
        <v>2</v>
      </c>
      <c r="D9" s="121" t="s">
        <v>3</v>
      </c>
      <c r="E9" s="121" t="s">
        <v>22</v>
      </c>
      <c r="F9" s="121" t="s">
        <v>4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56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W9" s="344" t="s">
        <v>124</v>
      </c>
      <c r="BY9" s="345" t="s">
        <v>87</v>
      </c>
      <c r="BZ9" s="345" t="s">
        <v>89</v>
      </c>
      <c r="CA9" s="345" t="s">
        <v>123</v>
      </c>
      <c r="CB9" s="220" t="s">
        <v>93</v>
      </c>
      <c r="CC9" s="222" t="s">
        <v>94</v>
      </c>
      <c r="CD9" s="222" t="s">
        <v>95</v>
      </c>
      <c r="CE9" s="346"/>
      <c r="CF9" s="203" t="s">
        <v>96</v>
      </c>
      <c r="CG9" s="203" t="s">
        <v>97</v>
      </c>
      <c r="CH9" s="192"/>
      <c r="CI9" s="204" t="s">
        <v>98</v>
      </c>
      <c r="CJ9" s="204" t="s">
        <v>99</v>
      </c>
      <c r="CK9" s="193"/>
      <c r="CL9" s="204" t="s">
        <v>100</v>
      </c>
      <c r="CM9" s="195" t="s">
        <v>107</v>
      </c>
    </row>
    <row r="10" spans="1:91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f>I10</f>
        <v>1450000000</v>
      </c>
      <c r="L10" s="133">
        <f>K10</f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f>S10*3790.88</f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f>+Z10</f>
        <v>600000</v>
      </c>
      <c r="AC10" s="134">
        <f>+Z10+AA10</f>
        <v>600000</v>
      </c>
      <c r="AD10" s="135">
        <f>AC10*3790.88</f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f>AL10*3790.88</f>
        <v>1347657840</v>
      </c>
      <c r="AN10" s="130"/>
      <c r="AO10" s="163"/>
      <c r="AP10" s="163"/>
      <c r="AQ10" s="163"/>
      <c r="AR10" s="163"/>
      <c r="AS10" s="163"/>
      <c r="AT10" s="163"/>
      <c r="AU10" s="163"/>
      <c r="AW10" s="163"/>
      <c r="AX10" s="163"/>
      <c r="AY10" s="163"/>
      <c r="AZ10" s="163"/>
      <c r="BA10" s="163"/>
      <c r="BB10" s="163"/>
      <c r="BC10" s="205"/>
      <c r="BD10" s="205"/>
      <c r="BE10" s="205"/>
      <c r="BF10" s="205">
        <v>562500000</v>
      </c>
      <c r="BG10" s="205">
        <v>0</v>
      </c>
      <c r="BH10" s="205">
        <v>562500000</v>
      </c>
      <c r="BI10" s="216">
        <f>BH10*(120.27/109.14)</f>
        <v>619863249.03793287</v>
      </c>
      <c r="BJ10" s="206">
        <f>BI10</f>
        <v>619863249.03793287</v>
      </c>
      <c r="BL10" s="207">
        <f>MINA(L10,U10,AD10,AM10,BJ10)</f>
        <v>609880565.27999997</v>
      </c>
      <c r="BM10" s="207">
        <f>MAX(L10,U10,AD10,AM10,BJ10)</f>
        <v>2274528000</v>
      </c>
      <c r="BN10" s="207">
        <f>AVERAGE(L10,U10,AD10,AM10,BJ10)</f>
        <v>1260385930.8635864</v>
      </c>
      <c r="BO10" s="207">
        <f>GEOMEAN(L10,U10,AD10,AM10,BJ10)</f>
        <v>1109368736.8867741</v>
      </c>
      <c r="BP10" s="207">
        <f>MEDIAN(L10,U10,AD10,AM10,BJ10)</f>
        <v>1347657840</v>
      </c>
      <c r="BQ10" s="207">
        <f>_xlfn.STDEV.S(L10,U10,AD10,AM10,BJ10)</f>
        <v>690195724.83412874</v>
      </c>
      <c r="BR10" s="208">
        <f t="shared" ref="BR10" si="0">BQ10/BP10</f>
        <v>0.51214462925851323</v>
      </c>
      <c r="BS10" s="205">
        <v>609880565.27999997</v>
      </c>
      <c r="BT10" s="163" t="s">
        <v>78</v>
      </c>
      <c r="BU10" s="163" t="s">
        <v>108</v>
      </c>
      <c r="BW10" s="347" t="s">
        <v>81</v>
      </c>
      <c r="BY10" s="132">
        <v>1</v>
      </c>
      <c r="BZ10" s="348">
        <f>BY10*BS10</f>
        <v>609880565.27999997</v>
      </c>
      <c r="CA10" s="348" t="s">
        <v>125</v>
      </c>
      <c r="CB10" s="135">
        <v>609880565.27999997</v>
      </c>
      <c r="CC10" s="223">
        <v>1</v>
      </c>
      <c r="CD10" s="223">
        <v>0</v>
      </c>
      <c r="CE10" s="343"/>
      <c r="CF10" s="225">
        <v>609880565.27999997</v>
      </c>
      <c r="CG10" s="225">
        <v>609880565.27999997</v>
      </c>
      <c r="CH10" s="232"/>
      <c r="CI10" s="227">
        <v>160881</v>
      </c>
      <c r="CJ10" s="227">
        <v>160881</v>
      </c>
      <c r="CK10" s="233"/>
      <c r="CL10" s="227">
        <v>160881</v>
      </c>
      <c r="CM10" s="225">
        <v>740052600</v>
      </c>
    </row>
    <row r="11" spans="1:91" ht="12.75" hidden="1" customHeight="1" x14ac:dyDescent="0.2"/>
    <row r="12" spans="1:91" ht="12.75" hidden="1" customHeight="1" x14ac:dyDescent="0.2"/>
    <row r="13" spans="1:91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80"/>
      <c r="AO13" s="280"/>
      <c r="AP13" s="280"/>
      <c r="AQ13" s="101"/>
      <c r="AR13" s="101"/>
      <c r="AS13" s="101"/>
      <c r="AT13" s="101"/>
      <c r="AU13" s="101"/>
    </row>
    <row r="14" spans="1:91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69"/>
      <c r="AO14" s="269"/>
      <c r="AP14" s="269"/>
      <c r="AQ14" s="101"/>
      <c r="AR14" s="101"/>
      <c r="AS14" s="101"/>
      <c r="AT14" s="101"/>
      <c r="AU14" s="101"/>
    </row>
    <row r="15" spans="1:91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70"/>
      <c r="AO15" s="270"/>
      <c r="AP15" s="270"/>
      <c r="AQ15" s="101"/>
      <c r="AR15" s="101"/>
      <c r="AS15" s="101"/>
      <c r="AT15" s="101"/>
      <c r="AU15" s="101"/>
      <c r="BY15" s="183" t="s">
        <v>86</v>
      </c>
      <c r="BZ15" s="183"/>
      <c r="CA15" s="183"/>
      <c r="CB15" s="183"/>
    </row>
    <row r="16" spans="1:91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71"/>
      <c r="AO16" s="272"/>
      <c r="AP16" s="272"/>
      <c r="AQ16" s="273"/>
      <c r="AW16" s="298" t="s">
        <v>50</v>
      </c>
      <c r="AX16" s="299"/>
      <c r="AY16" s="299"/>
      <c r="AZ16" s="299"/>
      <c r="BA16" s="299"/>
      <c r="BB16" s="300"/>
      <c r="BC16" s="301" t="s">
        <v>59</v>
      </c>
      <c r="BD16" s="302"/>
      <c r="BE16" s="303"/>
      <c r="BF16" s="304" t="s">
        <v>58</v>
      </c>
      <c r="BG16" s="305"/>
      <c r="BH16" s="305"/>
      <c r="BI16" s="306"/>
      <c r="BY16" s="183"/>
      <c r="BZ16" s="183"/>
      <c r="CA16" s="183"/>
      <c r="CB16" s="183"/>
    </row>
    <row r="17" spans="1:80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146" t="s">
        <v>14</v>
      </c>
      <c r="AO17" s="146" t="s">
        <v>10</v>
      </c>
      <c r="AP17" s="146" t="s">
        <v>11</v>
      </c>
      <c r="AQ17" s="146" t="s">
        <v>12</v>
      </c>
      <c r="AR17" s="146" t="s">
        <v>13</v>
      </c>
      <c r="AS17" s="146" t="s">
        <v>6</v>
      </c>
      <c r="AT17" s="146" t="s">
        <v>8</v>
      </c>
      <c r="AU17" s="146" t="s">
        <v>9</v>
      </c>
      <c r="AW17" s="196" t="s">
        <v>60</v>
      </c>
      <c r="AX17" s="196" t="s">
        <v>61</v>
      </c>
      <c r="AY17" s="196" t="s">
        <v>63</v>
      </c>
      <c r="AZ17" s="196" t="s">
        <v>64</v>
      </c>
      <c r="BA17" s="196" t="s">
        <v>65</v>
      </c>
      <c r="BB17" s="196" t="s">
        <v>62</v>
      </c>
      <c r="BC17" s="196" t="s">
        <v>51</v>
      </c>
      <c r="BD17" s="196" t="s">
        <v>52</v>
      </c>
      <c r="BE17" s="196" t="s">
        <v>56</v>
      </c>
      <c r="BF17" s="196" t="s">
        <v>53</v>
      </c>
      <c r="BG17" s="196" t="s">
        <v>54</v>
      </c>
      <c r="BH17" s="196" t="s">
        <v>55</v>
      </c>
      <c r="BI17" s="196" t="s">
        <v>57</v>
      </c>
      <c r="BJ17" s="196" t="s">
        <v>66</v>
      </c>
      <c r="BL17" s="198" t="s">
        <v>72</v>
      </c>
      <c r="BM17" s="198" t="s">
        <v>68</v>
      </c>
      <c r="BN17" s="198" t="s">
        <v>69</v>
      </c>
      <c r="BO17" s="198" t="s">
        <v>70</v>
      </c>
      <c r="BP17" s="198" t="s">
        <v>71</v>
      </c>
      <c r="BQ17" s="198" t="s">
        <v>76</v>
      </c>
      <c r="BR17" s="198" t="s">
        <v>77</v>
      </c>
      <c r="BS17" s="198" t="s">
        <v>79</v>
      </c>
      <c r="BT17" s="198" t="s">
        <v>73</v>
      </c>
      <c r="BU17" s="198" t="s">
        <v>80</v>
      </c>
      <c r="BV17" s="198" t="s">
        <v>74</v>
      </c>
      <c r="BY17" s="183" t="s">
        <v>87</v>
      </c>
      <c r="BZ17" s="183" t="s">
        <v>89</v>
      </c>
      <c r="CA17" s="183"/>
      <c r="CB17" s="183" t="s">
        <v>88</v>
      </c>
    </row>
    <row r="18" spans="1:80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57" t="s">
        <v>29</v>
      </c>
      <c r="AO18" s="213">
        <v>112413795</v>
      </c>
      <c r="AP18" s="213">
        <f>+AO18*19%</f>
        <v>21358621.050000001</v>
      </c>
      <c r="AQ18" s="213">
        <f>+AP18+AO18</f>
        <v>133772416.05</v>
      </c>
      <c r="AR18" s="213">
        <f>+AQ18</f>
        <v>133772416.05</v>
      </c>
      <c r="AS18" s="163">
        <v>60</v>
      </c>
      <c r="AT18" s="214" t="s">
        <v>36</v>
      </c>
      <c r="AU18" s="214" t="s">
        <v>43</v>
      </c>
      <c r="AW18" s="169">
        <v>15100</v>
      </c>
      <c r="AX18" s="169">
        <f>AW18*2.44%+AW18</f>
        <v>15468.44</v>
      </c>
      <c r="AY18" s="169">
        <f>AX18*1.81%+AX18</f>
        <v>15748.418764</v>
      </c>
      <c r="AZ18" s="169">
        <f>AY18*1.24%+AY18</f>
        <v>15943.6991566736</v>
      </c>
      <c r="BA18" s="169">
        <f>AZ18*4.69%+AZ18</f>
        <v>16691.458647121592</v>
      </c>
      <c r="BB18" s="205">
        <f>BA18*3790.88</f>
        <v>63275316.756200299</v>
      </c>
      <c r="BC18" s="205">
        <v>53222155.560000002</v>
      </c>
      <c r="BD18" s="205">
        <v>63334365.119999997</v>
      </c>
      <c r="BE18" s="205">
        <f>BD18*(118.7/103.8)</f>
        <v>72425714.255722553</v>
      </c>
      <c r="BF18" s="163"/>
      <c r="BG18" s="163"/>
      <c r="BH18" s="163"/>
      <c r="BI18" s="163"/>
      <c r="BJ18" s="215">
        <f>BE18</f>
        <v>72425714.255722553</v>
      </c>
      <c r="BL18" s="207">
        <f>MIN(BJ18,AO18,AM18,I18)</f>
        <v>62000000</v>
      </c>
      <c r="BM18" s="207">
        <f>MAX(BJ18,AO18,AM18,I18)</f>
        <v>118275456</v>
      </c>
      <c r="BN18" s="207">
        <f>AVERAGE(BJ18,AO18,AM18,I18)</f>
        <v>91278741.313930631</v>
      </c>
      <c r="BO18" s="207">
        <f>GEOMEAN(BJ18,AO18,AM18,I18)</f>
        <v>87902186.760975689</v>
      </c>
      <c r="BP18" s="207">
        <f>MEDIAN(BJ18,AO18,AM18,I18)</f>
        <v>92419754.627861276</v>
      </c>
      <c r="BQ18" s="207">
        <f>_xlfn.STDEV.S(BJ18,AO18,AM18,I18)</f>
        <v>28214620.443661615</v>
      </c>
      <c r="BR18" s="208">
        <f t="shared" ref="BR18" si="1">BQ18/BP18</f>
        <v>0.30528776620616466</v>
      </c>
      <c r="BS18" s="163">
        <v>60861945.649999999</v>
      </c>
      <c r="BT18" s="163" t="s">
        <v>78</v>
      </c>
      <c r="BU18" s="207">
        <f>BS18*0.19+BS18</f>
        <v>72425715.323499992</v>
      </c>
      <c r="BV18" s="163"/>
      <c r="BW18" s="209" t="s">
        <v>82</v>
      </c>
      <c r="BY18" s="163">
        <v>1</v>
      </c>
      <c r="BZ18" s="207">
        <f>BY18*BS18</f>
        <v>60861945.649999999</v>
      </c>
      <c r="CA18" s="207"/>
      <c r="CB18" s="207">
        <v>72425715.323499992</v>
      </c>
    </row>
    <row r="19" spans="1:80" ht="12.75" hidden="1" customHeight="1" x14ac:dyDescent="0.2"/>
    <row r="20" spans="1:80" ht="12.75" hidden="1" customHeight="1" x14ac:dyDescent="0.2"/>
    <row r="21" spans="1:80" ht="12.75" hidden="1" customHeight="1" x14ac:dyDescent="0.2">
      <c r="BZ21" s="172"/>
      <c r="CA21" s="172"/>
    </row>
    <row r="22" spans="1:80" ht="12.75" hidden="1" customHeight="1" x14ac:dyDescent="0.2"/>
    <row r="23" spans="1:80" ht="12.75" hidden="1" customHeight="1" x14ac:dyDescent="0.2"/>
    <row r="24" spans="1:80" ht="12.75" hidden="1" customHeight="1" x14ac:dyDescent="0.2"/>
    <row r="25" spans="1:80" ht="12.75" hidden="1" customHeight="1" x14ac:dyDescent="0.2"/>
    <row r="26" spans="1:80" ht="12.75" hidden="1" customHeight="1" x14ac:dyDescent="0.2">
      <c r="BZ26" s="207">
        <f>+BZ10/3790.88</f>
        <v>160881</v>
      </c>
      <c r="CA26" s="207"/>
      <c r="CB26" s="207">
        <v>667656150</v>
      </c>
    </row>
    <row r="27" spans="1:80" ht="12.75" hidden="1" customHeight="1" x14ac:dyDescent="0.2"/>
    <row r="28" spans="1:80" ht="12.75" hidden="1" customHeight="1" x14ac:dyDescent="0.2"/>
    <row r="29" spans="1:80" ht="12.75" hidden="1" customHeight="1" x14ac:dyDescent="0.2">
      <c r="A29" s="168" t="s">
        <v>101</v>
      </c>
      <c r="B29" s="169" t="s">
        <v>102</v>
      </c>
    </row>
    <row r="30" spans="1:80" ht="12.75" hidden="1" customHeight="1" x14ac:dyDescent="0.2">
      <c r="A30" s="168"/>
      <c r="B30" s="170">
        <v>35</v>
      </c>
    </row>
    <row r="31" spans="1:80" ht="12.75" hidden="1" customHeight="1" x14ac:dyDescent="0.2">
      <c r="A31" s="168"/>
      <c r="B31" s="170">
        <v>36</v>
      </c>
      <c r="C31" s="77" t="s">
        <v>106</v>
      </c>
    </row>
    <row r="32" spans="1:80" ht="12.75" hidden="1" customHeight="1" x14ac:dyDescent="0.2">
      <c r="A32" s="168"/>
      <c r="B32" s="170">
        <v>37</v>
      </c>
    </row>
    <row r="33" spans="1:92" ht="12.75" hidden="1" customHeight="1" x14ac:dyDescent="0.2">
      <c r="A33" s="168"/>
      <c r="B33" s="170">
        <v>38</v>
      </c>
    </row>
    <row r="34" spans="1:92" ht="12.75" hidden="1" customHeight="1" x14ac:dyDescent="0.2">
      <c r="A34" s="168"/>
      <c r="B34" s="170">
        <v>39</v>
      </c>
      <c r="C34" s="77" t="s">
        <v>106</v>
      </c>
    </row>
    <row r="35" spans="1:92" ht="12.75" hidden="1" customHeight="1" x14ac:dyDescent="0.2">
      <c r="A35" s="171" t="s">
        <v>103</v>
      </c>
      <c r="B35" s="169"/>
      <c r="D35" s="172"/>
    </row>
    <row r="36" spans="1:92" ht="12.75" hidden="1" customHeight="1" x14ac:dyDescent="0.2">
      <c r="A36" s="168"/>
      <c r="B36" s="169"/>
    </row>
    <row r="37" spans="1:92" ht="12.75" hidden="1" customHeight="1" x14ac:dyDescent="0.2">
      <c r="A37" s="168" t="s">
        <v>104</v>
      </c>
      <c r="B37" s="169"/>
    </row>
    <row r="38" spans="1:92" ht="12.75" hidden="1" customHeight="1" x14ac:dyDescent="0.2">
      <c r="A38" s="168" t="s">
        <v>105</v>
      </c>
      <c r="B38" s="169"/>
    </row>
    <row r="39" spans="1:92" ht="12.75" hidden="1" customHeight="1" x14ac:dyDescent="0.2"/>
    <row r="40" spans="1:92" ht="12.75" hidden="1" customHeight="1" x14ac:dyDescent="0.2"/>
    <row r="41" spans="1:92" ht="12.75" hidden="1" customHeight="1" x14ac:dyDescent="0.2"/>
    <row r="43" spans="1:92" hidden="1" x14ac:dyDescent="0.2"/>
    <row r="44" spans="1:92" hidden="1" x14ac:dyDescent="0.2">
      <c r="CL44" s="77" t="s">
        <v>126</v>
      </c>
      <c r="CM44" s="225">
        <v>740052600</v>
      </c>
    </row>
    <row r="45" spans="1:92" hidden="1" x14ac:dyDescent="0.2">
      <c r="CL45" s="77" t="s">
        <v>127</v>
      </c>
      <c r="CM45" s="234">
        <v>89046565.488353923</v>
      </c>
    </row>
    <row r="46" spans="1:92" hidden="1" x14ac:dyDescent="0.2">
      <c r="CL46" s="77" t="s">
        <v>128</v>
      </c>
      <c r="CM46" s="235">
        <v>397097771.49369013</v>
      </c>
      <c r="CN46" s="349" t="s">
        <v>106</v>
      </c>
    </row>
    <row r="47" spans="1:92" hidden="1" x14ac:dyDescent="0.2">
      <c r="CL47" s="77" t="s">
        <v>129</v>
      </c>
      <c r="CM47" s="225">
        <v>139563689.5335544</v>
      </c>
    </row>
    <row r="48" spans="1:92" hidden="1" x14ac:dyDescent="0.2">
      <c r="CL48" s="77" t="s">
        <v>130</v>
      </c>
      <c r="CM48" s="225">
        <v>30205150.994950596</v>
      </c>
    </row>
    <row r="49" spans="90:91" hidden="1" x14ac:dyDescent="0.2">
      <c r="CM49" s="236">
        <f>+CM44+CM45+CM47+CM48</f>
        <v>998868006.01685905</v>
      </c>
    </row>
    <row r="50" spans="90:91" hidden="1" x14ac:dyDescent="0.2">
      <c r="CL50" s="77" t="s">
        <v>131</v>
      </c>
      <c r="CM50" s="236">
        <v>1160000000</v>
      </c>
    </row>
    <row r="51" spans="90:91" hidden="1" x14ac:dyDescent="0.2">
      <c r="CL51" s="77" t="s">
        <v>132</v>
      </c>
      <c r="CM51" s="236">
        <f>+CM50-CM49</f>
        <v>161131993.98314095</v>
      </c>
    </row>
    <row r="52" spans="90:91" hidden="1" x14ac:dyDescent="0.2"/>
    <row r="53" spans="90:91" hidden="1" x14ac:dyDescent="0.2"/>
    <row r="54" spans="90:91" hidden="1" x14ac:dyDescent="0.2"/>
    <row r="55" spans="90:91" hidden="1" x14ac:dyDescent="0.2"/>
    <row r="56" spans="90:91" hidden="1" x14ac:dyDescent="0.2"/>
    <row r="57" spans="90:91" hidden="1" x14ac:dyDescent="0.2"/>
    <row r="58" spans="90:91" hidden="1" x14ac:dyDescent="0.2"/>
    <row r="59" spans="90:91" hidden="1" x14ac:dyDescent="0.2"/>
    <row r="60" spans="90:91" hidden="1" x14ac:dyDescent="0.2"/>
    <row r="61" spans="90:91" hidden="1" x14ac:dyDescent="0.2"/>
    <row r="62" spans="90:91" hidden="1" x14ac:dyDescent="0.2"/>
    <row r="63" spans="90:91" hidden="1" x14ac:dyDescent="0.2"/>
    <row r="64" spans="90:91" hidden="1" x14ac:dyDescent="0.2"/>
    <row r="65" spans="89:91" hidden="1" x14ac:dyDescent="0.2">
      <c r="CK65" s="245">
        <v>160881</v>
      </c>
      <c r="CL65" s="77" t="s">
        <v>126</v>
      </c>
      <c r="CM65" s="225">
        <v>740052600</v>
      </c>
    </row>
    <row r="66" spans="89:91" hidden="1" x14ac:dyDescent="0.2">
      <c r="CL66" s="77" t="s">
        <v>127</v>
      </c>
      <c r="CM66" s="234">
        <v>89046565.488353923</v>
      </c>
    </row>
    <row r="67" spans="89:91" hidden="1" x14ac:dyDescent="0.2">
      <c r="CL67" s="77" t="s">
        <v>128</v>
      </c>
      <c r="CM67" s="225">
        <v>139563689.5335544</v>
      </c>
    </row>
    <row r="68" spans="89:91" hidden="1" x14ac:dyDescent="0.2">
      <c r="CL68" s="77" t="s">
        <v>129</v>
      </c>
      <c r="CM68" s="225">
        <v>30205150.994950596</v>
      </c>
    </row>
    <row r="69" spans="89:91" hidden="1" x14ac:dyDescent="0.2">
      <c r="CM69" s="236">
        <f>+CM65+CM66+CM67+CM68</f>
        <v>998868006.01685905</v>
      </c>
    </row>
    <row r="70" spans="89:91" hidden="1" x14ac:dyDescent="0.2">
      <c r="CL70" s="77" t="s">
        <v>131</v>
      </c>
      <c r="CM70" s="236">
        <v>1160000000</v>
      </c>
    </row>
    <row r="71" spans="89:91" hidden="1" x14ac:dyDescent="0.2">
      <c r="CL71" s="77" t="s">
        <v>132</v>
      </c>
      <c r="CM71" s="236">
        <f>+CM70-CM69</f>
        <v>161131993.98314095</v>
      </c>
    </row>
    <row r="72" spans="89:91" hidden="1" x14ac:dyDescent="0.2">
      <c r="CL72" s="77" t="s">
        <v>128</v>
      </c>
      <c r="CM72" s="235">
        <v>397097771.49369013</v>
      </c>
    </row>
    <row r="73" spans="89:91" hidden="1" x14ac:dyDescent="0.2"/>
    <row r="74" spans="89:91" hidden="1" x14ac:dyDescent="0.2"/>
    <row r="75" spans="89:91" x14ac:dyDescent="0.2">
      <c r="CM75" s="178"/>
    </row>
  </sheetData>
  <sheetProtection algorithmName="SHA-512" hashValue="k0CgLQsorMlTUoPpFH478scnw+UKjRaxt894wQTaFKEOptlRJdysLi/dyXSboTSSqHvUp2ag9+Z3lSku8iMRZA==" saltValue="bvzR2YdDxZqBGeUjo3A+Yw==" spinCount="100000" sheet="1" objects="1" scenarios="1"/>
  <mergeCells count="33">
    <mergeCell ref="AW16:BB16"/>
    <mergeCell ref="BC16:BE16"/>
    <mergeCell ref="BF16:BI16"/>
    <mergeCell ref="AN15:AP15"/>
    <mergeCell ref="A16:B16"/>
    <mergeCell ref="C16:G16"/>
    <mergeCell ref="H16:K16"/>
    <mergeCell ref="P16:S16"/>
    <mergeCell ref="Y16:AB16"/>
    <mergeCell ref="AN16:AQ16"/>
    <mergeCell ref="A15:B15"/>
    <mergeCell ref="C15:G15"/>
    <mergeCell ref="H15:J15"/>
    <mergeCell ref="P15:R15"/>
    <mergeCell ref="Y15:AA15"/>
    <mergeCell ref="A14:G14"/>
    <mergeCell ref="H14:J14"/>
    <mergeCell ref="P14:R14"/>
    <mergeCell ref="Y14:AA14"/>
    <mergeCell ref="AN14:AP14"/>
    <mergeCell ref="CF8:CG8"/>
    <mergeCell ref="CI8:CJ8"/>
    <mergeCell ref="A13:G13"/>
    <mergeCell ref="H13:J13"/>
    <mergeCell ref="P13:R13"/>
    <mergeCell ref="Y13:AA13"/>
    <mergeCell ref="AN13:AP13"/>
    <mergeCell ref="AN2:AU2"/>
    <mergeCell ref="AW6:BJ6"/>
    <mergeCell ref="BY7:BY8"/>
    <mergeCell ref="C8:G8"/>
    <mergeCell ref="AW8:BB8"/>
    <mergeCell ref="BF8:B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1"/>
  <sheetViews>
    <sheetView zoomScale="86" zoomScaleNormal="86" workbookViewId="0">
      <selection activeCell="CE10" sqref="CE10"/>
    </sheetView>
  </sheetViews>
  <sheetFormatPr baseColWidth="10" defaultColWidth="10.85546875" defaultRowHeight="12.75" x14ac:dyDescent="0.2"/>
  <cols>
    <col min="1" max="1" width="7.5703125" style="77" customWidth="1"/>
    <col min="2" max="2" width="45.140625" style="77" customWidth="1"/>
    <col min="3" max="3" width="31" style="77" customWidth="1"/>
    <col min="4" max="4" width="17" style="77" customWidth="1"/>
    <col min="5" max="5" width="10.85546875" style="77"/>
    <col min="6" max="6" width="19.5703125" style="77" customWidth="1"/>
    <col min="7" max="7" width="36" style="77" customWidth="1"/>
    <col min="8" max="8" width="19.42578125" style="77" hidden="1" customWidth="1"/>
    <col min="9" max="9" width="22.85546875" style="77" hidden="1" customWidth="1"/>
    <col min="10" max="10" width="14" style="77" hidden="1" customWidth="1"/>
    <col min="11" max="11" width="18.85546875" style="77" hidden="1" customWidth="1"/>
    <col min="12" max="12" width="17" style="77" hidden="1" customWidth="1"/>
    <col min="13" max="13" width="10.85546875" style="77" hidden="1" customWidth="1"/>
    <col min="14" max="14" width="30.7109375" style="77" hidden="1" customWidth="1"/>
    <col min="15" max="15" width="25.85546875" style="77" hidden="1" customWidth="1"/>
    <col min="16" max="16" width="6.85546875" style="77" hidden="1" customWidth="1"/>
    <col min="17" max="17" width="22.85546875" style="77" hidden="1" customWidth="1"/>
    <col min="18" max="18" width="19.7109375" style="77" hidden="1" customWidth="1"/>
    <col min="19" max="19" width="13.5703125" style="77" hidden="1" customWidth="1"/>
    <col min="20" max="20" width="18.7109375" style="77" hidden="1" customWidth="1"/>
    <col min="21" max="21" width="18.140625" style="77" hidden="1" customWidth="1"/>
    <col min="22" max="22" width="10.85546875" style="77" hidden="1" customWidth="1"/>
    <col min="23" max="23" width="22.85546875" style="77" hidden="1" customWidth="1"/>
    <col min="24" max="24" width="26.7109375" style="77" hidden="1" customWidth="1"/>
    <col min="25" max="25" width="10.85546875" style="77" hidden="1" customWidth="1"/>
    <col min="26" max="26" width="18.5703125" style="77" hidden="1" customWidth="1"/>
    <col min="27" max="27" width="10.85546875" style="77" hidden="1" customWidth="1"/>
    <col min="28" max="28" width="16.140625" style="77" hidden="1" customWidth="1"/>
    <col min="29" max="29" width="17.140625" style="77" hidden="1" customWidth="1"/>
    <col min="30" max="30" width="19" style="77" hidden="1" customWidth="1"/>
    <col min="31" max="31" width="20.28515625" style="77" hidden="1" customWidth="1"/>
    <col min="32" max="33" width="15.42578125" style="77" hidden="1" customWidth="1"/>
    <col min="34" max="34" width="39.28515625" style="77" hidden="1" customWidth="1"/>
    <col min="35" max="35" width="18.7109375" style="77" hidden="1" customWidth="1"/>
    <col min="36" max="36" width="19.42578125" style="77" hidden="1" customWidth="1"/>
    <col min="37" max="37" width="20" style="77" hidden="1" customWidth="1"/>
    <col min="38" max="38" width="15.42578125" style="77" hidden="1" customWidth="1"/>
    <col min="39" max="39" width="23.140625" style="77" hidden="1" customWidth="1"/>
    <col min="40" max="40" width="10.85546875" style="77" hidden="1" customWidth="1"/>
    <col min="41" max="41" width="14.140625" style="77" hidden="1" customWidth="1"/>
    <col min="42" max="42" width="13" style="77" hidden="1" customWidth="1"/>
    <col min="43" max="44" width="14.140625" style="77" hidden="1" customWidth="1"/>
    <col min="45" max="48" width="10.85546875" style="77" hidden="1" customWidth="1"/>
    <col min="49" max="53" width="13.140625" style="77" hidden="1" customWidth="1"/>
    <col min="54" max="55" width="15.140625" style="77" hidden="1" customWidth="1"/>
    <col min="56" max="57" width="11.85546875" style="77" hidden="1" customWidth="1"/>
    <col min="58" max="58" width="16.140625" style="77" hidden="1" customWidth="1"/>
    <col min="59" max="59" width="10.85546875" style="77" hidden="1" customWidth="1"/>
    <col min="60" max="62" width="16.140625" style="77" hidden="1" customWidth="1"/>
    <col min="63" max="63" width="10.85546875" style="77" hidden="1" customWidth="1"/>
    <col min="64" max="64" width="13.85546875" style="77" hidden="1" customWidth="1"/>
    <col min="65" max="68" width="15.42578125" style="77" hidden="1" customWidth="1"/>
    <col min="69" max="69" width="13.85546875" style="77" hidden="1" customWidth="1"/>
    <col min="70" max="70" width="10.85546875" style="77" hidden="1" customWidth="1"/>
    <col min="71" max="71" width="20.85546875" style="77" hidden="1" customWidth="1"/>
    <col min="72" max="72" width="10.85546875" style="77" hidden="1" customWidth="1"/>
    <col min="73" max="73" width="12.85546875" style="77" hidden="1" customWidth="1"/>
    <col min="74" max="76" width="10.85546875" style="77" hidden="1" customWidth="1"/>
    <col min="77" max="77" width="29.140625" style="77" hidden="1" customWidth="1"/>
    <col min="78" max="78" width="43.85546875" style="77" hidden="1" customWidth="1"/>
    <col min="79" max="79" width="44.42578125" style="77" hidden="1" customWidth="1"/>
    <col min="80" max="81" width="10.85546875" style="77" hidden="1" customWidth="1"/>
    <col min="82" max="82" width="10.85546875" style="77" customWidth="1"/>
    <col min="83" max="83" width="22.5703125" style="77" customWidth="1"/>
    <col min="84" max="84" width="21" style="77" customWidth="1"/>
    <col min="85" max="85" width="10.85546875" style="77" customWidth="1"/>
    <col min="86" max="86" width="17.5703125" style="77" customWidth="1"/>
    <col min="87" max="87" width="14.42578125" style="77" customWidth="1"/>
    <col min="88" max="88" width="10.85546875" style="77" customWidth="1"/>
    <col min="89" max="89" width="25.7109375" style="77" customWidth="1"/>
    <col min="90" max="90" width="21.5703125" style="77" customWidth="1"/>
    <col min="91" max="91" width="10.85546875" style="77" customWidth="1"/>
    <col min="92" max="16384" width="10.85546875" style="77"/>
  </cols>
  <sheetData>
    <row r="1" spans="1:90" x14ac:dyDescent="0.2">
      <c r="H1" s="218"/>
      <c r="I1" s="79" t="s">
        <v>83</v>
      </c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173"/>
      <c r="AO1" s="173"/>
      <c r="AP1" s="173"/>
      <c r="AQ1" s="173"/>
      <c r="AR1" s="173"/>
      <c r="AS1" s="173"/>
      <c r="AT1" s="173"/>
      <c r="AU1" s="174"/>
      <c r="CA1" s="175"/>
      <c r="CB1" s="176"/>
      <c r="CC1" s="176"/>
      <c r="CD1" s="177"/>
      <c r="CG1" s="101"/>
      <c r="CH1" s="178"/>
      <c r="CI1" s="178"/>
      <c r="CJ1" s="179"/>
      <c r="CK1" s="178"/>
    </row>
    <row r="2" spans="1:90" x14ac:dyDescent="0.2">
      <c r="H2" s="350"/>
      <c r="I2" s="81" t="s">
        <v>121</v>
      </c>
      <c r="J2" s="81"/>
      <c r="K2" s="81"/>
      <c r="L2" s="81"/>
      <c r="M2" s="81"/>
      <c r="N2" s="81"/>
      <c r="O2" s="82"/>
      <c r="P2" s="83"/>
      <c r="Q2" s="84" t="s">
        <v>35</v>
      </c>
      <c r="R2" s="84"/>
      <c r="S2" s="84"/>
      <c r="T2" s="84"/>
      <c r="U2" s="84"/>
      <c r="V2" s="84"/>
      <c r="W2" s="84"/>
      <c r="X2" s="85"/>
      <c r="Y2" s="86"/>
      <c r="Z2" s="87" t="s">
        <v>38</v>
      </c>
      <c r="AA2" s="87"/>
      <c r="AB2" s="87"/>
      <c r="AC2" s="87"/>
      <c r="AD2" s="87"/>
      <c r="AE2" s="87"/>
      <c r="AF2" s="87"/>
      <c r="AG2" s="88"/>
      <c r="AH2" s="89" t="s">
        <v>41</v>
      </c>
      <c r="AI2" s="90"/>
      <c r="AJ2" s="90"/>
      <c r="AK2" s="90"/>
      <c r="AL2" s="90"/>
      <c r="AM2" s="91"/>
      <c r="AN2" s="307" t="s">
        <v>42</v>
      </c>
      <c r="AO2" s="308"/>
      <c r="AP2" s="308"/>
      <c r="AQ2" s="308"/>
      <c r="AR2" s="308"/>
      <c r="AS2" s="308"/>
      <c r="AT2" s="308"/>
      <c r="AU2" s="309"/>
      <c r="CA2" s="175"/>
      <c r="CB2" s="176"/>
      <c r="CC2" s="176"/>
      <c r="CD2" s="177"/>
      <c r="CG2" s="101"/>
      <c r="CH2" s="178"/>
      <c r="CI2" s="178"/>
      <c r="CJ2" s="179"/>
      <c r="CK2" s="178"/>
    </row>
    <row r="3" spans="1:90" ht="52.9" customHeight="1" x14ac:dyDescent="0.2">
      <c r="A3" s="92"/>
      <c r="B3" s="93" t="s">
        <v>133</v>
      </c>
      <c r="C3" s="94"/>
      <c r="D3" s="94"/>
      <c r="E3" s="94"/>
      <c r="F3" s="94"/>
      <c r="G3" s="95"/>
      <c r="H3" s="100"/>
      <c r="P3" s="96"/>
      <c r="Y3" s="96"/>
      <c r="AN3" s="96"/>
      <c r="CA3" s="175"/>
      <c r="CB3" s="176"/>
      <c r="CC3" s="176"/>
      <c r="CD3" s="177"/>
      <c r="CG3" s="101"/>
      <c r="CH3" s="178"/>
      <c r="CI3" s="178"/>
      <c r="CJ3" s="179"/>
      <c r="CK3" s="178"/>
    </row>
    <row r="4" spans="1:90" ht="14.25" customHeight="1" x14ac:dyDescent="0.2">
      <c r="A4" s="92"/>
      <c r="B4" s="97"/>
      <c r="C4" s="98"/>
      <c r="D4" s="98"/>
      <c r="E4" s="98"/>
      <c r="F4" s="98"/>
      <c r="G4" s="99"/>
      <c r="H4" s="100"/>
      <c r="P4" s="96"/>
      <c r="Y4" s="100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0"/>
      <c r="AO4" s="101"/>
      <c r="AP4" s="101"/>
      <c r="AQ4" s="101"/>
      <c r="AR4" s="101"/>
      <c r="AS4" s="101"/>
      <c r="AT4" s="101"/>
      <c r="AU4" s="101"/>
      <c r="CA4" s="175"/>
      <c r="CB4" s="176"/>
      <c r="CC4" s="176"/>
      <c r="CD4" s="177"/>
      <c r="CG4" s="101"/>
      <c r="CH4" s="178"/>
      <c r="CI4" s="178"/>
      <c r="CJ4" s="179"/>
      <c r="CK4" s="178"/>
    </row>
    <row r="5" spans="1:90" ht="14.25" customHeight="1" x14ac:dyDescent="0.2">
      <c r="A5" s="92"/>
      <c r="B5" s="102" t="s">
        <v>15</v>
      </c>
      <c r="C5" s="103"/>
      <c r="D5" s="103"/>
      <c r="E5" s="103"/>
      <c r="F5" s="103"/>
      <c r="G5" s="104"/>
      <c r="H5" s="92"/>
      <c r="P5" s="92"/>
      <c r="Y5" s="92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92"/>
      <c r="AO5" s="101"/>
      <c r="AP5" s="101"/>
      <c r="AQ5" s="101"/>
      <c r="AR5" s="101"/>
      <c r="AS5" s="101"/>
      <c r="AT5" s="101"/>
      <c r="AU5" s="101"/>
      <c r="CA5" s="175"/>
      <c r="CB5" s="176"/>
      <c r="CC5" s="176"/>
      <c r="CD5" s="177"/>
      <c r="CG5" s="101"/>
      <c r="CH5" s="178"/>
      <c r="CI5" s="178"/>
      <c r="CJ5" s="179"/>
      <c r="CK5" s="178"/>
    </row>
    <row r="6" spans="1:90" ht="80.650000000000006" customHeight="1" x14ac:dyDescent="0.2">
      <c r="A6" s="242"/>
      <c r="B6" s="241" t="s">
        <v>112</v>
      </c>
      <c r="C6" s="238"/>
      <c r="D6" s="238"/>
      <c r="E6" s="238"/>
      <c r="F6" s="238"/>
      <c r="G6" s="239"/>
      <c r="H6" s="111"/>
      <c r="P6" s="111"/>
      <c r="Y6" s="11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11"/>
      <c r="AO6" s="101"/>
      <c r="AP6" s="101"/>
      <c r="AQ6" s="101"/>
      <c r="AR6" s="101"/>
      <c r="AS6" s="101"/>
      <c r="AT6" s="101"/>
      <c r="AU6" s="101"/>
      <c r="AW6" s="319" t="s">
        <v>67</v>
      </c>
      <c r="AX6" s="320"/>
      <c r="AY6" s="320"/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1"/>
      <c r="BL6" s="310" t="s">
        <v>75</v>
      </c>
      <c r="BM6" s="311"/>
      <c r="BN6" s="311"/>
      <c r="BO6" s="311"/>
      <c r="BP6" s="311"/>
      <c r="BQ6" s="311"/>
      <c r="BR6" s="311"/>
      <c r="BS6" s="311"/>
      <c r="BT6" s="311"/>
      <c r="BU6" s="312"/>
      <c r="CA6" s="175"/>
      <c r="CB6" s="176"/>
      <c r="CC6" s="176"/>
      <c r="CD6" s="177"/>
      <c r="CG6" s="101"/>
      <c r="CH6" s="178"/>
      <c r="CI6" s="178"/>
      <c r="CJ6" s="179"/>
      <c r="CK6" s="178"/>
    </row>
    <row r="7" spans="1:90" ht="64.900000000000006" customHeight="1" x14ac:dyDescent="0.2">
      <c r="A7" s="92"/>
      <c r="B7" s="228" t="s">
        <v>119</v>
      </c>
      <c r="C7" s="228" t="s">
        <v>120</v>
      </c>
      <c r="D7" s="229"/>
      <c r="E7" s="229"/>
      <c r="F7" s="229"/>
      <c r="G7" s="230"/>
      <c r="H7" s="243"/>
      <c r="P7" s="243"/>
      <c r="Y7" s="243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243"/>
      <c r="AO7" s="101"/>
      <c r="AP7" s="101"/>
      <c r="AQ7" s="101"/>
      <c r="AR7" s="101"/>
      <c r="AS7" s="101"/>
      <c r="AT7" s="101"/>
      <c r="AU7" s="101"/>
      <c r="BY7" s="313" t="s">
        <v>86</v>
      </c>
      <c r="BZ7" s="183"/>
      <c r="CA7" s="175"/>
      <c r="CB7" s="176"/>
      <c r="CC7" s="176"/>
      <c r="CD7" s="177"/>
      <c r="CG7" s="101"/>
      <c r="CH7" s="178"/>
      <c r="CI7" s="178"/>
      <c r="CJ7" s="179"/>
      <c r="CK7" s="178"/>
    </row>
    <row r="8" spans="1:90" ht="75.75" customHeight="1" x14ac:dyDescent="0.2">
      <c r="A8" s="92"/>
      <c r="B8" s="92"/>
      <c r="C8" s="338"/>
      <c r="D8" s="338"/>
      <c r="E8" s="338"/>
      <c r="F8" s="338"/>
      <c r="G8" s="338"/>
      <c r="H8" s="244"/>
      <c r="P8" s="244"/>
      <c r="Y8" s="118"/>
      <c r="AN8" s="118"/>
      <c r="AW8" s="298" t="s">
        <v>50</v>
      </c>
      <c r="AX8" s="299"/>
      <c r="AY8" s="299"/>
      <c r="AZ8" s="299"/>
      <c r="BA8" s="299"/>
      <c r="BB8" s="300"/>
      <c r="BC8" s="187" t="s">
        <v>49</v>
      </c>
      <c r="BD8" s="187"/>
      <c r="BE8" s="188"/>
      <c r="BF8" s="322" t="s">
        <v>111</v>
      </c>
      <c r="BG8" s="323"/>
      <c r="BH8" s="323"/>
      <c r="BI8" s="323"/>
      <c r="BY8" s="314"/>
      <c r="BZ8" s="183"/>
      <c r="CA8" s="175"/>
      <c r="CB8" s="176"/>
      <c r="CC8" s="176"/>
      <c r="CD8" s="177"/>
      <c r="CE8" s="315" t="s">
        <v>91</v>
      </c>
      <c r="CF8" s="316"/>
      <c r="CG8" s="192"/>
      <c r="CH8" s="317" t="s">
        <v>92</v>
      </c>
      <c r="CI8" s="318"/>
      <c r="CJ8" s="193"/>
      <c r="CK8" s="194" t="s">
        <v>92</v>
      </c>
      <c r="CL8" s="194" t="s">
        <v>91</v>
      </c>
    </row>
    <row r="9" spans="1:90" ht="105" customHeight="1" x14ac:dyDescent="0.2">
      <c r="A9" s="119" t="s">
        <v>0</v>
      </c>
      <c r="B9" s="121" t="s">
        <v>1</v>
      </c>
      <c r="C9" s="121" t="s">
        <v>2</v>
      </c>
      <c r="D9" s="121" t="s">
        <v>3</v>
      </c>
      <c r="E9" s="121" t="s">
        <v>22</v>
      </c>
      <c r="F9" s="121" t="s">
        <v>135</v>
      </c>
      <c r="G9" s="121" t="s">
        <v>7</v>
      </c>
      <c r="H9" s="122" t="s">
        <v>14</v>
      </c>
      <c r="I9" s="122" t="s">
        <v>10</v>
      </c>
      <c r="J9" s="122" t="s">
        <v>11</v>
      </c>
      <c r="K9" s="122" t="s">
        <v>12</v>
      </c>
      <c r="L9" s="122" t="s">
        <v>13</v>
      </c>
      <c r="M9" s="122" t="s">
        <v>6</v>
      </c>
      <c r="N9" s="122" t="s">
        <v>8</v>
      </c>
      <c r="O9" s="122" t="s">
        <v>9</v>
      </c>
      <c r="P9" s="122" t="s">
        <v>14</v>
      </c>
      <c r="Q9" s="122" t="s">
        <v>10</v>
      </c>
      <c r="R9" s="122" t="s">
        <v>11</v>
      </c>
      <c r="S9" s="122" t="s">
        <v>12</v>
      </c>
      <c r="T9" s="122" t="s">
        <v>13</v>
      </c>
      <c r="U9" s="123" t="s">
        <v>46</v>
      </c>
      <c r="V9" s="122" t="s">
        <v>6</v>
      </c>
      <c r="W9" s="122" t="s">
        <v>8</v>
      </c>
      <c r="X9" s="122" t="s">
        <v>9</v>
      </c>
      <c r="Y9" s="122" t="s">
        <v>14</v>
      </c>
      <c r="Z9" s="122" t="s">
        <v>10</v>
      </c>
      <c r="AA9" s="122" t="s">
        <v>11</v>
      </c>
      <c r="AB9" s="122" t="s">
        <v>12</v>
      </c>
      <c r="AC9" s="122" t="s">
        <v>13</v>
      </c>
      <c r="AD9" s="123" t="s">
        <v>46</v>
      </c>
      <c r="AE9" s="122" t="s">
        <v>6</v>
      </c>
      <c r="AF9" s="122" t="s">
        <v>8</v>
      </c>
      <c r="AG9" s="122" t="s">
        <v>9</v>
      </c>
      <c r="AH9" s="124" t="s">
        <v>14</v>
      </c>
      <c r="AI9" s="124" t="s">
        <v>85</v>
      </c>
      <c r="AJ9" s="124" t="s">
        <v>11</v>
      </c>
      <c r="AK9" s="124" t="s">
        <v>12</v>
      </c>
      <c r="AL9" s="125" t="s">
        <v>116</v>
      </c>
      <c r="AM9" s="126" t="s">
        <v>46</v>
      </c>
      <c r="AN9" s="122" t="s">
        <v>14</v>
      </c>
      <c r="AO9" s="122" t="s">
        <v>10</v>
      </c>
      <c r="AP9" s="122" t="s">
        <v>11</v>
      </c>
      <c r="AQ9" s="122" t="s">
        <v>12</v>
      </c>
      <c r="AR9" s="122" t="s">
        <v>13</v>
      </c>
      <c r="AS9" s="122" t="s">
        <v>6</v>
      </c>
      <c r="AT9" s="122" t="s">
        <v>8</v>
      </c>
      <c r="AU9" s="122" t="s">
        <v>9</v>
      </c>
      <c r="AW9" s="196" t="s">
        <v>60</v>
      </c>
      <c r="AX9" s="196" t="s">
        <v>61</v>
      </c>
      <c r="AY9" s="196" t="s">
        <v>63</v>
      </c>
      <c r="AZ9" s="196" t="s">
        <v>64</v>
      </c>
      <c r="BA9" s="196" t="s">
        <v>65</v>
      </c>
      <c r="BB9" s="196" t="s">
        <v>62</v>
      </c>
      <c r="BC9" s="196" t="s">
        <v>51</v>
      </c>
      <c r="BD9" s="196" t="s">
        <v>52</v>
      </c>
      <c r="BE9" s="196" t="s">
        <v>56</v>
      </c>
      <c r="BF9" s="196" t="s">
        <v>53</v>
      </c>
      <c r="BG9" s="196" t="s">
        <v>54</v>
      </c>
      <c r="BH9" s="196" t="s">
        <v>55</v>
      </c>
      <c r="BI9" s="197" t="s">
        <v>110</v>
      </c>
      <c r="BJ9" s="196" t="s">
        <v>66</v>
      </c>
      <c r="BL9" s="198" t="s">
        <v>72</v>
      </c>
      <c r="BM9" s="198" t="s">
        <v>68</v>
      </c>
      <c r="BN9" s="198" t="s">
        <v>69</v>
      </c>
      <c r="BO9" s="198" t="s">
        <v>70</v>
      </c>
      <c r="BP9" s="198" t="s">
        <v>71</v>
      </c>
      <c r="BQ9" s="198" t="s">
        <v>76</v>
      </c>
      <c r="BR9" s="198" t="s">
        <v>77</v>
      </c>
      <c r="BS9" s="198" t="s">
        <v>84</v>
      </c>
      <c r="BT9" s="198" t="s">
        <v>73</v>
      </c>
      <c r="BU9" s="198" t="s">
        <v>74</v>
      </c>
      <c r="BY9" s="183" t="s">
        <v>87</v>
      </c>
      <c r="BZ9" s="183" t="s">
        <v>89</v>
      </c>
      <c r="CA9" s="199" t="s">
        <v>93</v>
      </c>
      <c r="CB9" s="200" t="s">
        <v>94</v>
      </c>
      <c r="CC9" s="201" t="s">
        <v>95</v>
      </c>
      <c r="CD9" s="202"/>
      <c r="CE9" s="203" t="s">
        <v>96</v>
      </c>
      <c r="CF9" s="203" t="s">
        <v>97</v>
      </c>
      <c r="CG9" s="192"/>
      <c r="CH9" s="204" t="s">
        <v>98</v>
      </c>
      <c r="CI9" s="204" t="s">
        <v>99</v>
      </c>
      <c r="CJ9" s="193"/>
      <c r="CK9" s="204" t="s">
        <v>100</v>
      </c>
      <c r="CL9" s="204" t="s">
        <v>107</v>
      </c>
    </row>
    <row r="10" spans="1:90" ht="112.5" customHeight="1" x14ac:dyDescent="0.2">
      <c r="A10" s="127">
        <v>1</v>
      </c>
      <c r="B10" s="128" t="s">
        <v>23</v>
      </c>
      <c r="C10" s="129" t="s">
        <v>18</v>
      </c>
      <c r="D10" s="129" t="s">
        <v>5</v>
      </c>
      <c r="E10" s="129" t="s">
        <v>24</v>
      </c>
      <c r="F10" s="129">
        <v>1</v>
      </c>
      <c r="G10" s="129" t="s">
        <v>25</v>
      </c>
      <c r="H10" s="130" t="s">
        <v>44</v>
      </c>
      <c r="I10" s="131">
        <v>1450000000</v>
      </c>
      <c r="J10" s="132"/>
      <c r="K10" s="133">
        <v>1450000000</v>
      </c>
      <c r="L10" s="133">
        <v>1450000000</v>
      </c>
      <c r="M10" s="132" t="s">
        <v>33</v>
      </c>
      <c r="N10" s="132" t="s">
        <v>30</v>
      </c>
      <c r="O10" s="132" t="s">
        <v>32</v>
      </c>
      <c r="P10" s="129" t="s">
        <v>25</v>
      </c>
      <c r="Q10" s="134">
        <v>160881</v>
      </c>
      <c r="R10" s="134"/>
      <c r="S10" s="134">
        <v>160881</v>
      </c>
      <c r="T10" s="132"/>
      <c r="U10" s="135">
        <v>609880565.27999997</v>
      </c>
      <c r="V10" s="132" t="s">
        <v>47</v>
      </c>
      <c r="W10" s="132"/>
      <c r="X10" s="136" t="s">
        <v>48</v>
      </c>
      <c r="Y10" s="129" t="s">
        <v>25</v>
      </c>
      <c r="Z10" s="134">
        <v>600000</v>
      </c>
      <c r="AA10" s="134">
        <v>0</v>
      </c>
      <c r="AB10" s="134">
        <v>600000</v>
      </c>
      <c r="AC10" s="134">
        <v>600000</v>
      </c>
      <c r="AD10" s="135">
        <v>2274528000</v>
      </c>
      <c r="AE10" s="137" t="s">
        <v>39</v>
      </c>
      <c r="AF10" s="132" t="s">
        <v>37</v>
      </c>
      <c r="AG10" s="138" t="s">
        <v>40</v>
      </c>
      <c r="AH10" s="139" t="s">
        <v>117</v>
      </c>
      <c r="AI10" s="134">
        <v>355500</v>
      </c>
      <c r="AJ10" s="140" t="s">
        <v>113</v>
      </c>
      <c r="AK10" s="134">
        <v>355500</v>
      </c>
      <c r="AL10" s="141">
        <v>355500</v>
      </c>
      <c r="AM10" s="135">
        <v>1347657840</v>
      </c>
      <c r="AN10" s="130"/>
      <c r="AO10" s="132"/>
      <c r="AP10" s="132"/>
      <c r="AQ10" s="132"/>
      <c r="AR10" s="132"/>
      <c r="AS10" s="132"/>
      <c r="AT10" s="132"/>
      <c r="AU10" s="132"/>
      <c r="AV10" s="224"/>
      <c r="AW10" s="132"/>
      <c r="AX10" s="132"/>
      <c r="AY10" s="132"/>
      <c r="AZ10" s="132"/>
      <c r="BA10" s="132"/>
      <c r="BB10" s="132"/>
      <c r="BC10" s="135"/>
      <c r="BD10" s="135"/>
      <c r="BE10" s="135"/>
      <c r="BF10" s="135">
        <v>562500000</v>
      </c>
      <c r="BG10" s="135">
        <v>0</v>
      </c>
      <c r="BH10" s="135">
        <v>562500000</v>
      </c>
      <c r="BI10" s="351">
        <v>619863249.03793287</v>
      </c>
      <c r="BJ10" s="352">
        <v>619863249.03793287</v>
      </c>
      <c r="BK10" s="224"/>
      <c r="BL10" s="348">
        <v>609880565.27999997</v>
      </c>
      <c r="BM10" s="348">
        <v>2274528000</v>
      </c>
      <c r="BN10" s="348">
        <v>1260385930.8635864</v>
      </c>
      <c r="BO10" s="348">
        <v>1109368736.8867741</v>
      </c>
      <c r="BP10" s="348">
        <v>1347657840</v>
      </c>
      <c r="BQ10" s="348">
        <v>690195724.83412874</v>
      </c>
      <c r="BR10" s="223">
        <v>0.51214462925851323</v>
      </c>
      <c r="BS10" s="348">
        <v>609880565.27999997</v>
      </c>
      <c r="BT10" s="132" t="s">
        <v>78</v>
      </c>
      <c r="BU10" s="132" t="s">
        <v>108</v>
      </c>
      <c r="BV10" s="224"/>
      <c r="BW10" s="353" t="s">
        <v>81</v>
      </c>
      <c r="BX10" s="224"/>
      <c r="BY10" s="225">
        <v>1</v>
      </c>
      <c r="BZ10" s="135">
        <v>609880565.27999997</v>
      </c>
      <c r="CA10" s="135">
        <v>609880565.27999997</v>
      </c>
      <c r="CB10" s="354">
        <f>BY10/F10</f>
        <v>1</v>
      </c>
      <c r="CC10" s="355">
        <f>CB10-1</f>
        <v>0</v>
      </c>
      <c r="CD10" s="231"/>
      <c r="CE10" s="225">
        <f>BZ10</f>
        <v>609880565.27999997</v>
      </c>
      <c r="CF10" s="225">
        <f>CE10*BY10</f>
        <v>609880565.27999997</v>
      </c>
      <c r="CG10" s="232"/>
      <c r="CH10" s="227">
        <f>CF10/3790.88</f>
        <v>160881</v>
      </c>
      <c r="CI10" s="227">
        <f>CH10*BY10</f>
        <v>160881</v>
      </c>
      <c r="CJ10" s="233"/>
      <c r="CK10" s="227">
        <f>CI10</f>
        <v>160881</v>
      </c>
      <c r="CL10" s="225">
        <f>CK10*4600</f>
        <v>740052600</v>
      </c>
    </row>
    <row r="11" spans="1:90" ht="12.75" hidden="1" customHeight="1" x14ac:dyDescent="0.2"/>
    <row r="12" spans="1:90" ht="12.75" hidden="1" customHeight="1" x14ac:dyDescent="0.2"/>
    <row r="13" spans="1:90" ht="20.25" hidden="1" customHeight="1" x14ac:dyDescent="0.2">
      <c r="A13" s="277" t="s">
        <v>90</v>
      </c>
      <c r="B13" s="278"/>
      <c r="C13" s="278"/>
      <c r="D13" s="278"/>
      <c r="E13" s="278"/>
      <c r="F13" s="278"/>
      <c r="G13" s="279"/>
      <c r="H13" s="277"/>
      <c r="I13" s="278"/>
      <c r="J13" s="279"/>
      <c r="M13" s="101"/>
      <c r="N13" s="101"/>
      <c r="O13" s="101"/>
      <c r="P13" s="280"/>
      <c r="Q13" s="280"/>
      <c r="R13" s="280"/>
      <c r="S13" s="101"/>
      <c r="T13" s="101"/>
      <c r="U13" s="101"/>
      <c r="V13" s="101"/>
      <c r="W13" s="101"/>
      <c r="X13" s="101"/>
      <c r="Y13" s="280"/>
      <c r="Z13" s="280"/>
      <c r="AA13" s="280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280"/>
      <c r="AO13" s="280"/>
      <c r="AP13" s="280"/>
      <c r="AQ13" s="101"/>
      <c r="AR13" s="101"/>
      <c r="AS13" s="101"/>
      <c r="AT13" s="101"/>
      <c r="AU13" s="101"/>
    </row>
    <row r="14" spans="1:90" ht="10.35" hidden="1" customHeight="1" x14ac:dyDescent="0.2">
      <c r="A14" s="285" t="s">
        <v>115</v>
      </c>
      <c r="B14" s="281"/>
      <c r="C14" s="281"/>
      <c r="D14" s="281"/>
      <c r="E14" s="281"/>
      <c r="F14" s="281"/>
      <c r="G14" s="281"/>
      <c r="H14" s="281"/>
      <c r="I14" s="281"/>
      <c r="J14" s="282"/>
      <c r="M14" s="101"/>
      <c r="N14" s="101"/>
      <c r="O14" s="101"/>
      <c r="P14" s="269"/>
      <c r="Q14" s="269"/>
      <c r="R14" s="269"/>
      <c r="S14" s="101"/>
      <c r="T14" s="101"/>
      <c r="U14" s="101"/>
      <c r="V14" s="101"/>
      <c r="W14" s="101"/>
      <c r="X14" s="101"/>
      <c r="Y14" s="269"/>
      <c r="Z14" s="269"/>
      <c r="AA14" s="269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269"/>
      <c r="AO14" s="269"/>
      <c r="AP14" s="269"/>
      <c r="AQ14" s="101"/>
      <c r="AR14" s="101"/>
      <c r="AS14" s="101"/>
      <c r="AT14" s="101"/>
      <c r="AU14" s="101"/>
    </row>
    <row r="15" spans="1:90" ht="10.35" hidden="1" customHeight="1" x14ac:dyDescent="0.2">
      <c r="A15" s="286" t="s">
        <v>16</v>
      </c>
      <c r="B15" s="283"/>
      <c r="C15" s="286" t="s">
        <v>17</v>
      </c>
      <c r="D15" s="283"/>
      <c r="E15" s="283"/>
      <c r="F15" s="283"/>
      <c r="G15" s="283"/>
      <c r="H15" s="283"/>
      <c r="I15" s="283"/>
      <c r="J15" s="284"/>
      <c r="M15" s="101"/>
      <c r="N15" s="101"/>
      <c r="O15" s="101"/>
      <c r="P15" s="270"/>
      <c r="Q15" s="270"/>
      <c r="R15" s="270"/>
      <c r="S15" s="101"/>
      <c r="T15" s="101"/>
      <c r="U15" s="101"/>
      <c r="V15" s="101"/>
      <c r="W15" s="101"/>
      <c r="X15" s="101"/>
      <c r="Y15" s="270"/>
      <c r="Z15" s="270"/>
      <c r="AA15" s="270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270"/>
      <c r="AO15" s="270"/>
      <c r="AP15" s="270"/>
      <c r="AQ15" s="101"/>
      <c r="AR15" s="101"/>
      <c r="AS15" s="101"/>
      <c r="AT15" s="101"/>
      <c r="AU15" s="101"/>
      <c r="BY15" s="183" t="s">
        <v>86</v>
      </c>
      <c r="BZ15" s="183"/>
      <c r="CA15" s="183"/>
    </row>
    <row r="16" spans="1:90" ht="10.35" hidden="1" customHeight="1" x14ac:dyDescent="0.2">
      <c r="A16" s="287" t="s">
        <v>20</v>
      </c>
      <c r="B16" s="288"/>
      <c r="C16" s="274" t="s">
        <v>21</v>
      </c>
      <c r="D16" s="275"/>
      <c r="E16" s="275"/>
      <c r="F16" s="275"/>
      <c r="G16" s="276"/>
      <c r="H16" s="274"/>
      <c r="I16" s="275"/>
      <c r="J16" s="275"/>
      <c r="K16" s="276"/>
      <c r="P16" s="271"/>
      <c r="Q16" s="272"/>
      <c r="R16" s="272"/>
      <c r="S16" s="273"/>
      <c r="Y16" s="271"/>
      <c r="Z16" s="272"/>
      <c r="AA16" s="272"/>
      <c r="AB16" s="273"/>
      <c r="AN16" s="271"/>
      <c r="AO16" s="272"/>
      <c r="AP16" s="272"/>
      <c r="AQ16" s="273"/>
      <c r="AW16" s="298" t="s">
        <v>50</v>
      </c>
      <c r="AX16" s="299"/>
      <c r="AY16" s="299"/>
      <c r="AZ16" s="299"/>
      <c r="BA16" s="299"/>
      <c r="BB16" s="300"/>
      <c r="BC16" s="301" t="s">
        <v>59</v>
      </c>
      <c r="BD16" s="302"/>
      <c r="BE16" s="303"/>
      <c r="BF16" s="304" t="s">
        <v>58</v>
      </c>
      <c r="BG16" s="305"/>
      <c r="BH16" s="305"/>
      <c r="BI16" s="306"/>
      <c r="BY16" s="183"/>
      <c r="BZ16" s="183"/>
      <c r="CA16" s="183"/>
    </row>
    <row r="17" spans="1:79" ht="40.5" hidden="1" customHeight="1" x14ac:dyDescent="0.2">
      <c r="A17" s="142" t="s">
        <v>0</v>
      </c>
      <c r="B17" s="143" t="s">
        <v>1</v>
      </c>
      <c r="C17" s="144" t="s">
        <v>2</v>
      </c>
      <c r="D17" s="145" t="s">
        <v>3</v>
      </c>
      <c r="E17" s="145" t="s">
        <v>19</v>
      </c>
      <c r="F17" s="144" t="s">
        <v>4</v>
      </c>
      <c r="G17" s="144" t="s">
        <v>7</v>
      </c>
      <c r="H17" s="146" t="s">
        <v>14</v>
      </c>
      <c r="I17" s="146" t="s">
        <v>10</v>
      </c>
      <c r="J17" s="146" t="s">
        <v>11</v>
      </c>
      <c r="K17" s="146" t="s">
        <v>12</v>
      </c>
      <c r="L17" s="146" t="s">
        <v>13</v>
      </c>
      <c r="M17" s="146" t="s">
        <v>6</v>
      </c>
      <c r="N17" s="146" t="s">
        <v>8</v>
      </c>
      <c r="O17" s="146" t="s">
        <v>9</v>
      </c>
      <c r="P17" s="146" t="s">
        <v>14</v>
      </c>
      <c r="Q17" s="146" t="s">
        <v>10</v>
      </c>
      <c r="R17" s="146" t="s">
        <v>11</v>
      </c>
      <c r="S17" s="146" t="s">
        <v>12</v>
      </c>
      <c r="T17" s="146" t="s">
        <v>13</v>
      </c>
      <c r="U17" s="147" t="s">
        <v>46</v>
      </c>
      <c r="V17" s="146" t="s">
        <v>6</v>
      </c>
      <c r="W17" s="146" t="s">
        <v>8</v>
      </c>
      <c r="X17" s="146" t="s">
        <v>9</v>
      </c>
      <c r="Y17" s="146" t="s">
        <v>14</v>
      </c>
      <c r="Z17" s="146" t="s">
        <v>10</v>
      </c>
      <c r="AA17" s="146" t="s">
        <v>11</v>
      </c>
      <c r="AB17" s="146" t="s">
        <v>12</v>
      </c>
      <c r="AC17" s="146" t="s">
        <v>13</v>
      </c>
      <c r="AD17" s="147" t="s">
        <v>46</v>
      </c>
      <c r="AE17" s="146" t="s">
        <v>6</v>
      </c>
      <c r="AF17" s="146" t="s">
        <v>8</v>
      </c>
      <c r="AG17" s="146" t="s">
        <v>9</v>
      </c>
      <c r="AH17" s="148" t="s">
        <v>14</v>
      </c>
      <c r="AI17" s="149" t="s">
        <v>85</v>
      </c>
      <c r="AJ17" s="148" t="s">
        <v>11</v>
      </c>
      <c r="AK17" s="150" t="s">
        <v>12</v>
      </c>
      <c r="AL17" s="151" t="s">
        <v>118</v>
      </c>
      <c r="AM17" s="152" t="s">
        <v>46</v>
      </c>
      <c r="AN17" s="146" t="s">
        <v>14</v>
      </c>
      <c r="AO17" s="146" t="s">
        <v>10</v>
      </c>
      <c r="AP17" s="146" t="s">
        <v>11</v>
      </c>
      <c r="AQ17" s="146" t="s">
        <v>12</v>
      </c>
      <c r="AR17" s="146" t="s">
        <v>13</v>
      </c>
      <c r="AS17" s="146" t="s">
        <v>6</v>
      </c>
      <c r="AT17" s="146" t="s">
        <v>8</v>
      </c>
      <c r="AU17" s="146" t="s">
        <v>9</v>
      </c>
      <c r="AW17" s="196" t="s">
        <v>60</v>
      </c>
      <c r="AX17" s="196" t="s">
        <v>61</v>
      </c>
      <c r="AY17" s="196" t="s">
        <v>63</v>
      </c>
      <c r="AZ17" s="196" t="s">
        <v>64</v>
      </c>
      <c r="BA17" s="196" t="s">
        <v>65</v>
      </c>
      <c r="BB17" s="196" t="s">
        <v>62</v>
      </c>
      <c r="BC17" s="196" t="s">
        <v>51</v>
      </c>
      <c r="BD17" s="196" t="s">
        <v>52</v>
      </c>
      <c r="BE17" s="196" t="s">
        <v>56</v>
      </c>
      <c r="BF17" s="196" t="s">
        <v>53</v>
      </c>
      <c r="BG17" s="196" t="s">
        <v>54</v>
      </c>
      <c r="BH17" s="196" t="s">
        <v>55</v>
      </c>
      <c r="BI17" s="196" t="s">
        <v>57</v>
      </c>
      <c r="BJ17" s="196" t="s">
        <v>66</v>
      </c>
      <c r="BL17" s="198" t="s">
        <v>72</v>
      </c>
      <c r="BM17" s="198" t="s">
        <v>68</v>
      </c>
      <c r="BN17" s="198" t="s">
        <v>69</v>
      </c>
      <c r="BO17" s="198" t="s">
        <v>70</v>
      </c>
      <c r="BP17" s="198" t="s">
        <v>71</v>
      </c>
      <c r="BQ17" s="198" t="s">
        <v>76</v>
      </c>
      <c r="BR17" s="198" t="s">
        <v>77</v>
      </c>
      <c r="BS17" s="198" t="s">
        <v>79</v>
      </c>
      <c r="BT17" s="198" t="s">
        <v>73</v>
      </c>
      <c r="BU17" s="198" t="s">
        <v>80</v>
      </c>
      <c r="BV17" s="198" t="s">
        <v>74</v>
      </c>
      <c r="BY17" s="183" t="s">
        <v>87</v>
      </c>
      <c r="BZ17" s="183" t="s">
        <v>89</v>
      </c>
      <c r="CA17" s="183" t="s">
        <v>88</v>
      </c>
    </row>
    <row r="18" spans="1:79" ht="165.75" hidden="1" customHeight="1" x14ac:dyDescent="0.2">
      <c r="A18" s="153">
        <v>1</v>
      </c>
      <c r="B18" s="154" t="s">
        <v>26</v>
      </c>
      <c r="C18" s="155" t="s">
        <v>27</v>
      </c>
      <c r="D18" s="155" t="s">
        <v>5</v>
      </c>
      <c r="E18" s="156" t="s">
        <v>28</v>
      </c>
      <c r="F18" s="155">
        <v>1</v>
      </c>
      <c r="G18" s="157" t="s">
        <v>29</v>
      </c>
      <c r="H18" s="158" t="s">
        <v>45</v>
      </c>
      <c r="I18" s="159">
        <v>62000000</v>
      </c>
      <c r="J18" s="160">
        <f>I18*19/100</f>
        <v>11780000</v>
      </c>
      <c r="K18" s="161">
        <f>I18+J18</f>
        <v>73780000</v>
      </c>
      <c r="L18" s="162">
        <f>K18</f>
        <v>73780000</v>
      </c>
      <c r="M18" s="163" t="s">
        <v>31</v>
      </c>
      <c r="N18" s="163" t="s">
        <v>30</v>
      </c>
      <c r="O18" s="163" t="s">
        <v>34</v>
      </c>
      <c r="P18" s="163"/>
      <c r="Q18" s="163"/>
      <c r="R18" s="163"/>
      <c r="S18" s="163"/>
      <c r="T18" s="163"/>
      <c r="U18" s="163"/>
      <c r="V18" s="163"/>
      <c r="W18" s="163"/>
      <c r="X18" s="163"/>
      <c r="Y18" s="155"/>
      <c r="Z18" s="157"/>
      <c r="AA18" s="155"/>
      <c r="AB18" s="130"/>
      <c r="AC18" s="163"/>
      <c r="AD18" s="163"/>
      <c r="AE18" s="163"/>
      <c r="AF18" s="163"/>
      <c r="AG18" s="163"/>
      <c r="AH18" s="164" t="s">
        <v>114</v>
      </c>
      <c r="AI18" s="165">
        <v>31200</v>
      </c>
      <c r="AJ18" s="164" t="s">
        <v>113</v>
      </c>
      <c r="AK18" s="165">
        <v>31200</v>
      </c>
      <c r="AL18" s="166">
        <v>31200</v>
      </c>
      <c r="AM18" s="167">
        <f>AL18*3790.88</f>
        <v>118275456</v>
      </c>
      <c r="AN18" s="157" t="s">
        <v>29</v>
      </c>
      <c r="AO18" s="213">
        <v>112413795</v>
      </c>
      <c r="AP18" s="213">
        <f>+AO18*19%</f>
        <v>21358621.050000001</v>
      </c>
      <c r="AQ18" s="213">
        <f>+AP18+AO18</f>
        <v>133772416.05</v>
      </c>
      <c r="AR18" s="213">
        <f>+AQ18</f>
        <v>133772416.05</v>
      </c>
      <c r="AS18" s="163">
        <v>60</v>
      </c>
      <c r="AT18" s="214" t="s">
        <v>36</v>
      </c>
      <c r="AU18" s="214" t="s">
        <v>43</v>
      </c>
      <c r="AW18" s="169">
        <v>15100</v>
      </c>
      <c r="AX18" s="169">
        <f>AW18*2.44%+AW18</f>
        <v>15468.44</v>
      </c>
      <c r="AY18" s="169">
        <f>AX18*1.81%+AX18</f>
        <v>15748.418764</v>
      </c>
      <c r="AZ18" s="169">
        <f>AY18*1.24%+AY18</f>
        <v>15943.6991566736</v>
      </c>
      <c r="BA18" s="169">
        <f>AZ18*4.69%+AZ18</f>
        <v>16691.458647121592</v>
      </c>
      <c r="BB18" s="205">
        <f>BA18*3790.88</f>
        <v>63275316.756200299</v>
      </c>
      <c r="BC18" s="205">
        <v>53222155.560000002</v>
      </c>
      <c r="BD18" s="205">
        <v>63334365.119999997</v>
      </c>
      <c r="BE18" s="205">
        <f>BD18*(118.7/103.8)</f>
        <v>72425714.255722553</v>
      </c>
      <c r="BF18" s="163"/>
      <c r="BG18" s="163"/>
      <c r="BH18" s="163"/>
      <c r="BI18" s="163"/>
      <c r="BJ18" s="215">
        <f>BE18</f>
        <v>72425714.255722553</v>
      </c>
      <c r="BL18" s="207">
        <f>MIN(BJ18,AO18,AM18,I18)</f>
        <v>62000000</v>
      </c>
      <c r="BM18" s="207">
        <f>MAX(BJ18,AO18,AM18,I18)</f>
        <v>118275456</v>
      </c>
      <c r="BN18" s="207">
        <f>AVERAGE(BJ18,AO18,AM18,I18)</f>
        <v>91278741.313930631</v>
      </c>
      <c r="BO18" s="207">
        <f>GEOMEAN(BJ18,AO18,AM18,I18)</f>
        <v>87902186.760975689</v>
      </c>
      <c r="BP18" s="207">
        <f>MEDIAN(BJ18,AO18,AM18,I18)</f>
        <v>92419754.627861276</v>
      </c>
      <c r="BQ18" s="207">
        <f>_xlfn.STDEV.S(BJ18,AO18,AM18,I18)</f>
        <v>28214620.443661615</v>
      </c>
      <c r="BR18" s="208">
        <f t="shared" ref="BR18" si="0">BQ18/BP18</f>
        <v>0.30528776620616466</v>
      </c>
      <c r="BS18" s="163">
        <v>60861945.649999999</v>
      </c>
      <c r="BT18" s="163" t="s">
        <v>78</v>
      </c>
      <c r="BU18" s="207">
        <f>BS18*0.19+BS18</f>
        <v>72425715.323499992</v>
      </c>
      <c r="BV18" s="163"/>
      <c r="BW18" s="209" t="s">
        <v>82</v>
      </c>
      <c r="BY18" s="163">
        <v>1</v>
      </c>
      <c r="BZ18" s="207">
        <f>BY18*BS18</f>
        <v>60861945.649999999</v>
      </c>
      <c r="CA18" s="207">
        <f>BY18*BU18</f>
        <v>72425715.323499992</v>
      </c>
    </row>
    <row r="19" spans="1:79" ht="12.75" hidden="1" customHeight="1" x14ac:dyDescent="0.2"/>
    <row r="20" spans="1:79" ht="12.75" hidden="1" customHeight="1" x14ac:dyDescent="0.2"/>
    <row r="21" spans="1:79" ht="12.75" hidden="1" customHeight="1" x14ac:dyDescent="0.2">
      <c r="BZ21" s="172"/>
    </row>
    <row r="22" spans="1:79" ht="12.75" hidden="1" customHeight="1" x14ac:dyDescent="0.2"/>
    <row r="23" spans="1:79" ht="12.75" hidden="1" customHeight="1" x14ac:dyDescent="0.2"/>
    <row r="24" spans="1:79" ht="12.75" hidden="1" customHeight="1" x14ac:dyDescent="0.2"/>
    <row r="25" spans="1:79" ht="12.75" hidden="1" customHeight="1" x14ac:dyDescent="0.2"/>
    <row r="26" spans="1:79" ht="12.75" hidden="1" customHeight="1" x14ac:dyDescent="0.2">
      <c r="BZ26" s="207">
        <f>+BZ10/3790.88</f>
        <v>160881</v>
      </c>
      <c r="CA26" s="207">
        <f>+BZ26*4150</f>
        <v>667656150</v>
      </c>
    </row>
    <row r="27" spans="1:79" ht="12.75" hidden="1" customHeight="1" x14ac:dyDescent="0.2"/>
    <row r="28" spans="1:79" ht="12.75" hidden="1" customHeight="1" x14ac:dyDescent="0.2"/>
    <row r="29" spans="1:79" ht="12.75" hidden="1" customHeight="1" x14ac:dyDescent="0.2">
      <c r="A29" s="168" t="s">
        <v>101</v>
      </c>
      <c r="B29" s="169" t="s">
        <v>102</v>
      </c>
    </row>
    <row r="30" spans="1:79" ht="12.75" hidden="1" customHeight="1" x14ac:dyDescent="0.2">
      <c r="A30" s="168"/>
      <c r="B30" s="170">
        <v>35</v>
      </c>
    </row>
    <row r="31" spans="1:79" ht="12.75" hidden="1" customHeight="1" x14ac:dyDescent="0.2">
      <c r="A31" s="168"/>
      <c r="B31" s="170">
        <v>36</v>
      </c>
      <c r="C31" s="77" t="s">
        <v>106</v>
      </c>
    </row>
    <row r="32" spans="1:79" ht="12.75" hidden="1" customHeight="1" x14ac:dyDescent="0.2">
      <c r="A32" s="168"/>
      <c r="B32" s="170">
        <v>37</v>
      </c>
    </row>
    <row r="33" spans="1:4" ht="12.75" hidden="1" customHeight="1" x14ac:dyDescent="0.2">
      <c r="A33" s="168"/>
      <c r="B33" s="170">
        <v>38</v>
      </c>
    </row>
    <row r="34" spans="1:4" ht="12.75" hidden="1" customHeight="1" x14ac:dyDescent="0.2">
      <c r="A34" s="168"/>
      <c r="B34" s="170">
        <v>39</v>
      </c>
      <c r="C34" s="77" t="s">
        <v>106</v>
      </c>
    </row>
    <row r="35" spans="1:4" ht="12.75" hidden="1" customHeight="1" x14ac:dyDescent="0.2">
      <c r="A35" s="171" t="s">
        <v>103</v>
      </c>
      <c r="B35" s="169"/>
      <c r="D35" s="172"/>
    </row>
    <row r="36" spans="1:4" ht="12.75" hidden="1" customHeight="1" x14ac:dyDescent="0.2">
      <c r="A36" s="168"/>
      <c r="B36" s="169"/>
    </row>
    <row r="37" spans="1:4" ht="12.75" hidden="1" customHeight="1" x14ac:dyDescent="0.2">
      <c r="A37" s="168" t="s">
        <v>104</v>
      </c>
      <c r="B37" s="169"/>
    </row>
    <row r="38" spans="1:4" ht="12.75" hidden="1" customHeight="1" x14ac:dyDescent="0.2">
      <c r="A38" s="168" t="s">
        <v>105</v>
      </c>
      <c r="B38" s="169"/>
    </row>
    <row r="39" spans="1:4" ht="12.75" hidden="1" customHeight="1" x14ac:dyDescent="0.2"/>
    <row r="40" spans="1:4" ht="12.75" hidden="1" customHeight="1" x14ac:dyDescent="0.2"/>
    <row r="41" spans="1:4" ht="12.75" hidden="1" customHeight="1" x14ac:dyDescent="0.2"/>
  </sheetData>
  <sheetProtection algorithmName="SHA-512" hashValue="fXv4dzSAN+ausC5HGrXHgnNJ/D6LYVgzcidQ0Gj8/nYQzHnyHdMUtriwAg/49fo6dUekx3MyN4B/7HCbv7iRmQ==" saltValue="7I/Z9gu1OihBTdQDT/E1ow==" spinCount="100000" sheet="1" objects="1" scenarios="1"/>
  <mergeCells count="34">
    <mergeCell ref="CE8:CF8"/>
    <mergeCell ref="CH8:CI8"/>
    <mergeCell ref="AN16:AQ16"/>
    <mergeCell ref="AW16:BB16"/>
    <mergeCell ref="BC16:BE16"/>
    <mergeCell ref="BF16:BI16"/>
    <mergeCell ref="A16:B16"/>
    <mergeCell ref="C16:G16"/>
    <mergeCell ref="H16:K16"/>
    <mergeCell ref="P16:S16"/>
    <mergeCell ref="Y16:AB16"/>
    <mergeCell ref="P14:R14"/>
    <mergeCell ref="Y14:AA14"/>
    <mergeCell ref="AN14:AP14"/>
    <mergeCell ref="A15:B15"/>
    <mergeCell ref="C15:G15"/>
    <mergeCell ref="H15:J15"/>
    <mergeCell ref="P15:R15"/>
    <mergeCell ref="Y15:AA15"/>
    <mergeCell ref="AN15:AP15"/>
    <mergeCell ref="A14:G14"/>
    <mergeCell ref="H14:J14"/>
    <mergeCell ref="A13:G13"/>
    <mergeCell ref="H13:J13"/>
    <mergeCell ref="P13:R13"/>
    <mergeCell ref="Y13:AA13"/>
    <mergeCell ref="AN13:AP13"/>
    <mergeCell ref="AW6:BJ6"/>
    <mergeCell ref="C8:G8"/>
    <mergeCell ref="AN2:AU2"/>
    <mergeCell ref="BL6:BU6"/>
    <mergeCell ref="BY7:BY8"/>
    <mergeCell ref="AW8:BB8"/>
    <mergeCell ref="BF8:BI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COTIZACIONES </vt:lpstr>
      <vt:lpstr>HISTORICOS</vt:lpstr>
      <vt:lpstr>ANALISIS</vt:lpstr>
      <vt:lpstr>VR. NECESIDAD EN PESOS</vt:lpstr>
      <vt:lpstr>PRIORIZACION- CUBRIMIENTO</vt:lpstr>
      <vt:lpstr>LOTE 34</vt:lpstr>
      <vt:lpstr>PRECIO REFER Y PTO OFICIAL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AS. JENNY GUERRA RIZO</dc:creator>
  <cp:lastModifiedBy>USER</cp:lastModifiedBy>
  <dcterms:created xsi:type="dcterms:W3CDTF">2021-02-03T16:47:37Z</dcterms:created>
  <dcterms:modified xsi:type="dcterms:W3CDTF">2022-08-26T22:56:18Z</dcterms:modified>
</cp:coreProperties>
</file>