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autoCompressPictures="0" defaultThemeVersion="124226"/>
  <bookViews>
    <workbookView xWindow="0" yWindow="0" windowWidth="15360" windowHeight="4935" tabRatio="871" firstSheet="8"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externalReferences>
    <externalReference r:id="rId14"/>
    <externalReference r:id="rId15"/>
    <externalReference r:id="rId16"/>
    <externalReference r:id="rId17"/>
  </externalReference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D26" i="28"/>
  <c r="C27"/>
  <c r="C33"/>
  <c r="C44"/>
  <c r="M6" i="43"/>
  <c r="M4"/>
  <c r="AD25" i="28"/>
  <c r="AA25"/>
  <c r="X25"/>
  <c r="R25"/>
  <c r="C25"/>
  <c r="O83" i="49"/>
  <c r="N83"/>
  <c r="M83"/>
  <c r="L83"/>
  <c r="K83"/>
  <c r="J62"/>
  <c r="J63"/>
  <c r="J83"/>
  <c r="I83"/>
  <c r="F83"/>
  <c r="E83"/>
  <c r="I62"/>
  <c r="I63"/>
  <c r="G9"/>
  <c r="D83"/>
  <c r="C83"/>
  <c r="B83"/>
  <c r="R58"/>
  <c r="Q58"/>
  <c r="P58"/>
  <c r="O58"/>
  <c r="N58"/>
  <c r="K37"/>
  <c r="K38"/>
  <c r="M58"/>
  <c r="L58"/>
  <c r="J58"/>
  <c r="I58"/>
  <c r="H58"/>
  <c r="G58"/>
  <c r="F58"/>
  <c r="E58"/>
  <c r="D58"/>
  <c r="C58"/>
  <c r="B58"/>
  <c r="I37"/>
  <c r="I38"/>
  <c r="F9"/>
  <c r="J37"/>
  <c r="J38"/>
  <c r="T33"/>
  <c r="S33"/>
  <c r="R33"/>
  <c r="Q33"/>
  <c r="P33"/>
  <c r="O33"/>
  <c r="N33"/>
  <c r="M33"/>
  <c r="L33"/>
  <c r="K33"/>
  <c r="J33"/>
  <c r="I33"/>
  <c r="H33"/>
  <c r="G33"/>
  <c r="J12"/>
  <c r="J13"/>
  <c r="F33"/>
  <c r="E33"/>
  <c r="D33"/>
  <c r="C33"/>
  <c r="B33"/>
  <c r="I12"/>
  <c r="I13"/>
  <c r="E9"/>
  <c r="K12"/>
  <c r="K13"/>
  <c r="H9"/>
  <c r="C9"/>
  <c r="A8"/>
  <c r="D9"/>
  <c r="U25" i="28"/>
  <c r="I33"/>
  <c r="O33"/>
  <c r="L33"/>
  <c r="E23" i="48"/>
  <c r="E22"/>
  <c r="E24"/>
  <c r="J26" i="28"/>
  <c r="M26"/>
  <c r="P26"/>
  <c r="S26"/>
  <c r="R27"/>
  <c r="R33"/>
  <c r="V26"/>
  <c r="Y26"/>
  <c r="AB26"/>
  <c r="AE26"/>
  <c r="C16" i="43"/>
  <c r="A9" i="28"/>
  <c r="B9" i="46"/>
  <c r="AD27" i="28"/>
  <c r="AD33"/>
  <c r="AA27"/>
  <c r="AA33"/>
  <c r="X27"/>
  <c r="X33"/>
  <c r="U27"/>
  <c r="U33"/>
  <c r="D45"/>
  <c r="L25"/>
  <c r="C45"/>
  <c r="F12" i="48"/>
  <c r="E10" i="47"/>
  <c r="D10" i="46"/>
  <c r="B11" i="48"/>
  <c r="A9" i="47"/>
  <c r="E18"/>
  <c r="F23" i="48"/>
  <c r="K16"/>
  <c r="F24"/>
  <c r="E10" i="44"/>
  <c r="E18" i="46"/>
  <c r="E19"/>
  <c r="D23" i="44"/>
  <c r="F17" i="48"/>
  <c r="K18"/>
  <c r="C54" i="28"/>
  <c r="K15" i="48"/>
  <c r="K17"/>
  <c r="J12"/>
  <c r="C80" i="22"/>
  <c r="D42" i="18"/>
  <c r="B24" i="19"/>
  <c r="C24"/>
  <c r="D24"/>
  <c r="E24"/>
  <c r="B26"/>
  <c r="B38"/>
  <c r="B40"/>
  <c r="D38"/>
  <c r="B66"/>
  <c r="D66"/>
  <c r="B80"/>
  <c r="D80"/>
  <c r="B82"/>
  <c r="B94"/>
  <c r="C94"/>
  <c r="D94"/>
  <c r="E94"/>
  <c r="F94"/>
  <c r="H94"/>
  <c r="B108"/>
  <c r="B110"/>
  <c r="B24" i="20"/>
  <c r="B26"/>
  <c r="F24" i="22"/>
  <c r="E24"/>
  <c r="D24"/>
  <c r="C24"/>
  <c r="B24"/>
  <c r="I108"/>
  <c r="F80"/>
  <c r="E94" i="21"/>
  <c r="B38" i="22"/>
  <c r="C38"/>
  <c r="D38"/>
  <c r="E38"/>
  <c r="F38"/>
  <c r="G38"/>
  <c r="H38"/>
  <c r="I38"/>
  <c r="J38"/>
  <c r="K38"/>
  <c r="L38"/>
  <c r="M38"/>
  <c r="N38"/>
  <c r="O38"/>
  <c r="B52"/>
  <c r="B66"/>
  <c r="B68"/>
  <c r="B80"/>
  <c r="B82"/>
  <c r="B94"/>
  <c r="C94"/>
  <c r="D94"/>
  <c r="B108"/>
  <c r="C108"/>
  <c r="D108"/>
  <c r="E108"/>
  <c r="F108"/>
  <c r="G108"/>
  <c r="B24" i="21"/>
  <c r="C24"/>
  <c r="D24"/>
  <c r="E24"/>
  <c r="F24"/>
  <c r="G24"/>
  <c r="H24"/>
  <c r="I24"/>
  <c r="J24"/>
  <c r="K24"/>
  <c r="L24"/>
  <c r="M24"/>
  <c r="N24"/>
  <c r="O24"/>
  <c r="P24"/>
  <c r="Q24"/>
  <c r="R24"/>
  <c r="S24"/>
  <c r="T24"/>
  <c r="B38"/>
  <c r="C38"/>
  <c r="D38"/>
  <c r="E38"/>
  <c r="F38"/>
  <c r="G38"/>
  <c r="H38"/>
  <c r="I38"/>
  <c r="J38"/>
  <c r="K38"/>
  <c r="L38"/>
  <c r="M38"/>
  <c r="N38"/>
  <c r="O38"/>
  <c r="P38"/>
  <c r="Q38"/>
  <c r="R38"/>
  <c r="S38"/>
  <c r="T38"/>
  <c r="U38"/>
  <c r="V38"/>
  <c r="W38"/>
  <c r="B52"/>
  <c r="C52"/>
  <c r="D52"/>
  <c r="E52"/>
  <c r="F52"/>
  <c r="G52"/>
  <c r="H52"/>
  <c r="I52"/>
  <c r="J52"/>
  <c r="K52"/>
  <c r="B66"/>
  <c r="C66"/>
  <c r="D66"/>
  <c r="E66"/>
  <c r="F66"/>
  <c r="G66"/>
  <c r="H66"/>
  <c r="I66"/>
  <c r="J66"/>
  <c r="K66"/>
  <c r="L66"/>
  <c r="M66"/>
  <c r="N66"/>
  <c r="O66"/>
  <c r="P66"/>
  <c r="Q66"/>
  <c r="R66"/>
  <c r="S66"/>
  <c r="T66"/>
  <c r="U66"/>
  <c r="B80"/>
  <c r="C80"/>
  <c r="D80"/>
  <c r="E80"/>
  <c r="F80"/>
  <c r="G80"/>
  <c r="H80"/>
  <c r="I80"/>
  <c r="J80"/>
  <c r="K80"/>
  <c r="L80"/>
  <c r="M80"/>
  <c r="N80"/>
  <c r="O80"/>
  <c r="P80"/>
  <c r="Q80"/>
  <c r="R80"/>
  <c r="S80"/>
  <c r="T80"/>
  <c r="U80"/>
  <c r="V80"/>
  <c r="B94"/>
  <c r="B96"/>
  <c r="B108"/>
  <c r="B110"/>
  <c r="D52" i="19"/>
  <c r="F42" i="18"/>
  <c r="B26"/>
  <c r="B137" i="17"/>
  <c r="B138"/>
  <c r="J131"/>
  <c r="B111"/>
  <c r="B112"/>
  <c r="B85"/>
  <c r="B59"/>
  <c r="B60"/>
  <c r="J49"/>
  <c r="B49"/>
  <c r="D49"/>
  <c r="F49"/>
  <c r="H49"/>
  <c r="J24"/>
  <c r="H24"/>
  <c r="F24"/>
  <c r="D24"/>
  <c r="B25"/>
  <c r="B34"/>
  <c r="B35"/>
  <c r="B24"/>
  <c r="B38" i="20"/>
  <c r="B40"/>
  <c r="B52"/>
  <c r="B54"/>
  <c r="B66"/>
  <c r="B68"/>
  <c r="B80"/>
  <c r="B82"/>
  <c r="B94"/>
  <c r="B96"/>
  <c r="B108"/>
  <c r="B110"/>
  <c r="B52" i="19"/>
  <c r="B42" i="18"/>
  <c r="C42"/>
  <c r="B56"/>
  <c r="B58"/>
  <c r="B70"/>
  <c r="B72"/>
  <c r="B84"/>
  <c r="B86"/>
  <c r="B98"/>
  <c r="B100"/>
  <c r="B112"/>
  <c r="B114"/>
  <c r="B86" i="17"/>
  <c r="B96" i="19"/>
  <c r="B68"/>
  <c r="B12"/>
  <c r="B26" i="22"/>
  <c r="B40"/>
  <c r="B82" i="21"/>
  <c r="B68"/>
  <c r="B54"/>
  <c r="B26"/>
  <c r="B96" i="22"/>
  <c r="B12" i="20"/>
  <c r="B110" i="22"/>
  <c r="B44" i="18"/>
  <c r="B12"/>
  <c r="B12" i="22"/>
  <c r="F18" i="48"/>
  <c r="H12"/>
  <c r="B12" i="21"/>
  <c r="F22" i="48"/>
</calcChain>
</file>

<file path=xl/sharedStrings.xml><?xml version="1.0" encoding="utf-8"?>
<sst xmlns="http://schemas.openxmlformats.org/spreadsheetml/2006/main" count="2058" uniqueCount="731">
  <si>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</si>
  <si>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</si>
  <si>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</si>
  <si>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</si>
  <si>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</si>
  <si>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</si>
  <si>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</si>
  <si>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</si>
  <si>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</si>
  <si>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</si>
  <si>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</si>
  <si>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</si>
  <si>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</si>
  <si>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</si>
  <si>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</si>
  <si>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</si>
  <si>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</si>
  <si>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</si>
  <si>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</si>
  <si>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</si>
  <si>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</si>
  <si>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</si>
  <si>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</si>
  <si>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</si>
  <si>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</si>
  <si>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</si>
  <si>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</si>
  <si>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</si>
  <si>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</si>
  <si>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</si>
  <si>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</si>
  <si>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</si>
  <si>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</si>
  <si>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</si>
  <si>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</si>
  <si>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</si>
  <si>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</si>
  <si>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</si>
  <si>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</si>
  <si>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</si>
  <si>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</si>
  <si>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</si>
  <si>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</si>
  <si>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</si>
  <si>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</si>
  <si>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</si>
  <si>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</si>
  <si>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</si>
  <si>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</si>
  <si>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</si>
  <si>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</si>
  <si>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</si>
  <si>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</si>
  <si>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</si>
  <si>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</si>
  <si>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</si>
  <si>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</si>
  <si>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</si>
  <si>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</si>
  <si>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</si>
  <si>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</si>
  <si>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</si>
  <si>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</si>
  <si>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</si>
  <si>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</si>
  <si>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</si>
  <si>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</si>
  <si>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</si>
  <si>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</si>
  <si>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</si>
  <si>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</si>
  <si>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</si>
  <si>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</si>
  <si>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</si>
  <si>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</si>
  <si>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</si>
  <si>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</si>
  <si>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</si>
  <si>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</si>
  <si>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</si>
  <si>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</si>
  <si>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</si>
  <si>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</si>
  <si>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</si>
  <si>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</si>
  <si>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</si>
  <si>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</si>
  <si>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</si>
  <si>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</si>
  <si>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</si>
  <si>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</si>
  <si>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</si>
  <si>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</si>
  <si>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</si>
  <si>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</si>
  <si>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</si>
  <si>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</si>
  <si>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</si>
  <si>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</si>
  <si>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</si>
  <si>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</si>
  <si>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</si>
  <si>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</si>
  <si>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</si>
  <si>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</si>
  <si>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</si>
  <si>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</si>
  <si>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</si>
  <si>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</si>
  <si>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</si>
  <si>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</si>
  <si>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</si>
  <si>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</si>
  <si>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</si>
  <si>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</si>
  <si>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</si>
  <si>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</si>
  <si>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</si>
  <si>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</si>
  <si>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</si>
  <si>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</si>
  <si>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</si>
  <si>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</si>
  <si>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</si>
  <si>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</si>
  <si>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</si>
  <si>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</si>
  <si>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</si>
  <si>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</si>
  <si>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</si>
  <si>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</si>
  <si>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</si>
  <si>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</si>
  <si>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</si>
  <si>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</si>
  <si>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</si>
  <si>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</si>
  <si>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</si>
  <si>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</si>
  <si>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</si>
  <si>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</si>
  <si>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</si>
  <si>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</si>
  <si>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</si>
  <si>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</si>
  <si>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</si>
  <si>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</si>
  <si>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</si>
  <si>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</si>
  <si>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</si>
  <si>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</si>
  <si>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</si>
  <si>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</si>
  <si>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</si>
  <si>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</si>
  <si>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</si>
  <si>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</si>
  <si>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</si>
  <si>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</si>
  <si>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</si>
  <si>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</si>
  <si>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</si>
  <si>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</si>
  <si>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</si>
  <si>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</si>
  <si>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</si>
  <si>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</si>
  <si>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</si>
  <si>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</si>
  <si>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</si>
  <si>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</si>
  <si>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</si>
  <si>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</si>
  <si>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</si>
  <si>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</si>
  <si>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</si>
  <si>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</si>
  <si>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</si>
  <si>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</si>
  <si>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</si>
  <si>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</si>
  <si>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</si>
  <si>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</si>
  <si>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</si>
  <si>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</si>
  <si>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</si>
  <si>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</si>
  <si>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</si>
  <si>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</si>
  <si>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</si>
  <si>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</si>
  <si>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</si>
  <si>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</si>
  <si>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</si>
  <si>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</si>
  <si>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</si>
  <si>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</si>
  <si>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</si>
  <si>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</si>
  <si>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</si>
  <si>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</si>
  <si>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</si>
  <si>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</si>
  <si>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</si>
  <si>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</si>
  <si>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</si>
  <si>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</si>
  <si>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</si>
  <si>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</si>
  <si>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</si>
  <si>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</si>
  <si>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</si>
  <si>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</si>
  <si>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</si>
  <si>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</si>
  <si>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</si>
  <si>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</si>
  <si>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</si>
  <si>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</si>
  <si>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</si>
  <si>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</si>
  <si>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</si>
  <si>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</si>
  <si>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</si>
  <si>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</si>
  <si>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</si>
  <si>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</si>
  <si>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</si>
  <si>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</si>
  <si>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</si>
  <si>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</si>
  <si>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</si>
  <si>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</si>
  <si>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</si>
  <si>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</si>
  <si>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</si>
  <si>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</si>
  <si>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</si>
  <si>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</si>
  <si>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</si>
  <si>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</si>
  <si>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</si>
  <si>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</si>
  <si>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</si>
  <si>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</si>
  <si>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</si>
  <si>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</si>
  <si>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</si>
  <si>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</si>
  <si>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</si>
  <si>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</si>
  <si>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</si>
  <si>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</si>
  <si>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</si>
  <si>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</si>
  <si>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</si>
  <si>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</si>
  <si>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</si>
  <si>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</si>
  <si>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</si>
  <si>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</si>
  <si>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</si>
  <si>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</si>
  <si>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</si>
  <si>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</si>
  <si>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</si>
  <si>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</si>
  <si>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</si>
  <si>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</si>
  <si>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</si>
  <si>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</si>
  <si>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</si>
  <si>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</si>
  <si>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</si>
  <si>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</si>
  <si>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</si>
  <si>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</si>
  <si>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</si>
  <si>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</si>
  <si>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</si>
  <si>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</si>
  <si>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</si>
  <si>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</si>
  <si>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</si>
  <si>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</si>
  <si>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</si>
  <si>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</si>
  <si>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</si>
  <si>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</si>
  <si>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</si>
  <si>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</si>
  <si>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</si>
  <si>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</si>
  <si>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</si>
  <si>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</si>
  <si>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</si>
  <si>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</si>
  <si>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</si>
  <si>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</si>
  <si>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</si>
  <si>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</si>
  <si>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</si>
  <si>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</si>
  <si>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</si>
  <si>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</si>
  <si>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</si>
  <si>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</si>
  <si>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</si>
  <si>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</si>
  <si>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</si>
  <si>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</si>
  <si>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</si>
  <si>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</si>
  <si>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</si>
  <si>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</si>
  <si>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</si>
  <si>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</si>
  <si>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</si>
  <si>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</si>
  <si>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</si>
  <si>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</si>
  <si>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</si>
  <si>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</si>
  <si>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</si>
  <si>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</si>
  <si>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</si>
  <si>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</si>
  <si>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</si>
  <si>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</si>
  <si>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</si>
  <si>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</si>
  <si>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</si>
  <si>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</si>
  <si>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</si>
  <si>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</si>
  <si>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</si>
  <si>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</si>
  <si>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</si>
  <si>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</si>
  <si>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</si>
  <si>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</si>
  <si>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</si>
  <si>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</si>
  <si>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</si>
  <si>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</si>
  <si>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</si>
  <si>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</si>
  <si>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</si>
  <si>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</si>
  <si>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</si>
  <si>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</si>
  <si>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</si>
  <si>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</si>
  <si>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</si>
  <si>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</si>
  <si>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</si>
  <si>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</si>
  <si>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</si>
  <si>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</si>
  <si>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</si>
  <si>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</si>
  <si>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</si>
  <si>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</si>
  <si>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</si>
  <si>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</si>
  <si>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</si>
  <si>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</si>
  <si>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</si>
  <si>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</si>
  <si>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</si>
  <si>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</si>
  <si>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</si>
  <si>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</si>
  <si>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</si>
  <si>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</si>
  <si>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</si>
  <si>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</si>
  <si>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</si>
  <si>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</si>
  <si>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</si>
  <si>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</si>
  <si>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</si>
  <si>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</si>
  <si>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</si>
  <si>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</si>
  <si>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</si>
  <si>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</si>
  <si>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</si>
  <si>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</si>
  <si>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</si>
  <si>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</si>
  <si>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</si>
  <si>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</si>
  <si>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</si>
  <si>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</si>
  <si>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</si>
  <si>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</si>
  <si>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</si>
  <si>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</si>
  <si>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</si>
  <si>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</si>
  <si>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</si>
  <si>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</si>
  <si>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</si>
  <si>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</si>
  <si>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</si>
  <si>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</si>
  <si>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</si>
  <si>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</si>
  <si>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</si>
  <si>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</si>
  <si>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</si>
  <si>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</si>
  <si>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</si>
  <si>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</si>
  <si>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</si>
  <si>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</si>
  <si>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</si>
  <si>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</si>
  <si>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</si>
  <si>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</si>
  <si>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</si>
  <si>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</si>
  <si>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</si>
  <si>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</si>
  <si>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</si>
  <si>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</si>
  <si>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</si>
  <si>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</si>
  <si>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</si>
  <si>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</si>
  <si>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</si>
  <si>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</si>
  <si>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</si>
  <si>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</si>
  <si>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</si>
  <si>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</si>
  <si>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</si>
  <si>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</si>
  <si>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</si>
  <si>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</si>
  <si>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</si>
  <si>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</si>
  <si>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</si>
  <si>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</si>
  <si>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</si>
  <si>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</si>
  <si>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</si>
  <si>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</si>
  <si>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</si>
  <si>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</si>
  <si>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</si>
  <si>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</si>
  <si>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</si>
  <si>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</si>
  <si>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</si>
  <si>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</si>
  <si>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</si>
  <si>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</si>
  <si>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</si>
  <si>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</si>
  <si>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</si>
  <si>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</si>
  <si>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</si>
  <si>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</si>
  <si>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</si>
  <si>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</si>
  <si>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</si>
  <si>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</si>
  <si>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</si>
  <si>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</si>
  <si>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</si>
  <si>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</si>
  <si>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</si>
  <si>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</si>
  <si>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</si>
  <si>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</si>
  <si>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</si>
  <si>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</si>
  <si>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</si>
  <si>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</si>
  <si>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</si>
  <si>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</si>
  <si>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</si>
  <si>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</si>
  <si>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</si>
  <si>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</si>
  <si>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</si>
  <si>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</si>
  <si>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</si>
  <si>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</si>
  <si>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</si>
  <si>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</si>
  <si>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</si>
  <si>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</si>
  <si>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</si>
  <si>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</si>
  <si>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</si>
  <si>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</si>
  <si>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</si>
  <si>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</si>
  <si>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</si>
  <si>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</si>
  <si>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</si>
  <si>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</si>
  <si>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</si>
  <si>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</si>
  <si>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</si>
  <si>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</si>
  <si>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</si>
  <si>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</si>
  <si>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</si>
  <si>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</si>
  <si>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</si>
  <si>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</si>
  <si>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</si>
  <si>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</si>
  <si>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</si>
  <si>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</si>
  <si>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</si>
  <si>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</si>
  <si>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</si>
  <si>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</si>
  <si>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</si>
  <si>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</si>
  <si>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</si>
  <si>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</si>
  <si>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</si>
  <si>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</si>
  <si>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</si>
  <si>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</si>
  <si>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</si>
  <si>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</si>
  <si>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</si>
  <si>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</si>
  <si>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</si>
  <si>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</si>
  <si>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</si>
  <si>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</si>
  <si>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</si>
  <si>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</si>
  <si>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</si>
  <si>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</si>
  <si>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</si>
  <si>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</si>
  <si>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</si>
  <si>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</si>
  <si>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</si>
  <si>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</si>
  <si>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</si>
  <si>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</si>
  <si>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</si>
  <si>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</si>
  <si>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</si>
  <si>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</si>
  <si>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</si>
  <si>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</si>
  <si>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</si>
  <si>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</si>
  <si>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</si>
  <si>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</si>
  <si>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</si>
  <si>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</si>
  <si>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</si>
  <si>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</si>
  <si>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</si>
  <si>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</si>
  <si>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</si>
  <si>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</si>
  <si>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</si>
  <si>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</si>
  <si>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</si>
  <si>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</si>
  <si>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</si>
  <si>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</si>
  <si>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</si>
  <si>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</si>
  <si>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</si>
  <si>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</si>
  <si>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</si>
  <si>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</si>
  <si>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</si>
  <si>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</si>
  <si>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</si>
  <si>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</si>
  <si>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</si>
  <si>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</si>
  <si>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</si>
  <si>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</si>
  <si>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</si>
  <si>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</si>
  <si>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</si>
  <si>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</si>
  <si>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</si>
  <si>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</si>
  <si>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</si>
  <si>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</si>
  <si>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</si>
  <si>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</si>
  <si>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</si>
  <si>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</si>
  <si>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</si>
  <si>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</si>
  <si>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</si>
  <si>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</si>
  <si>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</si>
  <si>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</si>
  <si>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</si>
  <si>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</si>
  <si>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</si>
  <si>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</si>
  <si>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</si>
  <si>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</si>
  <si>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</si>
  <si>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</si>
  <si>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</si>
  <si>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</si>
  <si>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</si>
  <si>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</si>
  <si>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</si>
  <si>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</si>
  <si>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</si>
  <si>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</si>
  <si>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</si>
  <si>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</si>
  <si>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</si>
  <si>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</si>
  <si>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</si>
  <si>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</si>
  <si>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</si>
  <si>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</si>
  <si>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</si>
  <si>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</si>
  <si>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</si>
  <si>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</si>
  <si>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</si>
  <si>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t>
  </si>
  <si>
    <t>CUMPLE CON LA EXPERIENCIA ADICIONAL</t>
  </si>
  <si>
    <t>CODIGOS UNSPSC</t>
  </si>
  <si>
    <t>EVALUACIÓN CONCURSO DE MÉRITOS No. SED-CM-A-DBE-004-2019</t>
  </si>
  <si>
    <t>Año 2006</t>
  </si>
  <si>
    <t>Año 2005</t>
  </si>
  <si>
    <t>Año 2004</t>
  </si>
  <si>
    <t>Año 2003</t>
  </si>
  <si>
    <t>Año 2002</t>
  </si>
  <si>
    <t>CONSORCIO AUDISED</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</si>
  <si>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</si>
  <si>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</si>
  <si>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</si>
  <si>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</si>
  <si>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</si>
  <si>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</si>
  <si>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</si>
  <si>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</si>
  <si>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</si>
  <si>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</si>
  <si>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</si>
  <si>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</si>
  <si>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</si>
  <si>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</si>
  <si>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</si>
  <si>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</si>
  <si>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</si>
  <si>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</si>
  <si>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</si>
  <si>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</si>
  <si>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PRESUPUESTO PUNTUABLE</t>
  </si>
  <si>
    <t>CONSULTORIA INTERVENTORIA INSTALACIONES Y AUDITORIA DE TELECOMUNICACIONES S.A. CIATEL S.A.</t>
  </si>
  <si>
    <t>830.084.789-3</t>
  </si>
  <si>
    <t>KRESTON RM S.A.</t>
  </si>
  <si>
    <t>800.059.311-2</t>
  </si>
  <si>
    <t>MINISTERIO DE EDUCACION NACIONAL</t>
  </si>
  <si>
    <t>CALLE 43 No. 57-14 CAN</t>
  </si>
  <si>
    <t>6-11</t>
  </si>
  <si>
    <t>LUZ KARIME JAIMES BONILLA - SUBDIRECTORA DE CONTRATACION</t>
  </si>
  <si>
    <t>CIATEL S.A.</t>
  </si>
  <si>
    <t>SUPERINTENDENCIA DE SERVICIOS PUBLICOS DOMICILIARIOS</t>
  </si>
  <si>
    <t>5-6</t>
  </si>
  <si>
    <t xml:space="preserve">ADRIANA ROJAS RODRIGUEZ - COORDINADORA GRUPO DE CONTRATOS </t>
  </si>
  <si>
    <t>Evaluar el desarrollo y operación de los procesos de facturación de las siguientes enpresas: ETB, como operador local y de larga distancia, Colombia Telecomunicaciones en los centros de facvturación Cartagena y Bogota y EPM Medellín</t>
  </si>
  <si>
    <t>Carrera 18 No. 84-35</t>
  </si>
  <si>
    <t>Prestar sus servicios profesionales consistentes en realizar visitas de inspección y pruebas tendientes a determinar el grado de cumplimiento de la ley y la regulación en loo referente al proceso de tasdación utilizado por algunos de los operadores de telefonía pública basica conmutada local</t>
  </si>
  <si>
    <t>17</t>
  </si>
  <si>
    <t>JULIETA RIVEROS GONZALEZ - COORDINADORA DEL GRUPO DE CONTRATOS</t>
  </si>
  <si>
    <t>ASOCIACIÓN COMPUTADORES PARA EDUCAR</t>
  </si>
  <si>
    <t xml:space="preserve">CARRERA 11 No. 71-73 </t>
  </si>
  <si>
    <t>CONSORCIO ACCESSTIC</t>
  </si>
  <si>
    <t>67-16</t>
  </si>
  <si>
    <t>30</t>
  </si>
  <si>
    <t>CONSORCIO AUDITORIA TRAESCOL</t>
  </si>
  <si>
    <t xml:space="preserve">El valor del contrato indicado en el Anxo No. 9 no corresponde al que se hace constar en la certificación anexa </t>
  </si>
  <si>
    <t>ILIANA MARIA PINEDA ECHEVERRI - COORDINADORA CONTRATACIÓN</t>
  </si>
  <si>
    <t xml:space="preserve">MINISTERIO DE EDUCACIÓN </t>
  </si>
  <si>
    <t>CALLE 43 No. 57-14</t>
  </si>
  <si>
    <t>KRESTON</t>
  </si>
  <si>
    <t>Realizar la interventoria legal, financiera, adminsitrativa y técnica al contrato de cobranza de aportes parafiscales ley 21</t>
  </si>
  <si>
    <t>54-57</t>
  </si>
  <si>
    <t xml:space="preserve">FEDERACIÓN NACIONAL DE DEPARTAMENTOS </t>
  </si>
  <si>
    <t xml:space="preserve">AVENIDA CALLE 26 No. 69B-53 </t>
  </si>
  <si>
    <t xml:space="preserve">Auditar la ejecución de los recursos entregados por la Philip Morris a la Federación Nacional de Departamentos en el marco del Acuerdo de Inversiones y Cooperaicón AI&amp;C </t>
  </si>
  <si>
    <t>73</t>
  </si>
  <si>
    <t>MARIA ANAYME BARON DURAN - SUBDIRECTORA ADMINISTRATIVA Y FINANCIERA</t>
  </si>
  <si>
    <t>DUNIA SEMMIR MONTANEZ JIMENEZ - SUBDIRECTORA DE CONTRATACION</t>
  </si>
  <si>
    <t>ARIEL AHUMEDO BRAVO</t>
  </si>
  <si>
    <t>CONTADOR
PUBLICO</t>
  </si>
  <si>
    <t>REVISORIA FISCAL Y AUDITORIA FORENSE</t>
  </si>
  <si>
    <t>125209-T</t>
  </si>
  <si>
    <t>GERENTE DE AUDITORIA FINANCIERA, ASEGURAMIENTO E IMPUESTOS</t>
  </si>
  <si>
    <t>SE TIENE EN CUENTA EL INCIO DE EXPERIENCIA PROFESIONAL DESDE LA EXPEDICION DE LA TARJETA PROFESIONAL (08/03/2007)</t>
  </si>
  <si>
    <t>CESAR EDURDO MEDRANO MARTINEZ</t>
  </si>
  <si>
    <t>CONTADOR PÚBLICO</t>
  </si>
  <si>
    <t>128420-T</t>
  </si>
  <si>
    <t>AUDITING FIRMS GROUP-AFG</t>
  </si>
  <si>
    <t>DIRECTOR DE AUDITORIA</t>
  </si>
  <si>
    <t>INGENIERO DE SISTEMAS</t>
  </si>
  <si>
    <t>25255-097904 CND</t>
  </si>
  <si>
    <t>43</t>
  </si>
  <si>
    <t>DIRECTORA DE SOFWARE Y TELECOMUNICACIONES</t>
  </si>
  <si>
    <t>LINK PRACTICAL SOLUTIONES IT S.A.S.</t>
  </si>
  <si>
    <t>4</t>
  </si>
  <si>
    <t>Realizar la interventoría administrativa, técnica y financiera al contrato de Encargo Fiduciario Nº 955 de 2008 (código 3-1-0405) celebrado entre el Ministerio de Educación Nacional - MEN Y la Sociedad Fiduciaria  La Previsora S.A., cuyo objeto es: "Administrar los recursos provenientes del Sistema General de Participaciones -SGP, sector educación.</t>
  </si>
  <si>
    <t>370-04</t>
  </si>
  <si>
    <t>321-03</t>
  </si>
  <si>
    <t>Realizar interventoria administrativa, tecnica, financiera, contable y juridica a los contratos de la prestacion del servicio de los operadores de la estrategia de acceso y a los operadores de los servicios en zona ofrecidos por computadores para educar para la vigencia 2016, para la region 2 conformada por los departamentos de amazonas, antioquia, caldas, chaqueta, huila, putumayo, quindio, risaralda, tolima, cauca, Choco, nariño, valle del cauca, los cuales corresponden a las regiones 3 pacifico y centro sur, y 4 eje cafetero - antioquia, de la estrategia de acceso y a la region 2 eje cafetero centro - sur pacifico de servicios en zona de acuerdo con lo dispuesto en los estufios previos, pliego de condiciones y sus anexos y la oferta presentada por el ontratista dentro del concurso de meritos no. 002 de 2016, los cuales hacen parte integral del contrato</t>
  </si>
  <si>
    <t>La certificación del contrato no establece la fecha de inicio del contrato y el Acta de Liquidación contiene una fecha que induce a error porque indica fecha posterior a la fecha de terminación del contrato. En estos documentos tampoco se señala el valor total del contrato, por tanto se calcula restando el saldo a liberar a favor de la entidad contratante y se verifica el valor con el RUP</t>
  </si>
  <si>
    <t>VANESSA AMAYA QUINTERO</t>
  </si>
  <si>
    <t>DIANA CRISTINA SEVILLA PALECHOR</t>
  </si>
  <si>
    <t>18</t>
  </si>
  <si>
    <t>31</t>
  </si>
  <si>
    <t xml:space="preserve">El contrato no se incluye para el computo de experiencia adicional porque no cumple con las exigencia de la experiencia especìfica requerida en el punto 5,2,1,4 de los pliegos </t>
  </si>
  <si>
    <t>Auditoria Externa</t>
  </si>
</sst>
</file>

<file path=xl/styles.xml><?xml version="1.0" encoding="utf-8"?>
<styleSheet xmlns="http://schemas.openxmlformats.org/spreadsheetml/2006/main">
  <numFmts count="10">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3">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sz val="15"/>
      <color theme="1"/>
      <name val="Calibri"/>
      <family val="2"/>
      <scheme val="minor"/>
    </font>
    <font>
      <b/>
      <sz val="15"/>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15"/>
      <name val="Calibri"/>
      <family val="2"/>
      <scheme val="minor"/>
    </font>
    <font>
      <sz val="8"/>
      <name val="Calibri"/>
      <family val="2"/>
      <scheme val="minor"/>
    </font>
    <font>
      <sz val="7"/>
      <color theme="1"/>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b/>
      <sz val="16"/>
      <name val="Calibri"/>
      <family val="2"/>
      <scheme val="minor"/>
    </font>
    <font>
      <sz val="15"/>
      <name val="Calibri"/>
      <family val="2"/>
      <scheme val="minor"/>
    </font>
    <font>
      <b/>
      <sz val="10"/>
      <name val="Arial"/>
      <family val="2"/>
    </font>
    <font>
      <b/>
      <sz val="20"/>
      <name val="Calibri"/>
      <family val="2"/>
      <scheme val="minor"/>
    </font>
    <font>
      <sz val="12"/>
      <name val="Calibri"/>
      <family val="2"/>
      <scheme val="minor"/>
    </font>
    <font>
      <sz val="14"/>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indexed="64"/>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indexed="64"/>
      </right>
      <top/>
      <bottom style="medium">
        <color indexed="64"/>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medium">
        <color auto="1"/>
      </right>
      <top/>
      <bottom style="thin">
        <color auto="1"/>
      </bottom>
      <diagonal/>
    </border>
  </borders>
  <cellStyleXfs count="577">
    <xf numFmtId="0" fontId="0" fillId="0" borderId="0"/>
    <xf numFmtId="167"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4" fillId="0" borderId="0"/>
    <xf numFmtId="165" fontId="2" fillId="0" borderId="0" applyFont="0" applyFill="0" applyBorder="0" applyAlignment="0" applyProtection="0"/>
    <xf numFmtId="164" fontId="2" fillId="0" borderId="0" applyFont="0" applyFill="0" applyBorder="0" applyAlignment="0" applyProtection="0"/>
  </cellStyleXfs>
  <cellXfs count="790">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43"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166"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0" xfId="0" applyAlignment="1">
      <alignment horizontal="center" vertical="center"/>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0"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30" fillId="0" borderId="0" xfId="0" applyFont="1" applyFill="1" applyAlignment="1">
      <alignment vertical="center"/>
    </xf>
    <xf numFmtId="0" fontId="29" fillId="0" borderId="0" xfId="0" applyFont="1" applyAlignment="1">
      <alignment horizontal="center" vertical="center" wrapText="1"/>
    </xf>
    <xf numFmtId="0" fontId="30"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2" fillId="11" borderId="1" xfId="0" applyFont="1" applyFill="1" applyBorder="1" applyAlignment="1">
      <alignment horizontal="center" vertical="center" wrapText="1"/>
    </xf>
    <xf numFmtId="0" fontId="33" fillId="11" borderId="1"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8"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0" fillId="0" borderId="0" xfId="0" applyFont="1" applyFill="1" applyAlignment="1">
      <alignment horizontal="center" vertical="center"/>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164" fontId="0" fillId="0" borderId="0" xfId="576" applyFont="1" applyAlignment="1">
      <alignment vertical="center"/>
    </xf>
    <xf numFmtId="0" fontId="0" fillId="0" borderId="20" xfId="0" applyBorder="1" applyAlignment="1">
      <alignment vertical="center"/>
    </xf>
    <xf numFmtId="165" fontId="0" fillId="0" borderId="8" xfId="575" applyFont="1" applyBorder="1" applyAlignment="1">
      <alignment vertical="center"/>
    </xf>
    <xf numFmtId="165" fontId="0" fillId="0" borderId="53" xfId="575" applyFont="1" applyBorder="1" applyAlignment="1">
      <alignment vertical="center"/>
    </xf>
    <xf numFmtId="0" fontId="0" fillId="13" borderId="55" xfId="0" applyFill="1" applyBorder="1" applyAlignment="1">
      <alignment vertical="center"/>
    </xf>
    <xf numFmtId="0" fontId="20" fillId="0" borderId="0" xfId="0" applyFont="1" applyFill="1" applyBorder="1" applyAlignment="1">
      <alignment horizontal="center" vertical="center" wrapText="1"/>
    </xf>
    <xf numFmtId="0" fontId="30" fillId="0" borderId="0" xfId="0" applyFont="1" applyFill="1" applyAlignment="1">
      <alignment horizontal="center" vertical="center"/>
    </xf>
    <xf numFmtId="0" fontId="0" fillId="0" borderId="1" xfId="0" applyFont="1" applyBorder="1" applyAlignment="1">
      <alignment horizontal="center" vertical="center" wrapText="1"/>
    </xf>
    <xf numFmtId="0" fontId="37" fillId="0" borderId="0" xfId="0" applyFont="1" applyAlignment="1">
      <alignment vertical="center" wrapText="1"/>
    </xf>
    <xf numFmtId="0" fontId="1" fillId="0" borderId="0" xfId="0" applyFont="1" applyAlignment="1">
      <alignment horizontal="center" vertical="center" wrapText="1"/>
    </xf>
    <xf numFmtId="0" fontId="22"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38" fillId="0" borderId="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40" fillId="0" borderId="0" xfId="0" applyFont="1" applyFill="1" applyAlignment="1">
      <alignment horizontal="center" vertical="center" wrapText="1"/>
    </xf>
    <xf numFmtId="0" fontId="33" fillId="0" borderId="0" xfId="0" applyFont="1" applyFill="1" applyBorder="1" applyAlignment="1">
      <alignment horizontal="center" vertical="center" wrapText="1"/>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8"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9" fontId="39" fillId="0" borderId="0" xfId="2"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36"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1"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1"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4" fillId="16" borderId="9"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3" fillId="0" borderId="9" xfId="0" applyFont="1" applyBorder="1" applyAlignment="1">
      <alignment horizontal="center" vertical="center" wrapText="1"/>
    </xf>
    <xf numFmtId="0" fontId="42" fillId="10" borderId="73" xfId="573" applyFont="1" applyFill="1" applyBorder="1" applyAlignment="1" applyProtection="1">
      <alignment horizontal="center" vertical="center" wrapText="1"/>
    </xf>
    <xf numFmtId="0" fontId="41"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168" fontId="10" fillId="0" borderId="0" xfId="0" applyNumberFormat="1" applyFont="1" applyFill="1" applyBorder="1" applyAlignment="1" applyProtection="1">
      <alignment vertical="center" wrapText="1"/>
      <protection locked="0"/>
    </xf>
    <xf numFmtId="0" fontId="13" fillId="16" borderId="9" xfId="0" applyFont="1" applyFill="1" applyBorder="1" applyAlignment="1">
      <alignment horizontal="center" vertical="center" wrapText="1"/>
    </xf>
    <xf numFmtId="0" fontId="35"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wrapText="1"/>
      <protection locked="0"/>
    </xf>
    <xf numFmtId="0" fontId="12" fillId="0" borderId="0" xfId="0" applyFont="1" applyAlignment="1">
      <alignment vertical="center"/>
    </xf>
    <xf numFmtId="0" fontId="43" fillId="16" borderId="75" xfId="574" applyFont="1" applyFill="1" applyBorder="1" applyAlignment="1">
      <alignment horizontal="center" vertical="center" wrapText="1"/>
    </xf>
    <xf numFmtId="0" fontId="43"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3" fillId="0" borderId="14" xfId="0" applyFont="1" applyBorder="1" applyAlignment="1">
      <alignment horizontal="center" vertical="center"/>
    </xf>
    <xf numFmtId="1" fontId="42" fillId="0" borderId="44" xfId="2" applyNumberFormat="1" applyFont="1" applyFill="1" applyBorder="1" applyAlignment="1" applyProtection="1">
      <alignment vertical="center" wrapText="1"/>
      <protection locked="0"/>
    </xf>
    <xf numFmtId="1" fontId="42" fillId="0" borderId="32" xfId="2" applyNumberFormat="1" applyFont="1" applyFill="1" applyBorder="1" applyAlignment="1" applyProtection="1">
      <alignment vertical="center" wrapText="1"/>
      <protection locked="0"/>
    </xf>
    <xf numFmtId="1" fontId="42" fillId="0" borderId="33" xfId="2" applyNumberFormat="1" applyFont="1" applyFill="1" applyBorder="1" applyAlignment="1" applyProtection="1">
      <alignment vertical="center" wrapText="1"/>
      <protection locked="0"/>
    </xf>
    <xf numFmtId="9" fontId="42" fillId="0" borderId="12" xfId="2" applyFont="1" applyFill="1" applyBorder="1" applyAlignment="1" applyProtection="1">
      <alignment vertical="center" wrapText="1"/>
      <protection locked="0"/>
    </xf>
    <xf numFmtId="9" fontId="42" fillId="0" borderId="14" xfId="2" applyFont="1" applyFill="1" applyBorder="1" applyAlignment="1" applyProtection="1">
      <alignment vertical="center" wrapText="1"/>
      <protection locked="0"/>
    </xf>
    <xf numFmtId="9" fontId="42" fillId="0" borderId="14" xfId="2" applyFont="1" applyFill="1" applyBorder="1" applyAlignment="1" applyProtection="1">
      <alignment horizontal="center" vertical="center" wrapText="1"/>
      <protection locked="0"/>
    </xf>
    <xf numFmtId="9" fontId="42" fillId="0" borderId="17" xfId="2" applyFont="1" applyFill="1" applyBorder="1" applyAlignment="1" applyProtection="1">
      <alignment horizontal="center" vertical="center" wrapText="1"/>
      <protection locked="0"/>
    </xf>
    <xf numFmtId="0" fontId="42" fillId="0" borderId="13" xfId="0" applyFont="1" applyFill="1" applyBorder="1" applyAlignment="1" applyProtection="1">
      <alignment vertical="center" wrapText="1"/>
      <protection locked="0"/>
    </xf>
    <xf numFmtId="0" fontId="42" fillId="0" borderId="3" xfId="0" applyFont="1" applyFill="1" applyBorder="1" applyAlignment="1" applyProtection="1">
      <alignment vertical="center" wrapText="1"/>
      <protection locked="0"/>
    </xf>
    <xf numFmtId="9" fontId="5" fillId="0" borderId="1" xfId="2" applyFont="1" applyFill="1" applyBorder="1" applyAlignment="1" applyProtection="1">
      <alignment horizontal="center" vertical="center" wrapText="1"/>
    </xf>
    <xf numFmtId="0" fontId="33" fillId="0" borderId="24" xfId="0" applyFont="1" applyFill="1" applyBorder="1" applyAlignment="1" applyProtection="1">
      <alignment horizontal="center"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8" fillId="0" borderId="16" xfId="0" applyFont="1" applyBorder="1" applyAlignment="1">
      <alignment horizontal="center" vertical="center" wrapText="1"/>
    </xf>
    <xf numFmtId="2" fontId="8" fillId="0" borderId="8" xfId="0" applyNumberFormat="1" applyFont="1" applyBorder="1" applyAlignment="1">
      <alignment horizontal="center" vertical="center" wrapText="1"/>
    </xf>
    <xf numFmtId="0" fontId="43" fillId="16" borderId="66" xfId="0" applyFont="1" applyFill="1" applyBorder="1" applyAlignment="1">
      <alignment horizontal="center" vertical="center"/>
    </xf>
    <xf numFmtId="0" fontId="43"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31" fillId="0" borderId="0" xfId="0" applyFont="1" applyFill="1" applyBorder="1" applyAlignment="1">
      <alignment horizontal="center" vertical="center" wrapText="1"/>
    </xf>
    <xf numFmtId="0" fontId="42" fillId="16" borderId="27" xfId="0" applyFont="1" applyFill="1" applyBorder="1" applyAlignment="1" applyProtection="1">
      <alignment horizontal="center" vertical="center" wrapText="1"/>
      <protection locked="0"/>
    </xf>
    <xf numFmtId="0" fontId="42" fillId="16" borderId="28" xfId="0" applyFont="1" applyFill="1" applyBorder="1" applyAlignment="1" applyProtection="1">
      <alignment horizontal="center" vertical="center" wrapText="1"/>
      <protection locked="0"/>
    </xf>
    <xf numFmtId="0" fontId="42" fillId="16" borderId="29" xfId="0" applyFont="1" applyFill="1" applyBorder="1" applyAlignment="1" applyProtection="1">
      <alignment horizontal="center" vertical="center" wrapText="1"/>
      <protection locked="0"/>
    </xf>
    <xf numFmtId="0" fontId="47" fillId="16" borderId="24" xfId="0" applyFont="1" applyFill="1" applyBorder="1" applyAlignment="1" applyProtection="1">
      <alignment vertical="center"/>
      <protection locked="0"/>
    </xf>
    <xf numFmtId="0" fontId="42" fillId="16" borderId="23" xfId="0" applyFont="1" applyFill="1" applyBorder="1" applyAlignment="1" applyProtection="1">
      <alignment horizontal="center" vertical="center" wrapText="1"/>
      <protection locked="0"/>
    </xf>
    <xf numFmtId="0" fontId="42" fillId="17" borderId="23" xfId="0" applyFont="1" applyFill="1" applyBorder="1" applyAlignment="1" applyProtection="1">
      <alignment horizontal="center" vertical="center" wrapText="1"/>
      <protection locked="0"/>
    </xf>
    <xf numFmtId="168" fontId="9" fillId="17" borderId="72" xfId="1" applyNumberFormat="1"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42" fillId="0" borderId="0" xfId="0" applyFont="1" applyFill="1" applyBorder="1" applyAlignment="1" applyProtection="1">
      <alignment horizontal="center" vertical="center" wrapText="1"/>
      <protection locked="0"/>
    </xf>
    <xf numFmtId="0" fontId="48" fillId="0" borderId="0" xfId="0" applyFont="1" applyAlignment="1">
      <alignment vertical="center" wrapText="1"/>
    </xf>
    <xf numFmtId="0" fontId="35" fillId="0" borderId="0" xfId="0" applyFont="1" applyFill="1" applyAlignment="1">
      <alignment vertical="center" wrapText="1"/>
    </xf>
    <xf numFmtId="0" fontId="6" fillId="0" borderId="0" xfId="0" applyFont="1" applyAlignment="1">
      <alignment vertical="center" wrapText="1"/>
    </xf>
    <xf numFmtId="0" fontId="31" fillId="0" borderId="0" xfId="0" applyFont="1" applyFill="1" applyBorder="1" applyAlignment="1">
      <alignment vertical="center" wrapText="1"/>
    </xf>
    <xf numFmtId="0" fontId="31" fillId="6" borderId="0" xfId="0" applyFont="1" applyFill="1" applyAlignment="1">
      <alignment horizontal="center" vertical="center" wrapText="1"/>
    </xf>
    <xf numFmtId="0" fontId="38" fillId="6" borderId="0" xfId="0" applyFont="1" applyFill="1" applyAlignment="1">
      <alignment horizontal="center" vertical="center" wrapText="1"/>
    </xf>
    <xf numFmtId="0" fontId="32" fillId="0" borderId="60" xfId="0" applyFont="1" applyFill="1" applyBorder="1" applyAlignment="1">
      <alignment horizontal="center" vertical="center" wrapText="1"/>
    </xf>
    <xf numFmtId="2" fontId="32" fillId="10" borderId="1"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51" fillId="0" borderId="0" xfId="0" applyFont="1" applyFill="1" applyAlignment="1">
      <alignment horizontal="center" vertical="center" wrapText="1"/>
    </xf>
    <xf numFmtId="0" fontId="51" fillId="0" borderId="0" xfId="0" applyFont="1" applyAlignment="1">
      <alignment horizontal="center" vertical="center" wrapText="1"/>
    </xf>
    <xf numFmtId="0" fontId="6" fillId="0" borderId="0" xfId="0" applyFont="1" applyFill="1" applyAlignment="1">
      <alignment vertical="center" wrapText="1"/>
    </xf>
    <xf numFmtId="0" fontId="51" fillId="0" borderId="57" xfId="0" applyFont="1" applyFill="1" applyBorder="1" applyAlignment="1">
      <alignment horizontal="center" vertical="center" wrapText="1"/>
    </xf>
    <xf numFmtId="0" fontId="6" fillId="0" borderId="57" xfId="0" applyFont="1" applyFill="1" applyBorder="1" applyAlignment="1">
      <alignment vertical="center" wrapText="1"/>
    </xf>
    <xf numFmtId="170" fontId="41" fillId="16" borderId="55" xfId="0" applyNumberFormat="1" applyFont="1" applyFill="1" applyBorder="1" applyAlignment="1">
      <alignment horizontal="center" vertical="center" wrapText="1"/>
    </xf>
    <xf numFmtId="0" fontId="51"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1" fillId="0" borderId="19" xfId="0" applyFont="1" applyFill="1" applyBorder="1" applyAlignment="1">
      <alignment horizontal="center" vertical="center" wrapText="1"/>
    </xf>
    <xf numFmtId="0" fontId="32" fillId="10" borderId="19" xfId="0" applyFont="1" applyFill="1" applyBorder="1" applyAlignment="1">
      <alignment horizontal="center" vertical="center" wrapText="1"/>
    </xf>
    <xf numFmtId="0" fontId="51" fillId="0" borderId="61" xfId="0" applyFont="1" applyFill="1" applyBorder="1" applyAlignment="1">
      <alignment horizontal="center" vertical="center" wrapText="1"/>
    </xf>
    <xf numFmtId="0" fontId="6" fillId="0" borderId="61" xfId="0" applyFont="1" applyFill="1" applyBorder="1" applyAlignment="1">
      <alignment vertical="center" wrapText="1"/>
    </xf>
    <xf numFmtId="0" fontId="51" fillId="0" borderId="0" xfId="0" applyFont="1" applyBorder="1" applyAlignment="1">
      <alignment horizontal="center" vertical="center" wrapText="1"/>
    </xf>
    <xf numFmtId="14" fontId="51" fillId="0" borderId="0" xfId="0" applyNumberFormat="1" applyFont="1" applyFill="1" applyBorder="1" applyAlignment="1">
      <alignment horizontal="center" vertical="center" wrapText="1"/>
    </xf>
    <xf numFmtId="14" fontId="41" fillId="0" borderId="0" xfId="0" applyNumberFormat="1" applyFont="1" applyFill="1" applyBorder="1" applyAlignment="1">
      <alignment horizontal="center" vertical="center" wrapText="1"/>
    </xf>
    <xf numFmtId="0" fontId="41" fillId="16" borderId="4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2" borderId="2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1" fillId="0" borderId="39" xfId="0" applyFont="1" applyFill="1" applyBorder="1" applyAlignment="1">
      <alignment horizontal="left" vertical="center" wrapText="1"/>
    </xf>
    <xf numFmtId="0" fontId="41" fillId="14" borderId="20" xfId="0" applyFont="1" applyFill="1" applyBorder="1" applyAlignment="1">
      <alignment horizontal="center" vertical="center" wrapText="1"/>
    </xf>
    <xf numFmtId="0" fontId="41" fillId="4" borderId="20" xfId="0" applyFont="1" applyFill="1" applyBorder="1" applyAlignment="1">
      <alignment horizontal="center" vertical="center" wrapText="1"/>
    </xf>
    <xf numFmtId="0" fontId="41" fillId="4" borderId="40" xfId="0" applyFont="1" applyFill="1" applyBorder="1" applyAlignment="1">
      <alignment horizontal="center" vertical="center" wrapText="1"/>
    </xf>
    <xf numFmtId="14" fontId="41" fillId="4" borderId="70" xfId="0" applyNumberFormat="1" applyFont="1" applyFill="1" applyBorder="1" applyAlignment="1">
      <alignment horizontal="center" vertical="center" wrapText="1"/>
    </xf>
    <xf numFmtId="14" fontId="41" fillId="4" borderId="56" xfId="0" applyNumberFormat="1" applyFont="1" applyFill="1" applyBorder="1" applyAlignment="1">
      <alignment horizontal="center" vertical="center" wrapText="1"/>
    </xf>
    <xf numFmtId="0" fontId="51" fillId="14" borderId="13" xfId="0" applyFont="1" applyFill="1" applyBorder="1" applyAlignment="1">
      <alignment horizontal="center" vertical="center" wrapText="1"/>
    </xf>
    <xf numFmtId="0" fontId="51" fillId="4" borderId="13" xfId="0" applyFont="1" applyFill="1" applyBorder="1" applyAlignment="1">
      <alignment horizontal="center" vertical="center" wrapText="1"/>
    </xf>
    <xf numFmtId="0" fontId="51" fillId="4" borderId="39" xfId="0" applyFont="1" applyFill="1" applyBorder="1" applyAlignment="1">
      <alignment horizontal="center" vertical="center" wrapText="1"/>
    </xf>
    <xf numFmtId="14" fontId="51" fillId="4" borderId="4" xfId="0" applyNumberFormat="1" applyFont="1" applyFill="1" applyBorder="1" applyAlignment="1">
      <alignment horizontal="center" vertical="center" wrapText="1"/>
    </xf>
    <xf numFmtId="14" fontId="51" fillId="4" borderId="18" xfId="0" applyNumberFormat="1" applyFont="1" applyFill="1" applyBorder="1" applyAlignment="1">
      <alignment horizontal="center" vertical="center" wrapText="1"/>
    </xf>
    <xf numFmtId="0" fontId="51" fillId="4" borderId="18" xfId="0" applyFont="1" applyFill="1" applyBorder="1" applyAlignment="1">
      <alignment horizontal="center" vertical="center" wrapText="1"/>
    </xf>
    <xf numFmtId="2" fontId="51" fillId="4" borderId="18" xfId="0" applyNumberFormat="1" applyFont="1" applyFill="1" applyBorder="1" applyAlignment="1">
      <alignment horizontal="center" vertical="center" wrapText="1"/>
    </xf>
    <xf numFmtId="1" fontId="51" fillId="4" borderId="13" xfId="0" applyNumberFormat="1" applyFont="1" applyFill="1" applyBorder="1" applyAlignment="1">
      <alignment horizontal="center" vertical="center" wrapText="1"/>
    </xf>
    <xf numFmtId="49" fontId="51" fillId="4" borderId="4" xfId="0" applyNumberFormat="1" applyFont="1" applyFill="1" applyBorder="1" applyAlignment="1">
      <alignment horizontal="center" vertical="center" wrapText="1"/>
    </xf>
    <xf numFmtId="49" fontId="51" fillId="4" borderId="18" xfId="0" applyNumberFormat="1" applyFont="1" applyFill="1" applyBorder="1" applyAlignment="1">
      <alignment horizontal="center" vertical="center" wrapText="1"/>
    </xf>
    <xf numFmtId="14" fontId="51" fillId="4" borderId="13" xfId="0" applyNumberFormat="1" applyFont="1" applyFill="1" applyBorder="1" applyAlignment="1">
      <alignment horizontal="center" vertical="center" wrapText="1"/>
    </xf>
    <xf numFmtId="14" fontId="51" fillId="4" borderId="39" xfId="0" applyNumberFormat="1" applyFont="1" applyFill="1" applyBorder="1" applyAlignment="1">
      <alignment horizontal="center" vertical="center" wrapText="1"/>
    </xf>
    <xf numFmtId="1" fontId="51" fillId="4" borderId="18" xfId="0" applyNumberFormat="1" applyFont="1" applyFill="1" applyBorder="1" applyAlignment="1">
      <alignment horizontal="center" vertical="center" wrapText="1"/>
    </xf>
    <xf numFmtId="1" fontId="51" fillId="4" borderId="4" xfId="0" applyNumberFormat="1" applyFont="1" applyFill="1" applyBorder="1" applyAlignment="1">
      <alignment horizontal="center" vertical="center" wrapText="1"/>
    </xf>
    <xf numFmtId="2" fontId="51" fillId="4" borderId="4" xfId="0" applyNumberFormat="1" applyFont="1" applyFill="1" applyBorder="1" applyAlignment="1">
      <alignment horizontal="center" vertical="center" wrapText="1"/>
    </xf>
    <xf numFmtId="0" fontId="51" fillId="4" borderId="4" xfId="0" applyFont="1" applyFill="1" applyBorder="1" applyAlignment="1">
      <alignment horizontal="center" vertical="center" wrapText="1"/>
    </xf>
    <xf numFmtId="14" fontId="51" fillId="0" borderId="13" xfId="0" applyNumberFormat="1" applyFont="1" applyFill="1" applyBorder="1" applyAlignment="1">
      <alignment horizontal="center" vertical="center" wrapText="1"/>
    </xf>
    <xf numFmtId="14" fontId="51" fillId="0" borderId="39" xfId="0" applyNumberFormat="1" applyFont="1" applyFill="1" applyBorder="1" applyAlignment="1">
      <alignment horizontal="center" vertical="center" wrapText="1"/>
    </xf>
    <xf numFmtId="14" fontId="51" fillId="0" borderId="18" xfId="0" applyNumberFormat="1" applyFont="1" applyFill="1" applyBorder="1" applyAlignment="1">
      <alignment horizontal="center" vertical="center" wrapText="1"/>
    </xf>
    <xf numFmtId="14" fontId="51" fillId="0" borderId="4" xfId="0" applyNumberFormat="1" applyFont="1" applyFill="1" applyBorder="1" applyAlignment="1">
      <alignment horizontal="center" vertical="center" wrapText="1"/>
    </xf>
    <xf numFmtId="0" fontId="51" fillId="0" borderId="18" xfId="0" applyFont="1" applyFill="1" applyBorder="1" applyAlignment="1">
      <alignment horizontal="center" vertical="center" wrapText="1"/>
    </xf>
    <xf numFmtId="0" fontId="51" fillId="0" borderId="4" xfId="0" applyFont="1" applyFill="1" applyBorder="1" applyAlignment="1">
      <alignment horizontal="center" vertical="center" wrapText="1"/>
    </xf>
    <xf numFmtId="0" fontId="41" fillId="0" borderId="58" xfId="0" applyFont="1" applyFill="1" applyBorder="1" applyAlignment="1">
      <alignment horizontal="left" vertical="center" wrapText="1"/>
    </xf>
    <xf numFmtId="0" fontId="51" fillId="0" borderId="73" xfId="0" applyFont="1" applyFill="1" applyBorder="1" applyAlignment="1">
      <alignment horizontal="center" vertical="center" wrapText="1"/>
    </xf>
    <xf numFmtId="2" fontId="51" fillId="4" borderId="74" xfId="0" applyNumberFormat="1" applyFont="1" applyFill="1" applyBorder="1" applyAlignment="1">
      <alignment horizontal="center" vertical="center" wrapText="1"/>
    </xf>
    <xf numFmtId="2" fontId="41" fillId="4" borderId="74" xfId="0" applyNumberFormat="1" applyFont="1" applyFill="1" applyBorder="1" applyAlignment="1">
      <alignment horizontal="center" vertical="center" wrapText="1"/>
    </xf>
    <xf numFmtId="2" fontId="41" fillId="4" borderId="58" xfId="0" applyNumberFormat="1" applyFont="1" applyFill="1" applyBorder="1" applyAlignment="1">
      <alignment horizontal="center" vertical="center" wrapText="1"/>
    </xf>
    <xf numFmtId="0" fontId="51" fillId="14" borderId="73" xfId="0" applyFont="1" applyFill="1" applyBorder="1" applyAlignment="1">
      <alignment horizontal="center" vertical="center" wrapText="1"/>
    </xf>
    <xf numFmtId="0" fontId="51" fillId="4" borderId="61" xfId="0" applyFont="1" applyFill="1" applyBorder="1" applyAlignment="1">
      <alignment horizontal="center" vertical="center" wrapText="1"/>
    </xf>
    <xf numFmtId="0" fontId="51" fillId="4" borderId="73" xfId="0" applyFont="1" applyFill="1" applyBorder="1" applyAlignment="1">
      <alignment horizontal="center" vertical="center" wrapText="1"/>
    </xf>
    <xf numFmtId="0" fontId="41" fillId="0" borderId="0" xfId="0" applyFont="1" applyBorder="1" applyAlignment="1">
      <alignment horizontal="center" vertical="center" wrapText="1"/>
    </xf>
    <xf numFmtId="0" fontId="51" fillId="0" borderId="57" xfId="0" applyFont="1" applyBorder="1" applyAlignment="1">
      <alignment horizontal="center" vertical="center" wrapText="1"/>
    </xf>
    <xf numFmtId="170" fontId="41" fillId="0" borderId="55" xfId="0" applyNumberFormat="1" applyFont="1" applyFill="1" applyBorder="1" applyAlignment="1">
      <alignment horizontal="center" vertical="center" wrapText="1"/>
    </xf>
    <xf numFmtId="0" fontId="32" fillId="0" borderId="19" xfId="0" applyFont="1" applyFill="1" applyBorder="1" applyAlignment="1">
      <alignment horizontal="center" vertical="center" wrapText="1"/>
    </xf>
    <xf numFmtId="0" fontId="51" fillId="0" borderId="61" xfId="0" applyFont="1" applyBorder="1" applyAlignment="1">
      <alignment horizontal="center" vertical="center" wrapText="1"/>
    </xf>
    <xf numFmtId="0" fontId="5" fillId="12" borderId="9" xfId="0" applyFont="1" applyFill="1" applyBorder="1" applyAlignment="1">
      <alignment horizontal="center" vertical="center" wrapText="1"/>
    </xf>
    <xf numFmtId="0" fontId="6" fillId="0" borderId="0" xfId="0" applyFont="1" applyAlignment="1">
      <alignment horizontal="center" vertical="center" wrapText="1"/>
    </xf>
    <xf numFmtId="0" fontId="5" fillId="16" borderId="9" xfId="0" applyFont="1" applyFill="1" applyBorder="1" applyAlignment="1">
      <alignment horizontal="center" vertical="center" wrapText="1"/>
    </xf>
    <xf numFmtId="14" fontId="41" fillId="4" borderId="55" xfId="0" applyNumberFormat="1" applyFont="1" applyFill="1" applyBorder="1" applyAlignment="1">
      <alignment horizontal="center" vertical="center" wrapText="1"/>
    </xf>
    <xf numFmtId="1" fontId="51" fillId="14" borderId="18" xfId="0" applyNumberFormat="1" applyFont="1" applyFill="1" applyBorder="1" applyAlignment="1">
      <alignment horizontal="center" vertical="center" wrapText="1"/>
    </xf>
    <xf numFmtId="14" fontId="51" fillId="14" borderId="18" xfId="0" applyNumberFormat="1" applyFont="1" applyFill="1" applyBorder="1" applyAlignment="1">
      <alignment horizontal="center" vertical="center" wrapText="1"/>
    </xf>
    <xf numFmtId="14" fontId="51" fillId="15" borderId="18" xfId="0" applyNumberFormat="1" applyFont="1" applyFill="1" applyBorder="1" applyAlignment="1">
      <alignment horizontal="center" vertical="center" wrapText="1"/>
    </xf>
    <xf numFmtId="2" fontId="41" fillId="16" borderId="27" xfId="0" applyNumberFormat="1" applyFont="1" applyFill="1" applyBorder="1" applyAlignment="1">
      <alignment horizontal="center" vertical="center" wrapText="1"/>
    </xf>
    <xf numFmtId="2" fontId="41" fillId="16" borderId="13" xfId="0" applyNumberFormat="1" applyFont="1" applyFill="1" applyBorder="1" applyAlignment="1">
      <alignment horizontal="center" vertical="center" wrapText="1"/>
    </xf>
    <xf numFmtId="2" fontId="41" fillId="16" borderId="18" xfId="0" applyNumberFormat="1" applyFont="1" applyFill="1" applyBorder="1" applyAlignment="1">
      <alignment horizontal="center" vertical="center" wrapText="1"/>
    </xf>
    <xf numFmtId="0" fontId="51" fillId="0" borderId="9" xfId="0" applyFont="1" applyFill="1" applyBorder="1" applyAlignment="1">
      <alignment horizontal="center" vertical="center" wrapText="1"/>
    </xf>
    <xf numFmtId="2" fontId="51" fillId="0" borderId="15"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51" fillId="0" borderId="19" xfId="0" applyFont="1" applyFill="1" applyBorder="1" applyAlignment="1">
      <alignment horizontal="center" vertical="center" wrapText="1"/>
    </xf>
    <xf numFmtId="0" fontId="41" fillId="16" borderId="59" xfId="0" applyFont="1" applyFill="1" applyBorder="1" applyAlignment="1">
      <alignment horizontal="center" vertical="center" wrapText="1"/>
    </xf>
    <xf numFmtId="0" fontId="41" fillId="16" borderId="62" xfId="0" applyFont="1" applyFill="1" applyBorder="1" applyAlignment="1">
      <alignment vertical="center" wrapText="1"/>
    </xf>
    <xf numFmtId="1" fontId="41" fillId="0" borderId="1" xfId="0" applyNumberFormat="1"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1" fillId="0" borderId="59" xfId="0" applyFont="1" applyBorder="1" applyAlignment="1">
      <alignment horizontal="center" vertical="center" wrapText="1"/>
    </xf>
    <xf numFmtId="0" fontId="51" fillId="0" borderId="68" xfId="0" applyFont="1" applyBorder="1" applyAlignment="1">
      <alignment horizontal="center" vertical="center" wrapText="1"/>
    </xf>
    <xf numFmtId="0" fontId="51" fillId="0" borderId="41" xfId="0" applyFont="1" applyBorder="1" applyAlignment="1">
      <alignment horizontal="center" vertical="center" wrapText="1"/>
    </xf>
    <xf numFmtId="1" fontId="51" fillId="0" borderId="41" xfId="0" applyNumberFormat="1" applyFont="1" applyBorder="1" applyAlignment="1">
      <alignment horizontal="center" vertical="center" wrapText="1"/>
    </xf>
    <xf numFmtId="1" fontId="51" fillId="0" borderId="69" xfId="0" applyNumberFormat="1" applyFont="1" applyBorder="1" applyAlignment="1">
      <alignment horizontal="center" vertical="center" wrapText="1"/>
    </xf>
    <xf numFmtId="1" fontId="51" fillId="0" borderId="57" xfId="0" applyNumberFormat="1" applyFont="1" applyBorder="1" applyAlignment="1">
      <alignment horizontal="center" vertical="center" wrapText="1"/>
    </xf>
    <xf numFmtId="0" fontId="32" fillId="0" borderId="0" xfId="0" applyFont="1" applyFill="1" applyBorder="1" applyAlignment="1">
      <alignment horizontal="center" vertical="center" wrapText="1"/>
    </xf>
    <xf numFmtId="2" fontId="41"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2" fontId="51" fillId="4" borderId="15" xfId="0" applyNumberFormat="1" applyFont="1" applyFill="1" applyBorder="1" applyAlignment="1">
      <alignment horizontal="center" vertical="center" wrapText="1"/>
    </xf>
    <xf numFmtId="2" fontId="51" fillId="0" borderId="0" xfId="0" applyNumberFormat="1" applyFont="1" applyFill="1" applyBorder="1" applyAlignment="1">
      <alignment horizontal="center" vertical="center" wrapText="1"/>
    </xf>
    <xf numFmtId="2" fontId="41" fillId="0" borderId="55" xfId="0" applyNumberFormat="1" applyFont="1" applyFill="1" applyBorder="1" applyAlignment="1">
      <alignment horizontal="center" vertical="center" wrapText="1"/>
    </xf>
    <xf numFmtId="2" fontId="0" fillId="0" borderId="8" xfId="0" applyNumberFormat="1" applyBorder="1" applyAlignment="1">
      <alignment horizontal="center" vertical="center" wrapText="1"/>
    </xf>
    <xf numFmtId="0" fontId="0" fillId="0" borderId="0" xfId="0" applyFill="1" applyAlignment="1">
      <alignment vertical="center"/>
    </xf>
    <xf numFmtId="0" fontId="41" fillId="16" borderId="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51" fillId="4" borderId="19" xfId="0"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49" fontId="51" fillId="14" borderId="13" xfId="0" applyNumberFormat="1" applyFont="1" applyFill="1" applyBorder="1" applyAlignment="1">
      <alignment horizontal="center" vertical="center" wrapText="1"/>
    </xf>
    <xf numFmtId="49" fontId="51" fillId="4" borderId="13" xfId="0" applyNumberFormat="1" applyFont="1" applyFill="1" applyBorder="1" applyAlignment="1">
      <alignment horizontal="center" vertical="center" wrapText="1"/>
    </xf>
    <xf numFmtId="14" fontId="51" fillId="14" borderId="13" xfId="0" applyNumberFormat="1" applyFont="1" applyFill="1" applyBorder="1" applyAlignment="1">
      <alignment horizontal="center" vertical="center" wrapText="1"/>
    </xf>
    <xf numFmtId="0" fontId="41" fillId="14" borderId="55" xfId="0" applyFont="1" applyFill="1" applyBorder="1" applyAlignment="1">
      <alignment horizontal="center" vertical="center" wrapText="1"/>
    </xf>
    <xf numFmtId="0" fontId="51" fillId="14" borderId="18" xfId="0" applyFont="1" applyFill="1" applyBorder="1" applyAlignment="1">
      <alignment horizontal="center" vertical="center" wrapText="1"/>
    </xf>
    <xf numFmtId="49" fontId="51" fillId="14" borderId="18" xfId="0" applyNumberFormat="1" applyFont="1" applyFill="1" applyBorder="1" applyAlignment="1">
      <alignment horizontal="center" vertical="center" wrapText="1"/>
    </xf>
    <xf numFmtId="0" fontId="33" fillId="0" borderId="30" xfId="0" applyFont="1" applyFill="1" applyBorder="1" applyAlignment="1" applyProtection="1">
      <alignment vertical="center" wrapText="1"/>
      <protection locked="0"/>
    </xf>
    <xf numFmtId="0" fontId="33" fillId="0" borderId="41" xfId="0" applyFont="1" applyFill="1" applyBorder="1" applyAlignment="1" applyProtection="1">
      <alignment vertical="center" wrapText="1"/>
      <protection locked="0"/>
    </xf>
    <xf numFmtId="9" fontId="33" fillId="0" borderId="41" xfId="0" applyNumberFormat="1" applyFont="1" applyFill="1" applyBorder="1" applyAlignment="1" applyProtection="1">
      <alignment vertical="center" wrapText="1"/>
      <protection locked="0"/>
    </xf>
    <xf numFmtId="9" fontId="33" fillId="0" borderId="42" xfId="0" applyNumberFormat="1" applyFont="1" applyFill="1" applyBorder="1" applyAlignment="1" applyProtection="1">
      <alignment vertical="center" wrapText="1"/>
      <protection locked="0"/>
    </xf>
    <xf numFmtId="167" fontId="42" fillId="17" borderId="9" xfId="1" applyFont="1" applyFill="1" applyBorder="1" applyAlignment="1" applyProtection="1">
      <alignment vertical="center" wrapText="1"/>
      <protection locked="0"/>
    </xf>
    <xf numFmtId="0" fontId="42" fillId="0" borderId="0" xfId="0" applyFont="1" applyFill="1" applyBorder="1" applyAlignment="1" applyProtection="1">
      <alignment vertical="center" wrapText="1"/>
      <protection locked="0"/>
    </xf>
    <xf numFmtId="168" fontId="42" fillId="0" borderId="0" xfId="0" applyNumberFormat="1" applyFont="1" applyFill="1" applyBorder="1" applyAlignment="1" applyProtection="1">
      <alignment vertical="center" wrapText="1"/>
      <protection locked="0"/>
    </xf>
    <xf numFmtId="168" fontId="52" fillId="0" borderId="0" xfId="0" applyNumberFormat="1" applyFont="1" applyFill="1" applyBorder="1" applyAlignment="1" applyProtection="1">
      <alignment vertical="center" wrapText="1"/>
      <protection locked="0"/>
    </xf>
    <xf numFmtId="168" fontId="33" fillId="0" borderId="0" xfId="0" applyNumberFormat="1" applyFont="1" applyFill="1" applyBorder="1" applyAlignment="1" applyProtection="1">
      <alignment vertical="center" wrapText="1"/>
      <protection locked="0"/>
    </xf>
    <xf numFmtId="168" fontId="42" fillId="0" borderId="0" xfId="1" applyNumberFormat="1" applyFont="1" applyFill="1" applyBorder="1" applyAlignment="1" applyProtection="1">
      <alignment vertical="center" wrapText="1"/>
      <protection locked="0"/>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1" xfId="0" applyFont="1" applyFill="1" applyBorder="1"/>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4" fontId="6" fillId="0" borderId="1" xfId="0" applyNumberFormat="1" applyFont="1" applyFill="1" applyBorder="1"/>
    <xf numFmtId="0" fontId="7" fillId="0" borderId="0" xfId="0" applyFont="1" applyFill="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0" fontId="42" fillId="0" borderId="44" xfId="0" applyFont="1" applyFill="1" applyBorder="1" applyAlignment="1" applyProtection="1">
      <alignment horizontal="center" vertical="center" wrapText="1"/>
      <protection locked="0"/>
    </xf>
    <xf numFmtId="0" fontId="42" fillId="0" borderId="32" xfId="0" applyFont="1" applyFill="1" applyBorder="1" applyAlignment="1" applyProtection="1">
      <alignment horizontal="center" vertical="center" wrapText="1"/>
      <protection locked="0"/>
    </xf>
    <xf numFmtId="0" fontId="42" fillId="0" borderId="33" xfId="0" applyFont="1" applyFill="1" applyBorder="1" applyAlignment="1" applyProtection="1">
      <alignment horizontal="center" vertical="center" wrapText="1"/>
      <protection locked="0"/>
    </xf>
    <xf numFmtId="0" fontId="42" fillId="0" borderId="39" xfId="0" applyFont="1" applyFill="1" applyBorder="1" applyAlignment="1" applyProtection="1">
      <alignment horizontal="center" vertical="center" wrapText="1"/>
      <protection locked="0"/>
    </xf>
    <xf numFmtId="0" fontId="42" fillId="0" borderId="4" xfId="0" applyFont="1" applyFill="1" applyBorder="1" applyAlignment="1" applyProtection="1">
      <alignment horizontal="center" vertical="center" wrapText="1"/>
      <protection locked="0"/>
    </xf>
    <xf numFmtId="0" fontId="42" fillId="0" borderId="51" xfId="0" applyFont="1" applyFill="1" applyBorder="1" applyAlignment="1" applyProtection="1">
      <alignment horizontal="center" vertical="center" wrapText="1"/>
      <protection locked="0"/>
    </xf>
    <xf numFmtId="0" fontId="42" fillId="0" borderId="47" xfId="0" applyFont="1" applyFill="1" applyBorder="1" applyAlignment="1" applyProtection="1">
      <alignment horizontal="center" vertical="center" wrapText="1"/>
      <protection locked="0"/>
    </xf>
    <xf numFmtId="0" fontId="42" fillId="0" borderId="45" xfId="0" applyFont="1" applyFill="1" applyBorder="1" applyAlignment="1" applyProtection="1">
      <alignment horizontal="center" vertical="center" wrapText="1"/>
      <protection locked="0"/>
    </xf>
    <xf numFmtId="0" fontId="42" fillId="0" borderId="35" xfId="0" applyFont="1" applyFill="1" applyBorder="1" applyAlignment="1" applyProtection="1">
      <alignment horizontal="center" vertical="center" wrapText="1"/>
      <protection locked="0"/>
    </xf>
    <xf numFmtId="0" fontId="42" fillId="0" borderId="40" xfId="0" applyFont="1" applyFill="1" applyBorder="1" applyAlignment="1" applyProtection="1">
      <alignment horizontal="center" vertical="center" wrapText="1"/>
      <protection locked="0"/>
    </xf>
    <xf numFmtId="0" fontId="42" fillId="0" borderId="70" xfId="0" applyFont="1" applyFill="1" applyBorder="1" applyAlignment="1" applyProtection="1">
      <alignment horizontal="center" vertical="center" wrapText="1"/>
      <protection locked="0"/>
    </xf>
    <xf numFmtId="0" fontId="42" fillId="0" borderId="76" xfId="0" applyFont="1" applyFill="1" applyBorder="1" applyAlignment="1" applyProtection="1">
      <alignment horizontal="center" vertical="center" wrapText="1"/>
      <protection locked="0"/>
    </xf>
    <xf numFmtId="0" fontId="42" fillId="16" borderId="24" xfId="0" applyFont="1" applyFill="1" applyBorder="1" applyAlignment="1" applyProtection="1">
      <alignment horizontal="center" vertical="center" wrapText="1"/>
      <protection locked="0"/>
    </xf>
    <xf numFmtId="0" fontId="42" fillId="16" borderId="25" xfId="0" applyFont="1" applyFill="1" applyBorder="1" applyAlignment="1" applyProtection="1">
      <alignment horizontal="center" vertical="center" wrapText="1"/>
      <protection locked="0"/>
    </xf>
    <xf numFmtId="0" fontId="42" fillId="16" borderId="26" xfId="0" applyFont="1" applyFill="1" applyBorder="1" applyAlignment="1" applyProtection="1">
      <alignment horizontal="center" vertical="center" wrapText="1"/>
      <protection locked="0"/>
    </xf>
    <xf numFmtId="0" fontId="42" fillId="17" borderId="24" xfId="0" applyFont="1" applyFill="1" applyBorder="1" applyAlignment="1" applyProtection="1">
      <alignment horizontal="center" vertical="center" wrapText="1"/>
      <protection locked="0"/>
    </xf>
    <xf numFmtId="0" fontId="42" fillId="17" borderId="25" xfId="0" applyFont="1" applyFill="1" applyBorder="1" applyAlignment="1" applyProtection="1">
      <alignment horizontal="center" vertical="center" wrapText="1"/>
      <protection locked="0"/>
    </xf>
    <xf numFmtId="0" fontId="42" fillId="17" borderId="26" xfId="0" applyFont="1" applyFill="1" applyBorder="1" applyAlignment="1" applyProtection="1">
      <alignment horizontal="center" vertical="center" wrapText="1"/>
      <protection locked="0"/>
    </xf>
    <xf numFmtId="0" fontId="42" fillId="16" borderId="58" xfId="573" applyFont="1" applyFill="1" applyBorder="1" applyAlignment="1" applyProtection="1">
      <alignment horizontal="center" vertical="center" wrapText="1"/>
    </xf>
    <xf numFmtId="0" fontId="42" fillId="16" borderId="61" xfId="573" applyFont="1" applyFill="1" applyBorder="1" applyAlignment="1" applyProtection="1">
      <alignment horizontal="center" vertical="center" wrapText="1"/>
    </xf>
    <xf numFmtId="1" fontId="42" fillId="0" borderId="39" xfId="2" applyNumberFormat="1" applyFont="1" applyFill="1" applyBorder="1" applyAlignment="1" applyProtection="1">
      <alignment horizontal="center" vertical="center" wrapText="1"/>
      <protection locked="0"/>
    </xf>
    <xf numFmtId="1" fontId="42" fillId="0" borderId="4" xfId="2" applyNumberFormat="1" applyFont="1" applyFill="1" applyBorder="1" applyAlignment="1" applyProtection="1">
      <alignment horizontal="center" vertical="center" wrapText="1"/>
      <protection locked="0"/>
    </xf>
    <xf numFmtId="1" fontId="42" fillId="0" borderId="51" xfId="2" applyNumberFormat="1" applyFont="1" applyFill="1" applyBorder="1" applyAlignment="1" applyProtection="1">
      <alignment horizontal="center" vertical="center" wrapText="1"/>
      <protection locked="0"/>
    </xf>
    <xf numFmtId="1" fontId="42" fillId="0" borderId="47" xfId="2" applyNumberFormat="1" applyFont="1" applyFill="1" applyBorder="1" applyAlignment="1" applyProtection="1">
      <alignment horizontal="center" vertical="center" wrapText="1"/>
      <protection locked="0"/>
    </xf>
    <xf numFmtId="1" fontId="42" fillId="0" borderId="45" xfId="2" applyNumberFormat="1" applyFont="1" applyFill="1" applyBorder="1" applyAlignment="1" applyProtection="1">
      <alignment horizontal="center" vertical="center" wrapText="1"/>
      <protection locked="0"/>
    </xf>
    <xf numFmtId="1" fontId="42" fillId="0" borderId="35" xfId="2" applyNumberFormat="1" applyFont="1" applyFill="1" applyBorder="1" applyAlignment="1" applyProtection="1">
      <alignment horizontal="center" vertical="center" wrapText="1"/>
      <protection locked="0"/>
    </xf>
    <xf numFmtId="0" fontId="42" fillId="0" borderId="24" xfId="0" applyFont="1" applyFill="1" applyBorder="1" applyAlignment="1" applyProtection="1">
      <alignment horizontal="center" vertical="center" wrapText="1"/>
      <protection locked="0"/>
    </xf>
    <xf numFmtId="0" fontId="42" fillId="0" borderId="25" xfId="0" applyFont="1" applyFill="1" applyBorder="1" applyAlignment="1" applyProtection="1">
      <alignment horizontal="center" vertical="center" wrapText="1"/>
      <protection locked="0"/>
    </xf>
    <xf numFmtId="0" fontId="42" fillId="0" borderId="26" xfId="0" applyFont="1" applyFill="1" applyBorder="1" applyAlignment="1" applyProtection="1">
      <alignment horizontal="center" vertical="center" wrapText="1"/>
      <protection locked="0"/>
    </xf>
    <xf numFmtId="43" fontId="42" fillId="17" borderId="15" xfId="3" applyNumberFormat="1" applyFont="1" applyFill="1" applyBorder="1" applyAlignment="1" applyProtection="1">
      <alignment horizontal="center" vertical="center" wrapText="1"/>
      <protection locked="0"/>
    </xf>
    <xf numFmtId="43" fontId="42" fillId="17" borderId="16" xfId="3" applyNumberFormat="1" applyFont="1" applyFill="1" applyBorder="1" applyAlignment="1" applyProtection="1">
      <alignment horizontal="center" vertical="center" wrapText="1"/>
      <protection locked="0"/>
    </xf>
    <xf numFmtId="43" fontId="42" fillId="17" borderId="17" xfId="3" applyNumberFormat="1" applyFont="1" applyFill="1" applyBorder="1" applyAlignment="1" applyProtection="1">
      <alignment horizontal="center" vertical="center" wrapText="1"/>
      <protection locked="0"/>
    </xf>
    <xf numFmtId="168" fontId="42" fillId="0" borderId="21" xfId="1" applyNumberFormat="1" applyFont="1" applyFill="1" applyBorder="1" applyAlignment="1" applyProtection="1">
      <alignment horizontal="center" vertical="center" wrapText="1"/>
      <protection locked="0"/>
    </xf>
    <xf numFmtId="168" fontId="42" fillId="0" borderId="22" xfId="1" applyNumberFormat="1" applyFont="1" applyFill="1" applyBorder="1" applyAlignment="1" applyProtection="1">
      <alignment horizontal="center" vertical="center" wrapText="1"/>
      <protection locked="0"/>
    </xf>
    <xf numFmtId="168" fontId="42" fillId="0" borderId="23" xfId="1" applyNumberFormat="1" applyFont="1" applyFill="1" applyBorder="1" applyAlignment="1" applyProtection="1">
      <alignment horizontal="center" vertical="center" wrapText="1"/>
      <protection locked="0"/>
    </xf>
    <xf numFmtId="168" fontId="42" fillId="16" borderId="21" xfId="1" applyNumberFormat="1" applyFont="1" applyFill="1" applyBorder="1" applyAlignment="1" applyProtection="1">
      <alignment horizontal="left" vertical="center" wrapText="1"/>
      <protection locked="0"/>
    </xf>
    <xf numFmtId="168" fontId="42" fillId="16" borderId="22" xfId="1" applyNumberFormat="1" applyFont="1" applyFill="1" applyBorder="1" applyAlignment="1" applyProtection="1">
      <alignment horizontal="left" vertical="center" wrapText="1"/>
      <protection locked="0"/>
    </xf>
    <xf numFmtId="168" fontId="42" fillId="16" borderId="23" xfId="1" applyNumberFormat="1"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vertical="center" wrapText="1"/>
      <protection locked="0"/>
    </xf>
    <xf numFmtId="0" fontId="42" fillId="0" borderId="23" xfId="0" applyFont="1" applyFill="1" applyBorder="1" applyAlignment="1" applyProtection="1">
      <alignment vertical="center" wrapText="1"/>
      <protection locked="0"/>
    </xf>
    <xf numFmtId="49" fontId="42" fillId="0" borderId="22" xfId="0" applyNumberFormat="1" applyFont="1" applyFill="1" applyBorder="1" applyAlignment="1" applyProtection="1">
      <alignment horizontal="center" vertical="center" wrapText="1"/>
      <protection locked="0"/>
    </xf>
    <xf numFmtId="49" fontId="42" fillId="0" borderId="23" xfId="0" applyNumberFormat="1" applyFont="1" applyFill="1" applyBorder="1" applyAlignment="1" applyProtection="1">
      <alignment horizontal="center" vertical="center" wrapText="1"/>
      <protection locked="0"/>
    </xf>
    <xf numFmtId="0" fontId="42" fillId="0" borderId="0" xfId="0" applyFont="1" applyFill="1" applyBorder="1" applyAlignment="1" applyProtection="1">
      <alignment horizontal="center" vertical="center" wrapText="1"/>
      <protection locked="0"/>
    </xf>
    <xf numFmtId="0" fontId="42" fillId="16" borderId="52" xfId="0" applyFont="1" applyFill="1" applyBorder="1" applyAlignment="1" applyProtection="1">
      <alignment horizontal="center" vertical="center" wrapText="1"/>
      <protection locked="0"/>
    </xf>
    <xf numFmtId="0" fontId="42" fillId="16" borderId="71" xfId="0" applyFont="1" applyFill="1" applyBorder="1" applyAlignment="1" applyProtection="1">
      <alignment horizontal="center" vertical="center" wrapText="1"/>
      <protection locked="0"/>
    </xf>
    <xf numFmtId="0" fontId="42" fillId="16" borderId="58" xfId="0" applyFont="1" applyFill="1" applyBorder="1" applyAlignment="1" applyProtection="1">
      <alignment horizontal="center" vertical="center" wrapText="1"/>
      <protection locked="0"/>
    </xf>
    <xf numFmtId="0" fontId="42" fillId="16" borderId="66" xfId="0" applyFont="1" applyFill="1" applyBorder="1" applyAlignment="1" applyProtection="1">
      <alignment horizontal="center" vertical="center" wrapText="1"/>
      <protection locked="0"/>
    </xf>
    <xf numFmtId="0" fontId="42" fillId="16" borderId="59" xfId="0" applyFont="1" applyFill="1" applyBorder="1" applyAlignment="1" applyProtection="1">
      <alignment horizontal="left" vertical="center" wrapText="1"/>
      <protection locked="0"/>
    </xf>
    <xf numFmtId="0" fontId="42" fillId="16" borderId="57" xfId="0" applyFont="1" applyFill="1" applyBorder="1" applyAlignment="1" applyProtection="1">
      <alignment horizontal="left" vertical="center" wrapText="1"/>
      <protection locked="0"/>
    </xf>
    <xf numFmtId="0" fontId="42" fillId="16" borderId="52" xfId="0" applyFont="1" applyFill="1" applyBorder="1" applyAlignment="1" applyProtection="1">
      <alignment horizontal="left" vertical="center" wrapText="1"/>
      <protection locked="0"/>
    </xf>
    <xf numFmtId="0" fontId="42" fillId="16" borderId="0" xfId="0" applyFont="1" applyFill="1" applyBorder="1" applyAlignment="1" applyProtection="1">
      <alignment horizontal="left" vertical="center" wrapText="1"/>
      <protection locked="0"/>
    </xf>
    <xf numFmtId="0" fontId="42" fillId="16" borderId="58" xfId="0" applyFont="1" applyFill="1" applyBorder="1" applyAlignment="1" applyProtection="1">
      <alignment horizontal="left" vertical="center" wrapText="1"/>
      <protection locked="0"/>
    </xf>
    <xf numFmtId="0" fontId="42" fillId="16" borderId="61" xfId="0" applyFont="1" applyFill="1" applyBorder="1" applyAlignment="1" applyProtection="1">
      <alignment horizontal="left" vertical="center" wrapText="1"/>
      <protection locked="0"/>
    </xf>
    <xf numFmtId="0" fontId="42" fillId="16" borderId="62" xfId="0" applyFont="1" applyFill="1" applyBorder="1" applyAlignment="1" applyProtection="1">
      <alignment horizontal="left" vertical="center" wrapText="1"/>
      <protection locked="0"/>
    </xf>
    <xf numFmtId="0" fontId="42" fillId="16" borderId="71" xfId="0" applyFont="1" applyFill="1" applyBorder="1" applyAlignment="1" applyProtection="1">
      <alignment horizontal="left" vertical="center" wrapText="1"/>
      <protection locked="0"/>
    </xf>
    <xf numFmtId="0" fontId="42" fillId="16" borderId="58" xfId="0" applyFont="1" applyFill="1" applyBorder="1" applyAlignment="1" applyProtection="1">
      <alignment vertical="center" wrapText="1"/>
      <protection locked="0"/>
    </xf>
    <xf numFmtId="0" fontId="42" fillId="16" borderId="66" xfId="0" applyFont="1" applyFill="1" applyBorder="1" applyAlignment="1" applyProtection="1">
      <alignment vertical="center" wrapText="1"/>
      <protection locked="0"/>
    </xf>
    <xf numFmtId="0" fontId="42" fillId="0" borderId="13" xfId="0" applyFont="1" applyFill="1" applyBorder="1" applyAlignment="1" applyProtection="1">
      <alignment horizontal="center" vertical="center" wrapText="1"/>
      <protection locked="0"/>
    </xf>
    <xf numFmtId="0" fontId="42" fillId="0" borderId="1"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center" wrapText="1"/>
      <protection locked="0"/>
    </xf>
    <xf numFmtId="0" fontId="42" fillId="0" borderId="11" xfId="0" applyFont="1" applyFill="1" applyBorder="1" applyAlignment="1" applyProtection="1">
      <alignment horizontal="center" vertical="center" wrapText="1"/>
      <protection locked="0"/>
    </xf>
    <xf numFmtId="168" fontId="42" fillId="0" borderId="13" xfId="1" applyNumberFormat="1" applyFont="1" applyFill="1" applyBorder="1" applyAlignment="1" applyProtection="1">
      <alignment vertical="center" wrapText="1"/>
      <protection locked="0"/>
    </xf>
    <xf numFmtId="168" fontId="42" fillId="0" borderId="1" xfId="1" applyNumberFormat="1" applyFont="1" applyFill="1" applyBorder="1" applyAlignment="1" applyProtection="1">
      <alignment vertical="center" wrapText="1"/>
      <protection locked="0"/>
    </xf>
    <xf numFmtId="168" fontId="42" fillId="0" borderId="14" xfId="1" applyNumberFormat="1" applyFont="1" applyFill="1" applyBorder="1" applyAlignment="1" applyProtection="1">
      <alignment vertical="center" wrapText="1"/>
      <protection locked="0"/>
    </xf>
    <xf numFmtId="168" fontId="42" fillId="16" borderId="13" xfId="1" applyNumberFormat="1" applyFont="1" applyFill="1" applyBorder="1" applyAlignment="1" applyProtection="1">
      <alignment vertical="center" wrapText="1"/>
      <protection locked="0"/>
    </xf>
    <xf numFmtId="168" fontId="42" fillId="16" borderId="1" xfId="1" applyNumberFormat="1" applyFont="1" applyFill="1" applyBorder="1" applyAlignment="1" applyProtection="1">
      <alignment vertical="center" wrapText="1"/>
      <protection locked="0"/>
    </xf>
    <xf numFmtId="168" fontId="42" fillId="16" borderId="14" xfId="1" applyNumberFormat="1" applyFont="1" applyFill="1" applyBorder="1" applyAlignment="1" applyProtection="1">
      <alignment vertical="center" wrapText="1"/>
      <protection locked="0"/>
    </xf>
    <xf numFmtId="0" fontId="42" fillId="0" borderId="22" xfId="0" applyFont="1" applyFill="1" applyBorder="1" applyAlignment="1" applyProtection="1">
      <alignment horizontal="center" vertical="center" wrapText="1"/>
      <protection locked="0"/>
    </xf>
    <xf numFmtId="0" fontId="42" fillId="0" borderId="23" xfId="0" applyFont="1" applyFill="1" applyBorder="1" applyAlignment="1" applyProtection="1">
      <alignment horizontal="center" vertical="center" wrapText="1"/>
      <protection locked="0"/>
    </xf>
    <xf numFmtId="0" fontId="42" fillId="0" borderId="15" xfId="0" applyFont="1" applyFill="1" applyBorder="1" applyAlignment="1" applyProtection="1">
      <alignment horizontal="center" vertical="center" wrapText="1"/>
      <protection locked="0"/>
    </xf>
    <xf numFmtId="0" fontId="42" fillId="0" borderId="16" xfId="0" applyFont="1" applyFill="1" applyBorder="1" applyAlignment="1" applyProtection="1">
      <alignment horizontal="center" vertical="center" wrapText="1"/>
      <protection locked="0"/>
    </xf>
    <xf numFmtId="0" fontId="42" fillId="0" borderId="20" xfId="0" applyFont="1" applyFill="1" applyBorder="1" applyAlignment="1" applyProtection="1">
      <alignment horizontal="right" vertical="center" wrapText="1"/>
      <protection locked="0"/>
    </xf>
    <xf numFmtId="0" fontId="42" fillId="0" borderId="8" xfId="0" applyFont="1" applyFill="1" applyBorder="1" applyAlignment="1" applyProtection="1">
      <alignment horizontal="right" vertical="center" wrapText="1"/>
      <protection locked="0"/>
    </xf>
    <xf numFmtId="0" fontId="42" fillId="0" borderId="53" xfId="0" applyFont="1" applyFill="1" applyBorder="1" applyAlignment="1" applyProtection="1">
      <alignment horizontal="right" vertical="center" wrapText="1"/>
      <protection locked="0"/>
    </xf>
    <xf numFmtId="14" fontId="42" fillId="0" borderId="13" xfId="0" applyNumberFormat="1" applyFont="1" applyFill="1" applyBorder="1" applyAlignment="1" applyProtection="1">
      <alignment horizontal="right" vertical="center" wrapText="1"/>
      <protection locked="0"/>
    </xf>
    <xf numFmtId="0" fontId="42" fillId="0" borderId="1" xfId="0" applyFont="1" applyFill="1" applyBorder="1" applyAlignment="1" applyProtection="1">
      <alignment horizontal="right" vertical="center" wrapText="1"/>
      <protection locked="0"/>
    </xf>
    <xf numFmtId="0" fontId="42" fillId="0" borderId="14" xfId="0" applyFont="1" applyFill="1" applyBorder="1" applyAlignment="1" applyProtection="1">
      <alignment horizontal="right" vertical="center" wrapText="1"/>
      <protection locked="0"/>
    </xf>
    <xf numFmtId="168" fontId="42" fillId="16" borderId="1" xfId="1" applyNumberFormat="1" applyFont="1" applyFill="1" applyBorder="1" applyAlignment="1" applyProtection="1">
      <alignment horizontal="center" vertical="center" wrapText="1"/>
      <protection locked="0"/>
    </xf>
    <xf numFmtId="168" fontId="42" fillId="16" borderId="14" xfId="1" applyNumberFormat="1" applyFont="1" applyFill="1" applyBorder="1" applyAlignment="1" applyProtection="1">
      <alignment horizontal="center" vertical="center" wrapText="1"/>
      <protection locked="0"/>
    </xf>
    <xf numFmtId="0" fontId="42" fillId="0" borderId="21" xfId="0" applyFont="1" applyFill="1" applyBorder="1" applyAlignment="1" applyProtection="1">
      <alignment horizontal="center" vertical="center" wrapText="1"/>
      <protection locked="0"/>
    </xf>
    <xf numFmtId="2" fontId="42" fillId="0" borderId="22" xfId="0" applyNumberFormat="1" applyFont="1" applyFill="1" applyBorder="1" applyAlignment="1" applyProtection="1">
      <alignment horizontal="center" vertical="center" wrapText="1"/>
      <protection locked="0"/>
    </xf>
    <xf numFmtId="2" fontId="42" fillId="0" borderId="23" xfId="0" applyNumberFormat="1" applyFont="1" applyFill="1" applyBorder="1" applyAlignment="1" applyProtection="1">
      <alignment horizontal="center" vertical="center" wrapText="1"/>
      <protection locked="0"/>
    </xf>
    <xf numFmtId="0" fontId="42" fillId="17" borderId="21" xfId="0" applyFont="1" applyFill="1" applyBorder="1" applyAlignment="1" applyProtection="1">
      <alignment horizontal="center" vertical="center" wrapText="1"/>
      <protection locked="0"/>
    </xf>
    <xf numFmtId="0" fontId="42" fillId="17" borderId="22" xfId="0" applyFont="1" applyFill="1" applyBorder="1" applyAlignment="1" applyProtection="1">
      <alignment horizontal="center" vertical="center" wrapText="1"/>
      <protection locked="0"/>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0" fontId="42" fillId="0" borderId="22" xfId="0" applyFont="1" applyFill="1" applyBorder="1" applyAlignment="1" applyProtection="1">
      <alignment vertical="center" wrapText="1"/>
      <protection locked="0"/>
    </xf>
    <xf numFmtId="49" fontId="42" fillId="0" borderId="21" xfId="0" applyNumberFormat="1" applyFont="1" applyFill="1" applyBorder="1" applyAlignment="1" applyProtection="1">
      <alignment horizontal="right" vertical="center" wrapText="1"/>
      <protection locked="0"/>
    </xf>
    <xf numFmtId="49" fontId="42" fillId="0" borderId="22" xfId="0" applyNumberFormat="1" applyFont="1" applyFill="1" applyBorder="1" applyAlignment="1" applyProtection="1">
      <alignment horizontal="right" vertical="center" wrapText="1"/>
      <protection locked="0"/>
    </xf>
    <xf numFmtId="49" fontId="42" fillId="0" borderId="23" xfId="0" applyNumberFormat="1" applyFont="1" applyFill="1" applyBorder="1" applyAlignment="1" applyProtection="1">
      <alignment horizontal="right" vertical="center" wrapText="1"/>
      <protection locked="0"/>
    </xf>
    <xf numFmtId="0" fontId="42" fillId="16" borderId="21" xfId="0" applyFont="1" applyFill="1" applyBorder="1" applyAlignment="1" applyProtection="1">
      <alignment vertical="center" wrapText="1"/>
      <protection locked="0"/>
    </xf>
    <xf numFmtId="0" fontId="42" fillId="16" borderId="37" xfId="0" applyFont="1" applyFill="1" applyBorder="1" applyAlignment="1" applyProtection="1">
      <alignment vertical="center" wrapText="1"/>
      <protection locked="0"/>
    </xf>
    <xf numFmtId="0" fontId="42" fillId="16" borderId="24" xfId="0" applyFont="1" applyFill="1" applyBorder="1" applyAlignment="1" applyProtection="1">
      <alignment horizontal="left" vertical="center" wrapText="1"/>
      <protection locked="0"/>
    </xf>
    <xf numFmtId="0" fontId="42" fillId="16" borderId="25" xfId="0"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horizontal="right" vertical="center" wrapText="1"/>
      <protection locked="0"/>
    </xf>
    <xf numFmtId="0" fontId="42" fillId="0" borderId="22" xfId="0" applyFont="1" applyFill="1" applyBorder="1" applyAlignment="1" applyProtection="1">
      <alignment horizontal="right" vertical="center" wrapText="1"/>
      <protection locked="0"/>
    </xf>
    <xf numFmtId="14" fontId="42" fillId="0" borderId="22" xfId="0" applyNumberFormat="1" applyFont="1" applyFill="1" applyBorder="1" applyAlignment="1" applyProtection="1">
      <alignment horizontal="center" vertical="center" wrapText="1"/>
      <protection locked="0"/>
    </xf>
    <xf numFmtId="0" fontId="42" fillId="16" borderId="59" xfId="0" applyFont="1" applyFill="1" applyBorder="1" applyAlignment="1" applyProtection="1">
      <alignment vertical="center" wrapText="1"/>
      <protection locked="0"/>
    </xf>
    <xf numFmtId="0" fontId="42" fillId="16" borderId="57" xfId="0" applyFont="1" applyFill="1" applyBorder="1" applyAlignment="1" applyProtection="1">
      <alignment vertical="center" wrapText="1"/>
      <protection locked="0"/>
    </xf>
    <xf numFmtId="0" fontId="42" fillId="16" borderId="52" xfId="0" applyFont="1" applyFill="1" applyBorder="1" applyAlignment="1" applyProtection="1">
      <alignment vertical="center" wrapText="1"/>
      <protection locked="0"/>
    </xf>
    <xf numFmtId="0" fontId="42" fillId="16" borderId="0" xfId="0" applyFont="1" applyFill="1" applyBorder="1" applyAlignment="1" applyProtection="1">
      <alignment vertical="center" wrapText="1"/>
      <protection locked="0"/>
    </xf>
    <xf numFmtId="0" fontId="42" fillId="16" borderId="61" xfId="0" applyFont="1" applyFill="1" applyBorder="1" applyAlignment="1" applyProtection="1">
      <alignment vertical="center" wrapText="1"/>
      <protection locked="0"/>
    </xf>
    <xf numFmtId="0" fontId="41" fillId="16" borderId="24" xfId="0" applyFont="1" applyFill="1" applyBorder="1" applyAlignment="1" applyProtection="1">
      <alignment horizontal="center" vertical="center"/>
      <protection locked="0"/>
    </xf>
    <xf numFmtId="0" fontId="41" fillId="16" borderId="25" xfId="0" applyFont="1" applyFill="1" applyBorder="1" applyAlignment="1" applyProtection="1">
      <alignment horizontal="center" vertical="center"/>
      <protection locked="0"/>
    </xf>
    <xf numFmtId="168" fontId="42" fillId="16" borderId="59" xfId="1" applyNumberFormat="1" applyFont="1" applyFill="1" applyBorder="1" applyAlignment="1" applyProtection="1">
      <alignment horizontal="center" vertical="center" wrapText="1"/>
    </xf>
    <xf numFmtId="168" fontId="42" fillId="16" borderId="57" xfId="1" applyNumberFormat="1" applyFont="1" applyFill="1" applyBorder="1" applyAlignment="1" applyProtection="1">
      <alignment horizontal="center" vertical="center" wrapText="1"/>
    </xf>
    <xf numFmtId="168" fontId="42" fillId="16" borderId="62" xfId="1" applyNumberFormat="1" applyFont="1" applyFill="1" applyBorder="1" applyAlignment="1" applyProtection="1">
      <alignment horizontal="center" vertical="center" wrapText="1"/>
    </xf>
    <xf numFmtId="0" fontId="42" fillId="16" borderId="21" xfId="0" applyFont="1" applyFill="1" applyBorder="1" applyAlignment="1" applyProtection="1">
      <alignment horizontal="left" vertical="center" wrapText="1"/>
      <protection locked="0"/>
    </xf>
    <xf numFmtId="0" fontId="42" fillId="16" borderId="37" xfId="0" applyFont="1" applyFill="1" applyBorder="1" applyAlignment="1" applyProtection="1">
      <alignment horizontal="left" vertical="center" wrapText="1"/>
      <protection locked="0"/>
    </xf>
    <xf numFmtId="14" fontId="42" fillId="0" borderId="21" xfId="0" applyNumberFormat="1" applyFont="1" applyFill="1" applyBorder="1" applyAlignment="1" applyProtection="1">
      <alignment vertical="center" wrapText="1"/>
      <protection locked="0"/>
    </xf>
    <xf numFmtId="14" fontId="42" fillId="0" borderId="67" xfId="0" applyNumberFormat="1" applyFont="1" applyFill="1" applyBorder="1" applyAlignment="1" applyProtection="1">
      <alignment vertical="center" wrapText="1"/>
      <protection locked="0"/>
    </xf>
    <xf numFmtId="168" fontId="42" fillId="0" borderId="67" xfId="1" applyNumberFormat="1" applyFont="1" applyFill="1" applyBorder="1" applyAlignment="1" applyProtection="1">
      <alignment horizontal="center" vertical="center" wrapText="1"/>
      <protection locked="0"/>
    </xf>
    <xf numFmtId="0" fontId="42" fillId="0" borderId="67" xfId="0" applyFont="1" applyFill="1" applyBorder="1" applyAlignment="1" applyProtection="1">
      <alignment horizontal="center" vertical="center" wrapText="1"/>
      <protection locked="0"/>
    </xf>
    <xf numFmtId="43" fontId="42" fillId="16" borderId="38" xfId="3" applyNumberFormat="1" applyFont="1" applyFill="1" applyBorder="1" applyAlignment="1" applyProtection="1">
      <alignment horizontal="center" vertical="center" wrapText="1"/>
      <protection locked="0"/>
    </xf>
    <xf numFmtId="43" fontId="42" fillId="16" borderId="16" xfId="3" applyNumberFormat="1" applyFont="1" applyFill="1" applyBorder="1" applyAlignment="1" applyProtection="1">
      <alignment horizontal="center" vertical="center" wrapText="1"/>
      <protection locked="0"/>
    </xf>
    <xf numFmtId="43" fontId="42" fillId="16" borderId="17" xfId="3" applyNumberFormat="1" applyFont="1" applyFill="1" applyBorder="1" applyAlignment="1" applyProtection="1">
      <alignment horizontal="center" vertical="center" wrapText="1"/>
      <protection locked="0"/>
    </xf>
    <xf numFmtId="43" fontId="42" fillId="16" borderId="15" xfId="3" applyNumberFormat="1" applyFont="1" applyFill="1" applyBorder="1" applyAlignment="1" applyProtection="1">
      <alignment horizontal="center" vertical="center" wrapText="1"/>
      <protection locked="0"/>
    </xf>
    <xf numFmtId="0" fontId="42" fillId="0" borderId="37" xfId="0" applyFont="1" applyFill="1" applyBorder="1" applyAlignment="1" applyProtection="1">
      <alignment horizontal="center" vertical="center" wrapText="1"/>
      <protection locked="0"/>
    </xf>
    <xf numFmtId="14" fontId="42" fillId="0" borderId="21" xfId="0" applyNumberFormat="1" applyFont="1" applyFill="1" applyBorder="1" applyAlignment="1" applyProtection="1">
      <alignment horizontal="right" vertical="center" wrapText="1"/>
      <protection locked="0"/>
    </xf>
    <xf numFmtId="0" fontId="42" fillId="0" borderId="23" xfId="0" applyFont="1" applyFill="1" applyBorder="1" applyAlignment="1" applyProtection="1">
      <alignment horizontal="right" vertical="center" wrapText="1"/>
      <protection locked="0"/>
    </xf>
    <xf numFmtId="2" fontId="42" fillId="0" borderId="67" xfId="0" applyNumberFormat="1" applyFont="1" applyFill="1" applyBorder="1" applyAlignment="1" applyProtection="1">
      <alignment horizontal="center" vertical="center" wrapText="1"/>
      <protection locked="0"/>
    </xf>
    <xf numFmtId="0" fontId="35" fillId="0" borderId="0" xfId="0" applyFont="1" applyFill="1" applyBorder="1" applyAlignment="1" applyProtection="1">
      <alignment horizontal="center" vertical="center" wrapText="1"/>
      <protection locked="0"/>
    </xf>
    <xf numFmtId="0" fontId="42" fillId="16" borderId="31" xfId="0" applyFont="1" applyFill="1" applyBorder="1" applyAlignment="1" applyProtection="1">
      <alignment horizontal="center" vertical="center" wrapText="1"/>
      <protection locked="0"/>
    </xf>
    <xf numFmtId="0" fontId="42" fillId="16" borderId="5" xfId="0" applyFont="1" applyFill="1" applyBorder="1" applyAlignment="1" applyProtection="1">
      <alignment horizontal="center" vertical="center" wrapText="1"/>
      <protection locked="0"/>
    </xf>
    <xf numFmtId="0" fontId="42" fillId="16" borderId="10" xfId="0" applyFont="1" applyFill="1" applyBorder="1" applyAlignment="1" applyProtection="1">
      <alignment horizontal="center" vertical="center" wrapText="1"/>
      <protection locked="0"/>
    </xf>
    <xf numFmtId="0" fontId="42" fillId="16" borderId="11" xfId="0" applyFont="1" applyFill="1" applyBorder="1" applyAlignment="1" applyProtection="1">
      <alignment horizontal="center" vertical="center" wrapText="1"/>
      <protection locked="0"/>
    </xf>
    <xf numFmtId="0" fontId="42" fillId="16" borderId="12" xfId="0" applyFont="1" applyFill="1" applyBorder="1" applyAlignment="1" applyProtection="1">
      <alignment horizontal="center" vertical="center" wrapText="1"/>
      <protection locked="0"/>
    </xf>
    <xf numFmtId="1" fontId="42" fillId="0" borderId="44" xfId="2" applyNumberFormat="1" applyFont="1" applyFill="1" applyBorder="1" applyAlignment="1" applyProtection="1">
      <alignment horizontal="center" vertical="center" wrapText="1"/>
      <protection locked="0"/>
    </xf>
    <xf numFmtId="1" fontId="42" fillId="0" borderId="32" xfId="2" applyNumberFormat="1" applyFont="1" applyFill="1" applyBorder="1" applyAlignment="1" applyProtection="1">
      <alignment horizontal="center" vertical="center" wrapText="1"/>
      <protection locked="0"/>
    </xf>
    <xf numFmtId="1" fontId="42" fillId="0" borderId="33" xfId="2" applyNumberFormat="1" applyFont="1" applyFill="1" applyBorder="1" applyAlignment="1" applyProtection="1">
      <alignment horizontal="center" vertical="center" wrapText="1"/>
      <protection locked="0"/>
    </xf>
    <xf numFmtId="0" fontId="42" fillId="16" borderId="23"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right" vertical="center" wrapText="1"/>
      <protection locked="0"/>
    </xf>
    <xf numFmtId="0" fontId="42" fillId="0" borderId="11" xfId="0" applyFont="1" applyFill="1" applyBorder="1" applyAlignment="1" applyProtection="1">
      <alignment horizontal="right" vertical="center" wrapText="1"/>
      <protection locked="0"/>
    </xf>
    <xf numFmtId="0" fontId="42" fillId="0" borderId="12" xfId="0" applyFont="1" applyFill="1" applyBorder="1" applyAlignment="1" applyProtection="1">
      <alignment horizontal="right" vertical="center" wrapText="1"/>
      <protection locked="0"/>
    </xf>
    <xf numFmtId="0" fontId="31" fillId="0" borderId="0" xfId="0" applyFont="1" applyFill="1" applyBorder="1" applyAlignment="1" applyProtection="1">
      <alignment horizontal="center" vertical="center" wrapText="1"/>
      <protection locked="0"/>
    </xf>
    <xf numFmtId="0" fontId="42" fillId="0" borderId="50" xfId="0" applyFont="1" applyFill="1" applyBorder="1" applyAlignment="1" applyProtection="1">
      <alignment horizontal="right" vertical="center" wrapText="1"/>
      <protection locked="0"/>
    </xf>
    <xf numFmtId="168" fontId="42" fillId="0" borderId="3" xfId="1" applyNumberFormat="1" applyFont="1" applyFill="1" applyBorder="1" applyAlignment="1" applyProtection="1">
      <alignment vertical="center" wrapText="1"/>
      <protection locked="0"/>
    </xf>
    <xf numFmtId="168" fontId="42" fillId="16" borderId="3" xfId="1" applyNumberFormat="1" applyFont="1" applyFill="1" applyBorder="1" applyAlignment="1" applyProtection="1">
      <alignment vertical="center" wrapText="1"/>
      <protection locked="0"/>
    </xf>
    <xf numFmtId="0" fontId="5" fillId="0" borderId="1" xfId="0" applyFont="1" applyFill="1" applyBorder="1" applyAlignment="1" applyProtection="1">
      <alignment horizontal="center" vertical="center" wrapText="1"/>
      <protection locked="0"/>
    </xf>
    <xf numFmtId="168" fontId="42" fillId="16" borderId="24" xfId="1" applyNumberFormat="1" applyFont="1" applyFill="1" applyBorder="1" applyAlignment="1" applyProtection="1">
      <alignment horizontal="center" vertical="center" wrapText="1"/>
    </xf>
    <xf numFmtId="168" fontId="42" fillId="16" borderId="25" xfId="1" applyNumberFormat="1" applyFont="1" applyFill="1" applyBorder="1" applyAlignment="1" applyProtection="1">
      <alignment horizontal="center" vertical="center" wrapText="1"/>
    </xf>
    <xf numFmtId="168" fontId="42" fillId="16" borderId="26" xfId="1" applyNumberFormat="1" applyFont="1" applyFill="1" applyBorder="1" applyAlignment="1" applyProtection="1">
      <alignment horizontal="center" vertical="center" wrapText="1"/>
    </xf>
    <xf numFmtId="14" fontId="42" fillId="0" borderId="3" xfId="0" applyNumberFormat="1" applyFont="1" applyFill="1" applyBorder="1" applyAlignment="1" applyProtection="1">
      <alignment horizontal="right" vertical="center" wrapText="1"/>
      <protection locked="0"/>
    </xf>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42" fillId="16" borderId="10" xfId="0" applyFont="1" applyFill="1" applyBorder="1" applyAlignment="1" applyProtection="1">
      <alignment horizontal="center" vertical="center"/>
      <protection locked="0"/>
    </xf>
    <xf numFmtId="0" fontId="42" fillId="16" borderId="27" xfId="0" applyFont="1" applyFill="1" applyBorder="1" applyAlignment="1" applyProtection="1">
      <alignment horizontal="center" vertical="center"/>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1" fillId="0" borderId="0" xfId="0" applyFont="1" applyFill="1" applyBorder="1" applyAlignment="1">
      <alignment horizontal="center" vertical="center" wrapText="1"/>
    </xf>
    <xf numFmtId="0" fontId="49" fillId="0" borderId="0" xfId="0" applyFont="1" applyFill="1" applyAlignment="1">
      <alignment horizontal="center" vertical="center" wrapText="1"/>
    </xf>
    <xf numFmtId="0" fontId="35" fillId="0" borderId="0" xfId="0" applyFont="1" applyFill="1" applyAlignment="1">
      <alignment horizontal="center" vertical="center"/>
    </xf>
    <xf numFmtId="0" fontId="51" fillId="0" borderId="55" xfId="0" applyFont="1" applyBorder="1" applyAlignment="1">
      <alignment horizontal="center" vertical="center" wrapText="1"/>
    </xf>
    <xf numFmtId="0" fontId="51" fillId="0" borderId="19" xfId="0" applyFont="1" applyBorder="1" applyAlignment="1">
      <alignment horizontal="center" vertical="center" wrapText="1"/>
    </xf>
    <xf numFmtId="0" fontId="41" fillId="16" borderId="9" xfId="0" applyFont="1" applyFill="1" applyBorder="1" applyAlignment="1">
      <alignment horizontal="center" vertical="center" wrapText="1"/>
    </xf>
    <xf numFmtId="0" fontId="6" fillId="0" borderId="55"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16" borderId="24" xfId="0" applyFont="1" applyFill="1" applyBorder="1" applyAlignment="1">
      <alignment horizontal="center" vertical="center"/>
    </xf>
    <xf numFmtId="0" fontId="31" fillId="16" borderId="67" xfId="0" applyFont="1" applyFill="1" applyBorder="1" applyAlignment="1">
      <alignment horizontal="center" vertical="center"/>
    </xf>
    <xf numFmtId="0" fontId="5" fillId="16" borderId="55"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31" fillId="16" borderId="1" xfId="0" applyFont="1" applyFill="1" applyBorder="1" applyAlignment="1">
      <alignment horizontal="center" vertical="center" wrapText="1"/>
    </xf>
    <xf numFmtId="0" fontId="41" fillId="16" borderId="42" xfId="0" applyFont="1" applyFill="1" applyBorder="1" applyAlignment="1">
      <alignment horizontal="center" vertical="center" wrapText="1"/>
    </xf>
    <xf numFmtId="0" fontId="41" fillId="16" borderId="60" xfId="0" applyFont="1" applyFill="1" applyBorder="1" applyAlignment="1">
      <alignment horizontal="center" vertical="center" wrapText="1"/>
    </xf>
    <xf numFmtId="0" fontId="50" fillId="0" borderId="59" xfId="0" applyFont="1" applyFill="1" applyBorder="1" applyAlignment="1">
      <alignment horizontal="left" vertical="center" wrapText="1"/>
    </xf>
    <xf numFmtId="0" fontId="50" fillId="0" borderId="68" xfId="0" applyFont="1" applyFill="1" applyBorder="1" applyAlignment="1">
      <alignment horizontal="left" vertical="center" wrapText="1"/>
    </xf>
    <xf numFmtId="0" fontId="50" fillId="0" borderId="58" xfId="0" applyFont="1" applyFill="1" applyBorder="1" applyAlignment="1">
      <alignment horizontal="left" vertical="center" wrapText="1"/>
    </xf>
    <xf numFmtId="0" fontId="50" fillId="0" borderId="65" xfId="0" applyFont="1" applyFill="1" applyBorder="1" applyAlignment="1">
      <alignment horizontal="left" vertical="center" wrapText="1"/>
    </xf>
    <xf numFmtId="0" fontId="42" fillId="16" borderId="59" xfId="0" applyFont="1" applyFill="1" applyBorder="1" applyAlignment="1">
      <alignment horizontal="center" vertical="center" wrapText="1"/>
    </xf>
    <xf numFmtId="0" fontId="42" fillId="16" borderId="52" xfId="0" applyFont="1" applyFill="1" applyBorder="1" applyAlignment="1">
      <alignment horizontal="center" vertical="center" wrapText="1"/>
    </xf>
    <xf numFmtId="2" fontId="51" fillId="4" borderId="5" xfId="0" applyNumberFormat="1" applyFont="1" applyFill="1" applyBorder="1" applyAlignment="1">
      <alignment horizontal="center" vertical="center" wrapText="1"/>
    </xf>
    <xf numFmtId="2" fontId="51" fillId="4" borderId="54" xfId="0" applyNumberFormat="1" applyFont="1" applyFill="1" applyBorder="1" applyAlignment="1">
      <alignment horizontal="center" vertical="center" wrapText="1"/>
    </xf>
    <xf numFmtId="2" fontId="51" fillId="4" borderId="64" xfId="0" applyNumberFormat="1" applyFont="1" applyFill="1" applyBorder="1" applyAlignment="1">
      <alignment horizontal="center" vertical="center" wrapText="1"/>
    </xf>
    <xf numFmtId="2" fontId="51" fillId="4" borderId="66" xfId="0" applyNumberFormat="1"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41" fillId="16" borderId="26" xfId="0" applyFont="1" applyFill="1" applyBorder="1" applyAlignment="1">
      <alignment horizontal="center" vertical="center" wrapText="1"/>
    </xf>
    <xf numFmtId="14" fontId="51" fillId="4" borderId="55" xfId="0" applyNumberFormat="1" applyFont="1" applyFill="1" applyBorder="1" applyAlignment="1">
      <alignment horizontal="center" vertical="center" wrapText="1"/>
    </xf>
    <xf numFmtId="0" fontId="51" fillId="4" borderId="19" xfId="0" applyFont="1" applyFill="1" applyBorder="1" applyAlignment="1">
      <alignment horizontal="center" vertical="center" wrapText="1"/>
    </xf>
    <xf numFmtId="49" fontId="51" fillId="4" borderId="55" xfId="0" applyNumberFormat="1" applyFont="1" applyFill="1" applyBorder="1" applyAlignment="1">
      <alignment horizontal="center" vertical="center" wrapText="1"/>
    </xf>
    <xf numFmtId="49" fontId="51" fillId="4" borderId="19" xfId="0" applyNumberFormat="1" applyFont="1" applyFill="1" applyBorder="1" applyAlignment="1">
      <alignment horizontal="center" vertical="center" wrapText="1"/>
    </xf>
    <xf numFmtId="14" fontId="51" fillId="0" borderId="55" xfId="0" applyNumberFormat="1" applyFont="1" applyBorder="1" applyAlignment="1">
      <alignment horizontal="center" vertical="center" wrapText="1"/>
    </xf>
    <xf numFmtId="14" fontId="51" fillId="0" borderId="72" xfId="0" applyNumberFormat="1" applyFont="1" applyBorder="1" applyAlignment="1">
      <alignment horizontal="center" vertical="center" wrapText="1"/>
    </xf>
    <xf numFmtId="14" fontId="51" fillId="0" borderId="73" xfId="0" applyNumberFormat="1" applyFont="1" applyBorder="1" applyAlignment="1">
      <alignment horizontal="center" vertical="center" wrapText="1"/>
    </xf>
    <xf numFmtId="2" fontId="51" fillId="0" borderId="55" xfId="0" applyNumberFormat="1"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2" fontId="51" fillId="0" borderId="59" xfId="0" applyNumberFormat="1" applyFont="1" applyFill="1" applyBorder="1" applyAlignment="1">
      <alignment horizontal="center" vertical="center" wrapText="1"/>
    </xf>
    <xf numFmtId="2" fontId="51" fillId="0" borderId="62" xfId="0" applyNumberFormat="1" applyFont="1" applyFill="1" applyBorder="1" applyAlignment="1">
      <alignment horizontal="center" vertical="center" wrapText="1"/>
    </xf>
    <xf numFmtId="2" fontId="51" fillId="0" borderId="58" xfId="0" applyNumberFormat="1" applyFont="1" applyFill="1" applyBorder="1" applyAlignment="1">
      <alignment horizontal="center" vertical="center" wrapText="1"/>
    </xf>
    <xf numFmtId="2" fontId="51" fillId="0" borderId="66" xfId="0" applyNumberFormat="1" applyFont="1" applyFill="1" applyBorder="1" applyAlignment="1">
      <alignment horizontal="center" vertical="center" wrapText="1"/>
    </xf>
    <xf numFmtId="168" fontId="28" fillId="5" borderId="24" xfId="1" applyNumberFormat="1" applyFont="1" applyFill="1" applyBorder="1" applyAlignment="1">
      <alignment horizontal="center" vertical="center" wrapText="1"/>
    </xf>
    <xf numFmtId="168" fontId="28" fillId="5" borderId="25" xfId="1" applyNumberFormat="1" applyFont="1" applyFill="1" applyBorder="1" applyAlignment="1">
      <alignment horizontal="center" vertical="center" wrapText="1"/>
    </xf>
    <xf numFmtId="168" fontId="28" fillId="5" borderId="26" xfId="1" applyNumberFormat="1" applyFont="1" applyFill="1" applyBorder="1" applyAlignment="1">
      <alignment horizontal="center" vertical="center" wrapText="1"/>
    </xf>
    <xf numFmtId="0" fontId="28" fillId="10" borderId="24" xfId="573" applyFont="1" applyFill="1" applyBorder="1" applyAlignment="1">
      <alignment horizontal="center" vertical="center" wrapText="1"/>
    </xf>
    <xf numFmtId="0" fontId="28" fillId="10" borderId="25" xfId="573" applyFont="1" applyFill="1" applyBorder="1" applyAlignment="1">
      <alignment horizontal="center" vertical="center" wrapText="1"/>
    </xf>
    <xf numFmtId="0" fontId="28"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0" fillId="0" borderId="0" xfId="0" applyFont="1" applyFill="1" applyAlignment="1">
      <alignment horizontal="center" vertical="center"/>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5" fillId="0" borderId="13"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0" fillId="0" borderId="0" xfId="0" applyFont="1" applyFill="1" applyBorder="1" applyAlignment="1">
      <alignment horizontal="center" vertical="center" wrapText="1"/>
    </xf>
    <xf numFmtId="49" fontId="0" fillId="4" borderId="9" xfId="0" applyNumberFormat="1" applyFill="1" applyBorder="1" applyAlignment="1">
      <alignment horizontal="center" vertical="center"/>
    </xf>
    <xf numFmtId="0" fontId="24" fillId="0" borderId="0" xfId="0" applyFont="1" applyFill="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5" fillId="0" borderId="43"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5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43" fillId="16" borderId="59" xfId="0" applyFont="1" applyFill="1" applyBorder="1" applyAlignment="1">
      <alignment horizontal="center" vertical="center" wrapText="1"/>
    </xf>
    <xf numFmtId="0" fontId="43" fillId="16" borderId="62" xfId="0" applyFont="1" applyFill="1" applyBorder="1" applyAlignment="1">
      <alignment horizontal="center" vertical="center" wrapText="1"/>
    </xf>
    <xf numFmtId="0" fontId="43" fillId="16" borderId="58" xfId="0" applyFont="1" applyFill="1" applyBorder="1" applyAlignment="1">
      <alignment horizontal="center" vertical="center" wrapText="1"/>
    </xf>
    <xf numFmtId="0" fontId="43" fillId="16" borderId="66" xfId="0" applyFont="1" applyFill="1" applyBorder="1" applyAlignment="1">
      <alignment horizontal="center" vertical="center" wrapText="1"/>
    </xf>
    <xf numFmtId="0" fontId="43" fillId="16" borderId="24" xfId="0" applyFont="1" applyFill="1" applyBorder="1" applyAlignment="1">
      <alignment horizontal="center" vertical="center" wrapText="1"/>
    </xf>
    <xf numFmtId="0" fontId="43" fillId="16" borderId="25" xfId="0" applyFont="1" applyFill="1" applyBorder="1" applyAlignment="1">
      <alignment horizontal="center" vertical="center" wrapText="1"/>
    </xf>
    <xf numFmtId="0" fontId="43" fillId="16" borderId="26" xfId="0" applyFont="1" applyFill="1" applyBorder="1" applyAlignment="1">
      <alignment horizontal="center" vertical="center" wrapText="1"/>
    </xf>
    <xf numFmtId="0" fontId="44" fillId="0" borderId="10" xfId="0" applyFont="1" applyFill="1" applyBorder="1" applyAlignment="1">
      <alignment horizontal="center" vertical="center"/>
    </xf>
    <xf numFmtId="0" fontId="44" fillId="0" borderId="11" xfId="0" applyFont="1" applyFill="1" applyBorder="1" applyAlignment="1">
      <alignment horizontal="center" vertical="center"/>
    </xf>
    <xf numFmtId="0" fontId="44" fillId="0" borderId="12" xfId="0" applyFont="1" applyFill="1" applyBorder="1" applyAlignment="1">
      <alignment horizontal="center" vertical="center"/>
    </xf>
    <xf numFmtId="0" fontId="44" fillId="0" borderId="15"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7" xfId="0" applyFont="1" applyFill="1" applyBorder="1" applyAlignment="1">
      <alignment horizontal="center" vertical="center"/>
    </xf>
    <xf numFmtId="0" fontId="45" fillId="0" borderId="21" xfId="0" applyFont="1" applyFill="1" applyBorder="1" applyAlignment="1">
      <alignment horizontal="center" vertical="center" wrapText="1"/>
    </xf>
    <xf numFmtId="0" fontId="45" fillId="0" borderId="23" xfId="0" applyFont="1" applyFill="1" applyBorder="1" applyAlignment="1">
      <alignment horizontal="center" vertical="center" wrapText="1"/>
    </xf>
    <xf numFmtId="0" fontId="46" fillId="0" borderId="21" xfId="0" applyFont="1" applyBorder="1" applyAlignment="1">
      <alignment horizontal="center" vertical="center"/>
    </xf>
    <xf numFmtId="0" fontId="46" fillId="0" borderId="23" xfId="0" applyFont="1" applyBorder="1" applyAlignment="1">
      <alignment horizontal="center" vertical="center"/>
    </xf>
    <xf numFmtId="0" fontId="44" fillId="0" borderId="21" xfId="0" applyFont="1" applyBorder="1" applyAlignment="1">
      <alignment horizontal="center" vertical="center"/>
    </xf>
    <xf numFmtId="0" fontId="44" fillId="0" borderId="23" xfId="0" applyFont="1" applyBorder="1" applyAlignment="1">
      <alignment horizontal="center" vertical="center"/>
    </xf>
    <xf numFmtId="0" fontId="43" fillId="16" borderId="24" xfId="574" applyFont="1" applyFill="1" applyBorder="1" applyAlignment="1">
      <alignment horizontal="center" vertical="center" wrapText="1"/>
    </xf>
    <xf numFmtId="0" fontId="43" fillId="16" borderId="25" xfId="574" applyFont="1" applyFill="1" applyBorder="1" applyAlignment="1">
      <alignment horizontal="center" vertical="center" wrapText="1"/>
    </xf>
    <xf numFmtId="0" fontId="43" fillId="16" borderId="26" xfId="574" applyFont="1" applyFill="1" applyBorder="1" applyAlignment="1">
      <alignment horizontal="center" vertical="center" wrapText="1"/>
    </xf>
    <xf numFmtId="0" fontId="43" fillId="16" borderId="58" xfId="574" applyFont="1" applyFill="1" applyBorder="1" applyAlignment="1">
      <alignment horizontal="center" vertical="center" wrapText="1"/>
    </xf>
    <xf numFmtId="0" fontId="43" fillId="16" borderId="61" xfId="574" applyFont="1" applyFill="1" applyBorder="1" applyAlignment="1">
      <alignment horizontal="center" vertical="center" wrapText="1"/>
    </xf>
    <xf numFmtId="0" fontId="43" fillId="16" borderId="65" xfId="574" applyFont="1" applyFill="1" applyBorder="1" applyAlignment="1">
      <alignment horizontal="center" vertical="center" wrapText="1"/>
    </xf>
    <xf numFmtId="0" fontId="25" fillId="0" borderId="40" xfId="0" applyFont="1" applyBorder="1" applyAlignment="1">
      <alignment horizontal="center" vertical="center"/>
    </xf>
    <xf numFmtId="0" fontId="25" fillId="0" borderId="70" xfId="0" applyFont="1" applyBorder="1" applyAlignment="1">
      <alignment horizontal="center" vertical="center"/>
    </xf>
    <xf numFmtId="0" fontId="25" fillId="0" borderId="50" xfId="0" applyFont="1" applyBorder="1" applyAlignment="1">
      <alignment horizontal="center" vertical="center"/>
    </xf>
    <xf numFmtId="0" fontId="43" fillId="16" borderId="21" xfId="574" applyFont="1" applyFill="1" applyBorder="1" applyAlignment="1">
      <alignment horizontal="center" vertical="center" wrapText="1"/>
    </xf>
    <xf numFmtId="0" fontId="43" fillId="16" borderId="22" xfId="574" applyFont="1" applyFill="1" applyBorder="1" applyAlignment="1">
      <alignment horizontal="center" vertical="center" wrapText="1"/>
    </xf>
    <xf numFmtId="0" fontId="43" fillId="16" borderId="23" xfId="574" applyFont="1" applyFill="1" applyBorder="1" applyAlignment="1">
      <alignment horizontal="center" vertical="center" wrapText="1"/>
    </xf>
    <xf numFmtId="0" fontId="3" fillId="0" borderId="20"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39"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5" fillId="0" borderId="15"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47" xfId="0" applyFont="1" applyBorder="1" applyAlignment="1">
      <alignment horizontal="center" vertical="center"/>
    </xf>
    <xf numFmtId="0" fontId="25" fillId="0" borderId="45" xfId="0" applyFont="1" applyBorder="1" applyAlignment="1">
      <alignment horizontal="center" vertical="center"/>
    </xf>
    <xf numFmtId="0" fontId="25" fillId="0" borderId="38" xfId="0" applyFont="1" applyBorder="1" applyAlignment="1">
      <alignment horizontal="center" vertical="center"/>
    </xf>
    <xf numFmtId="0" fontId="43" fillId="16" borderId="13" xfId="0" applyFont="1" applyFill="1" applyBorder="1" applyAlignment="1">
      <alignment horizontal="center" vertical="center"/>
    </xf>
    <xf numFmtId="0" fontId="43" fillId="16" borderId="1" xfId="0" applyFont="1" applyFill="1" applyBorder="1" applyAlignment="1">
      <alignment horizontal="center" vertical="center"/>
    </xf>
    <xf numFmtId="0" fontId="43" fillId="16" borderId="14" xfId="0" applyFont="1" applyFill="1" applyBorder="1" applyAlignment="1">
      <alignment horizontal="center" vertical="center"/>
    </xf>
    <xf numFmtId="0" fontId="43" fillId="16" borderId="27" xfId="0" applyFont="1" applyFill="1" applyBorder="1" applyAlignment="1">
      <alignment horizontal="center" vertical="center"/>
    </xf>
    <xf numFmtId="0" fontId="43" fillId="16" borderId="28" xfId="0" applyFont="1" applyFill="1" applyBorder="1" applyAlignment="1">
      <alignment horizontal="center" vertical="center"/>
    </xf>
    <xf numFmtId="0" fontId="43" fillId="16" borderId="29" xfId="0" applyFont="1" applyFill="1" applyBorder="1" applyAlignment="1">
      <alignment horizontal="center" vertical="center"/>
    </xf>
    <xf numFmtId="0" fontId="5" fillId="0" borderId="1" xfId="0" applyFont="1" applyFill="1" applyBorder="1" applyAlignment="1">
      <alignment horizontal="center" vertical="center"/>
    </xf>
    <xf numFmtId="0" fontId="43" fillId="16" borderId="21" xfId="0" applyFont="1" applyFill="1" applyBorder="1" applyAlignment="1">
      <alignment horizontal="center" vertical="center"/>
    </xf>
    <xf numFmtId="0" fontId="43" fillId="16" borderId="22" xfId="0" applyFont="1" applyFill="1" applyBorder="1" applyAlignment="1">
      <alignment horizontal="center" vertical="center"/>
    </xf>
    <xf numFmtId="0" fontId="43" fillId="16" borderId="23" xfId="0" applyFont="1" applyFill="1" applyBorder="1" applyAlignment="1">
      <alignment horizontal="center" vertical="center"/>
    </xf>
    <xf numFmtId="0" fontId="43" fillId="16" borderId="74" xfId="0" applyFont="1" applyFill="1" applyBorder="1" applyAlignment="1">
      <alignment horizontal="center" vertical="center"/>
    </xf>
    <xf numFmtId="0" fontId="43" fillId="16" borderId="75" xfId="0" applyFont="1" applyFill="1" applyBorder="1" applyAlignment="1">
      <alignment horizontal="center" vertical="center"/>
    </xf>
    <xf numFmtId="0" fontId="43" fillId="16" borderId="64" xfId="0" applyFont="1" applyFill="1" applyBorder="1" applyAlignment="1">
      <alignment horizontal="center" vertical="center"/>
    </xf>
    <xf numFmtId="0" fontId="25" fillId="0" borderId="2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 xfId="0" applyFont="1" applyBorder="1" applyAlignment="1">
      <alignment horizontal="center" vertical="center" wrapText="1"/>
    </xf>
  </cellXfs>
  <cellStyles count="577">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ual" xfId="2" builtinId="5"/>
  </cellStyles>
  <dxfs count="102">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9999"/>
        </patternFill>
      </fill>
    </dxf>
    <dxf>
      <fill>
        <patternFill>
          <bgColor rgb="FFFF9999"/>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0</xdr:col>
      <xdr:colOff>585107</xdr:colOff>
      <xdr:row>0</xdr:row>
      <xdr:rowOff>54428</xdr:rowOff>
    </xdr:from>
    <xdr:to>
      <xdr:col>0</xdr:col>
      <xdr:colOff>1964341</xdr:colOff>
      <xdr:row>4</xdr:row>
      <xdr:rowOff>184097</xdr:rowOff>
    </xdr:to>
    <xdr:pic>
      <xdr:nvPicPr>
        <xdr:cNvPr id="3" name="Imagen 2"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camelo/AppData/Local/Microsoft/Windows/Temporary%20Internet%20Files/Content.Outlook/T8ULFPG7/Formato%20Evaluacion.%20Aud.%20Subsidios%20%20201902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valuacion%20Interventoria%2025-05-18-maf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DCsevilla/Downloads/Evaluaci&#243;n%20Auditor&#237;a.%20Proponente%20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RODRIGUEZB/Documents/2019/EVALUACION%20CONTRACTUAL/INTERVENTORIA%20RUTAS/CUADRO%20EVALUACION%20INT%20RUTAS%20SPPP.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row r="2">
          <cell r="A2" t="str">
            <v>Año 2019</v>
          </cell>
          <cell r="B2">
            <v>828116</v>
          </cell>
        </row>
        <row r="3">
          <cell r="A3" t="str">
            <v xml:space="preserve">Año 2018 </v>
          </cell>
          <cell r="B3">
            <v>781242</v>
          </cell>
        </row>
        <row r="4">
          <cell r="A4" t="str">
            <v>Año 2017</v>
          </cell>
          <cell r="B4">
            <v>737717</v>
          </cell>
        </row>
        <row r="5">
          <cell r="A5" t="str">
            <v>Año 2016</v>
          </cell>
          <cell r="B5">
            <v>689455</v>
          </cell>
        </row>
        <row r="6">
          <cell r="A6" t="str">
            <v>Año 2015</v>
          </cell>
          <cell r="B6">
            <v>644350</v>
          </cell>
        </row>
        <row r="7">
          <cell r="A7" t="str">
            <v>Año 2014</v>
          </cell>
          <cell r="B7">
            <v>616000</v>
          </cell>
        </row>
        <row r="8">
          <cell r="A8" t="str">
            <v>Año 2013</v>
          </cell>
          <cell r="B8">
            <v>589500</v>
          </cell>
        </row>
        <row r="9">
          <cell r="A9" t="str">
            <v>Año 2012</v>
          </cell>
          <cell r="B9">
            <v>566700</v>
          </cell>
        </row>
        <row r="10">
          <cell r="A10" t="str">
            <v>Año 2011</v>
          </cell>
          <cell r="B10">
            <v>535600</v>
          </cell>
        </row>
        <row r="11">
          <cell r="A11" t="str">
            <v>Año 2010</v>
          </cell>
          <cell r="B11">
            <v>515000</v>
          </cell>
        </row>
        <row r="12">
          <cell r="A12" t="str">
            <v>Año 2009</v>
          </cell>
          <cell r="B12">
            <v>496900</v>
          </cell>
        </row>
        <row r="13">
          <cell r="A13" t="str">
            <v>Año 2008</v>
          </cell>
          <cell r="B13">
            <v>461500</v>
          </cell>
        </row>
        <row r="14">
          <cell r="A14" t="str">
            <v>Año 2007</v>
          </cell>
          <cell r="B14">
            <v>433700</v>
          </cell>
        </row>
        <row r="15">
          <cell r="A15" t="str">
            <v>Año 2006</v>
          </cell>
          <cell r="B15">
            <v>408000</v>
          </cell>
        </row>
        <row r="16">
          <cell r="A16" t="str">
            <v>Año 2005</v>
          </cell>
          <cell r="B16">
            <v>381500</v>
          </cell>
        </row>
        <row r="17">
          <cell r="A17" t="str">
            <v>Año 2004</v>
          </cell>
          <cell r="B17">
            <v>358000</v>
          </cell>
        </row>
        <row r="18">
          <cell r="A18" t="str">
            <v>Año 2003</v>
          </cell>
          <cell r="B18">
            <v>332000</v>
          </cell>
        </row>
        <row r="19">
          <cell r="A19" t="str">
            <v>Año 2002</v>
          </cell>
          <cell r="B19">
            <v>309000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X"/>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sheetData sheetId="2">
        <row r="9">
          <cell r="A9" t="str">
            <v>CONSORCIO AUDITORIA TRAESCOL</v>
          </cell>
          <cell r="B9">
            <v>3</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c r="A7" s="430" t="s">
        <v>201</v>
      </c>
      <c r="B7" s="430"/>
      <c r="C7" s="430"/>
      <c r="D7" s="430"/>
      <c r="E7" s="430"/>
      <c r="F7" s="430"/>
      <c r="G7" s="430"/>
      <c r="H7" s="430"/>
      <c r="I7" s="430"/>
      <c r="J7" s="430"/>
      <c r="K7" s="430"/>
    </row>
    <row r="8" spans="1:11">
      <c r="A8" s="430" t="s">
        <v>202</v>
      </c>
      <c r="B8" s="430"/>
      <c r="C8" s="430"/>
      <c r="D8" s="430"/>
      <c r="E8" s="430"/>
      <c r="F8" s="430"/>
      <c r="G8" s="430"/>
      <c r="H8" s="430"/>
      <c r="I8" s="430"/>
      <c r="J8" s="430"/>
      <c r="K8" s="430"/>
    </row>
    <row r="9" spans="1:11">
      <c r="A9" s="430" t="s">
        <v>203</v>
      </c>
      <c r="B9" s="430"/>
      <c r="C9" s="430"/>
      <c r="D9" s="430"/>
      <c r="E9" s="430"/>
      <c r="F9" s="430"/>
      <c r="G9" s="430"/>
      <c r="H9" s="430"/>
      <c r="I9" s="430"/>
      <c r="J9" s="430"/>
      <c r="K9" s="430"/>
    </row>
    <row r="10" spans="1:11">
      <c r="A10" s="430" t="s">
        <v>472</v>
      </c>
      <c r="B10" s="430"/>
      <c r="C10" s="430"/>
      <c r="D10" s="430"/>
      <c r="E10" s="430"/>
      <c r="F10" s="430"/>
      <c r="G10" s="430"/>
      <c r="H10" s="430"/>
      <c r="I10" s="430"/>
      <c r="J10" s="430"/>
      <c r="K10" s="430"/>
    </row>
    <row r="11" spans="1:11">
      <c r="D11" s="84"/>
      <c r="E11" s="84"/>
      <c r="F11" s="84"/>
      <c r="G11" s="84"/>
      <c r="H11" s="84"/>
      <c r="I11" s="84"/>
    </row>
    <row r="12" spans="1:11">
      <c r="A12" s="417" t="s">
        <v>196</v>
      </c>
      <c r="B12" s="417"/>
      <c r="C12" s="417"/>
      <c r="D12" s="417"/>
      <c r="E12" s="417"/>
      <c r="F12" s="417"/>
      <c r="G12" s="417"/>
      <c r="H12" s="417"/>
      <c r="I12" s="417"/>
      <c r="J12" s="417"/>
      <c r="K12" s="417"/>
    </row>
    <row r="13" spans="1:11" ht="35.25" customHeight="1">
      <c r="A13" s="51" t="s">
        <v>13</v>
      </c>
      <c r="B13" s="424" t="s">
        <v>71</v>
      </c>
      <c r="C13" s="425"/>
      <c r="D13" s="425"/>
      <c r="E13" s="425"/>
      <c r="F13" s="425"/>
      <c r="G13" s="425"/>
      <c r="H13" s="425"/>
      <c r="I13" s="425"/>
      <c r="J13" s="425"/>
      <c r="K13" s="426"/>
    </row>
    <row r="14" spans="1:11">
      <c r="A14" s="58" t="s">
        <v>14</v>
      </c>
      <c r="B14" s="407" t="s">
        <v>15</v>
      </c>
      <c r="C14" s="408"/>
      <c r="D14" s="407" t="s">
        <v>16</v>
      </c>
      <c r="E14" s="408"/>
      <c r="F14" s="407" t="s">
        <v>17</v>
      </c>
      <c r="G14" s="408"/>
      <c r="H14" s="407" t="s">
        <v>18</v>
      </c>
      <c r="I14" s="408"/>
      <c r="J14" s="407" t="s">
        <v>19</v>
      </c>
      <c r="K14" s="408"/>
    </row>
    <row r="15" spans="1:11">
      <c r="A15" s="27" t="s">
        <v>0</v>
      </c>
      <c r="B15" s="389" t="s">
        <v>44</v>
      </c>
      <c r="C15" s="389"/>
      <c r="D15" s="389" t="s">
        <v>72</v>
      </c>
      <c r="E15" s="389"/>
      <c r="F15" s="389" t="s">
        <v>72</v>
      </c>
      <c r="G15" s="389"/>
      <c r="H15" s="389" t="s">
        <v>72</v>
      </c>
      <c r="I15" s="389"/>
      <c r="J15" s="389" t="s">
        <v>72</v>
      </c>
      <c r="K15" s="389"/>
    </row>
    <row r="16" spans="1:11">
      <c r="A16" s="27" t="s">
        <v>5</v>
      </c>
      <c r="B16" s="389" t="s">
        <v>45</v>
      </c>
      <c r="C16" s="389"/>
      <c r="D16" s="389" t="s">
        <v>73</v>
      </c>
      <c r="E16" s="389"/>
      <c r="F16" s="389" t="s">
        <v>73</v>
      </c>
      <c r="G16" s="389"/>
      <c r="H16" s="389" t="s">
        <v>73</v>
      </c>
      <c r="I16" s="389"/>
      <c r="J16" s="389" t="s">
        <v>73</v>
      </c>
      <c r="K16" s="389"/>
    </row>
    <row r="17" spans="1:13">
      <c r="A17" s="27" t="s">
        <v>6</v>
      </c>
      <c r="B17" s="389">
        <v>2203000</v>
      </c>
      <c r="C17" s="389"/>
      <c r="D17" s="389">
        <v>2222800</v>
      </c>
      <c r="E17" s="389"/>
      <c r="F17" s="389">
        <v>2222800</v>
      </c>
      <c r="G17" s="389"/>
      <c r="H17" s="389">
        <v>2222800</v>
      </c>
      <c r="I17" s="389"/>
      <c r="J17" s="389">
        <v>2222800</v>
      </c>
      <c r="K17" s="389"/>
    </row>
    <row r="18" spans="1:13">
      <c r="A18" s="27" t="s">
        <v>1</v>
      </c>
      <c r="B18" s="389" t="s">
        <v>46</v>
      </c>
      <c r="C18" s="389"/>
      <c r="D18" s="389" t="s">
        <v>71</v>
      </c>
      <c r="E18" s="389"/>
      <c r="F18" s="389" t="s">
        <v>71</v>
      </c>
      <c r="G18" s="389"/>
      <c r="H18" s="389" t="s">
        <v>71</v>
      </c>
      <c r="I18" s="389"/>
      <c r="J18" s="389" t="s">
        <v>71</v>
      </c>
      <c r="K18" s="389"/>
    </row>
    <row r="19" spans="1:13">
      <c r="A19" s="405" t="s">
        <v>8</v>
      </c>
      <c r="B19" s="57" t="s">
        <v>22</v>
      </c>
      <c r="C19" s="57" t="s">
        <v>21</v>
      </c>
      <c r="D19" s="392"/>
      <c r="E19" s="393"/>
      <c r="F19" s="392"/>
      <c r="G19" s="393"/>
      <c r="H19" s="392"/>
      <c r="I19" s="393"/>
      <c r="J19" s="392"/>
      <c r="K19" s="393"/>
    </row>
    <row r="20" spans="1:13">
      <c r="A20" s="406"/>
      <c r="B20" s="57" t="s">
        <v>47</v>
      </c>
      <c r="C20" s="52">
        <v>0.5</v>
      </c>
      <c r="D20" s="394"/>
      <c r="E20" s="395"/>
      <c r="F20" s="394"/>
      <c r="G20" s="395"/>
      <c r="H20" s="394"/>
      <c r="I20" s="395"/>
      <c r="J20" s="394"/>
      <c r="K20" s="395"/>
    </row>
    <row r="21" spans="1:13">
      <c r="A21" s="406"/>
      <c r="B21" s="54" t="s">
        <v>57</v>
      </c>
      <c r="C21" s="50">
        <v>0.5</v>
      </c>
      <c r="D21" s="396"/>
      <c r="E21" s="397"/>
      <c r="F21" s="396"/>
      <c r="G21" s="397"/>
      <c r="H21" s="396"/>
      <c r="I21" s="397"/>
      <c r="J21" s="396"/>
      <c r="K21" s="397"/>
    </row>
    <row r="22" spans="1:13">
      <c r="A22" s="27" t="s">
        <v>7</v>
      </c>
      <c r="B22" s="427" t="s">
        <v>48</v>
      </c>
      <c r="C22" s="428"/>
      <c r="D22" s="423" t="s">
        <v>74</v>
      </c>
      <c r="E22" s="423"/>
      <c r="F22" s="423" t="s">
        <v>77</v>
      </c>
      <c r="G22" s="423"/>
      <c r="H22" s="423" t="s">
        <v>80</v>
      </c>
      <c r="I22" s="423"/>
      <c r="J22" s="423" t="s">
        <v>82</v>
      </c>
      <c r="K22" s="423"/>
    </row>
    <row r="23" spans="1:13">
      <c r="A23" s="27" t="s">
        <v>219</v>
      </c>
      <c r="B23" s="403">
        <v>8945764395</v>
      </c>
      <c r="C23" s="404"/>
      <c r="D23" s="403">
        <v>520468033</v>
      </c>
      <c r="E23" s="404"/>
      <c r="F23" s="403">
        <v>430794338</v>
      </c>
      <c r="G23" s="404"/>
      <c r="H23" s="403">
        <v>523499973</v>
      </c>
      <c r="I23" s="404"/>
      <c r="J23" s="403">
        <v>602738568</v>
      </c>
      <c r="K23" s="404"/>
    </row>
    <row r="24" spans="1:13">
      <c r="A24" s="27" t="s">
        <v>204</v>
      </c>
      <c r="B24" s="390">
        <f>B23*C20</f>
        <v>4472882197.5</v>
      </c>
      <c r="C24" s="391"/>
      <c r="D24" s="390">
        <f>D23</f>
        <v>520468033</v>
      </c>
      <c r="E24" s="391"/>
      <c r="F24" s="390">
        <f>F23</f>
        <v>430794338</v>
      </c>
      <c r="G24" s="391"/>
      <c r="H24" s="390">
        <f>H23</f>
        <v>523499973</v>
      </c>
      <c r="I24" s="391"/>
      <c r="J24" s="390">
        <f>J23</f>
        <v>602738568</v>
      </c>
      <c r="K24" s="391"/>
    </row>
    <row r="25" spans="1:13">
      <c r="A25" s="27" t="s">
        <v>231</v>
      </c>
      <c r="B25" s="390">
        <f>4862000059-1350000000</f>
        <v>3512000059</v>
      </c>
      <c r="C25" s="391"/>
      <c r="D25" s="390">
        <v>598596543</v>
      </c>
      <c r="E25" s="391"/>
      <c r="F25" s="390">
        <v>515280218</v>
      </c>
      <c r="G25" s="391"/>
      <c r="H25" s="390">
        <v>648975616</v>
      </c>
      <c r="I25" s="391"/>
      <c r="J25" s="390">
        <v>655173739</v>
      </c>
      <c r="K25" s="391"/>
      <c r="M25" s="53"/>
    </row>
    <row r="26" spans="1:13">
      <c r="A26" s="27" t="s">
        <v>220</v>
      </c>
      <c r="B26" s="389" t="s">
        <v>49</v>
      </c>
      <c r="C26" s="389"/>
      <c r="D26" s="389" t="s">
        <v>75</v>
      </c>
      <c r="E26" s="389"/>
      <c r="F26" s="389" t="s">
        <v>78</v>
      </c>
      <c r="G26" s="389"/>
      <c r="H26" s="389" t="s">
        <v>81</v>
      </c>
      <c r="I26" s="389"/>
      <c r="J26" s="389" t="s">
        <v>83</v>
      </c>
      <c r="K26" s="389"/>
    </row>
    <row r="27" spans="1:13">
      <c r="A27" s="27" t="s">
        <v>10</v>
      </c>
      <c r="B27" s="411">
        <v>41060</v>
      </c>
      <c r="C27" s="389"/>
      <c r="D27" s="411">
        <v>40714</v>
      </c>
      <c r="E27" s="389"/>
      <c r="F27" s="411">
        <v>40273</v>
      </c>
      <c r="G27" s="389"/>
      <c r="H27" s="411">
        <v>40003</v>
      </c>
      <c r="I27" s="389"/>
      <c r="J27" s="411">
        <v>41145</v>
      </c>
      <c r="K27" s="389"/>
    </row>
    <row r="28" spans="1:13">
      <c r="A28" s="27" t="s">
        <v>3</v>
      </c>
      <c r="B28" s="411">
        <v>41074</v>
      </c>
      <c r="C28" s="389"/>
      <c r="D28" s="411">
        <v>40714</v>
      </c>
      <c r="E28" s="389"/>
      <c r="F28" s="411">
        <v>40288</v>
      </c>
      <c r="G28" s="389"/>
      <c r="H28" s="411">
        <v>40003</v>
      </c>
      <c r="I28" s="389"/>
      <c r="J28" s="411">
        <v>41149</v>
      </c>
      <c r="K28" s="389"/>
      <c r="L28" s="53"/>
      <c r="M28" s="53"/>
    </row>
    <row r="29" spans="1:13">
      <c r="A29" s="27" t="s">
        <v>9</v>
      </c>
      <c r="B29" s="411">
        <v>41523</v>
      </c>
      <c r="C29" s="389"/>
      <c r="D29" s="411">
        <v>41060</v>
      </c>
      <c r="E29" s="389"/>
      <c r="F29" s="429">
        <v>40755</v>
      </c>
      <c r="G29" s="409"/>
      <c r="H29" s="411">
        <v>40390</v>
      </c>
      <c r="I29" s="389"/>
      <c r="J29" s="429">
        <v>41394</v>
      </c>
      <c r="K29" s="409"/>
      <c r="L29" s="53"/>
    </row>
    <row r="30" spans="1:13">
      <c r="A30" s="27" t="s">
        <v>11</v>
      </c>
      <c r="B30" s="411">
        <v>41598</v>
      </c>
      <c r="C30" s="389"/>
      <c r="D30" s="411">
        <v>41226</v>
      </c>
      <c r="E30" s="389"/>
      <c r="F30" s="411">
        <v>40928</v>
      </c>
      <c r="G30" s="389"/>
      <c r="H30" s="411">
        <v>40928</v>
      </c>
      <c r="I30" s="389"/>
      <c r="J30" s="411">
        <v>41149</v>
      </c>
      <c r="K30" s="389"/>
    </row>
    <row r="31" spans="1:13">
      <c r="A31" s="27" t="s">
        <v>12</v>
      </c>
      <c r="B31" s="389" t="s">
        <v>50</v>
      </c>
      <c r="C31" s="389"/>
      <c r="D31" s="389" t="s">
        <v>76</v>
      </c>
      <c r="E31" s="389"/>
      <c r="F31" s="389" t="s">
        <v>79</v>
      </c>
      <c r="G31" s="389"/>
      <c r="H31" s="389" t="s">
        <v>79</v>
      </c>
      <c r="I31" s="389"/>
      <c r="J31" s="389" t="s">
        <v>84</v>
      </c>
      <c r="K31" s="389"/>
    </row>
    <row r="32" spans="1:13">
      <c r="A32" s="27" t="s">
        <v>4</v>
      </c>
      <c r="B32" s="389" t="s">
        <v>51</v>
      </c>
      <c r="C32" s="389"/>
      <c r="D32" s="389" t="s">
        <v>51</v>
      </c>
      <c r="E32" s="389"/>
      <c r="F32" s="389" t="s">
        <v>51</v>
      </c>
      <c r="G32" s="389"/>
      <c r="H32" s="389" t="s">
        <v>51</v>
      </c>
      <c r="I32" s="389"/>
      <c r="J32" s="389" t="s">
        <v>51</v>
      </c>
      <c r="K32" s="389"/>
      <c r="L32" s="18"/>
    </row>
    <row r="33" spans="1:13" ht="15.75" thickBot="1">
      <c r="A33" s="29" t="s">
        <v>40</v>
      </c>
      <c r="B33" s="433">
        <v>1</v>
      </c>
      <c r="C33" s="434"/>
      <c r="D33" s="431">
        <v>1</v>
      </c>
      <c r="E33" s="432"/>
      <c r="F33" s="431">
        <v>1</v>
      </c>
      <c r="G33" s="432"/>
      <c r="H33" s="431">
        <v>1</v>
      </c>
      <c r="I33" s="432"/>
      <c r="J33" s="431">
        <v>1</v>
      </c>
      <c r="K33" s="432"/>
    </row>
    <row r="34" spans="1:13">
      <c r="A34" s="34" t="s">
        <v>39</v>
      </c>
      <c r="B34" s="435">
        <f>SUMIFS(B25:K25,B33:K33,1)</f>
        <v>5930026175</v>
      </c>
      <c r="C34" s="436"/>
      <c r="D34" s="31"/>
      <c r="E34" s="31"/>
      <c r="F34" s="31"/>
      <c r="G34" s="31"/>
      <c r="H34" s="31"/>
      <c r="I34" s="31"/>
      <c r="J34" s="31"/>
      <c r="K34" s="31"/>
      <c r="L34" s="33"/>
      <c r="M34" s="65"/>
    </row>
    <row r="35" spans="1:13" ht="15.75" thickBot="1">
      <c r="A35" s="35" t="s">
        <v>41</v>
      </c>
      <c r="B35" s="400">
        <f>IF(B34&gt;2.5*2250000000,45,IF(B34&gt;2*2250000000,30,IF(B34&gt;1.5*2250000000,15,0)))</f>
        <v>45</v>
      </c>
      <c r="C35" s="401"/>
      <c r="D35" s="31"/>
      <c r="E35" s="31"/>
      <c r="F35" s="31"/>
      <c r="G35" s="31"/>
      <c r="H35" s="31"/>
      <c r="I35" s="31"/>
      <c r="J35" s="31"/>
      <c r="K35" s="31"/>
      <c r="M35" s="65"/>
    </row>
    <row r="36" spans="1:13">
      <c r="A36" s="31"/>
      <c r="B36" s="31"/>
      <c r="C36" s="31"/>
      <c r="D36" s="31"/>
      <c r="E36" s="31"/>
      <c r="F36" s="31"/>
      <c r="G36" s="31"/>
      <c r="H36" s="31"/>
      <c r="I36" s="31"/>
      <c r="J36" s="31"/>
      <c r="K36" s="31"/>
      <c r="M36" s="65"/>
    </row>
    <row r="37" spans="1:13">
      <c r="A37" s="119" t="s">
        <v>196</v>
      </c>
      <c r="B37" s="126"/>
      <c r="C37" s="126"/>
      <c r="D37" s="126"/>
      <c r="E37" s="126"/>
      <c r="F37" s="126"/>
      <c r="G37" s="126"/>
      <c r="H37" s="126"/>
      <c r="I37" s="126"/>
      <c r="J37" s="126"/>
      <c r="K37" s="120"/>
    </row>
    <row r="38" spans="1:13">
      <c r="A38" s="51" t="s">
        <v>13</v>
      </c>
      <c r="B38" s="119" t="s">
        <v>85</v>
      </c>
      <c r="C38" s="126"/>
      <c r="D38" s="126"/>
      <c r="E38" s="126"/>
      <c r="F38" s="126"/>
      <c r="G38" s="126"/>
      <c r="H38" s="126"/>
      <c r="I38" s="126"/>
      <c r="J38" s="126"/>
      <c r="K38" s="120"/>
    </row>
    <row r="39" spans="1:13">
      <c r="A39" s="58" t="s">
        <v>14</v>
      </c>
      <c r="B39" s="407" t="s">
        <v>15</v>
      </c>
      <c r="C39" s="408"/>
      <c r="D39" s="407" t="s">
        <v>16</v>
      </c>
      <c r="E39" s="408"/>
      <c r="F39" s="407" t="s">
        <v>17</v>
      </c>
      <c r="G39" s="408"/>
      <c r="H39" s="407" t="s">
        <v>18</v>
      </c>
      <c r="I39" s="408"/>
      <c r="J39" s="407" t="s">
        <v>19</v>
      </c>
      <c r="K39" s="408"/>
    </row>
    <row r="40" spans="1:13">
      <c r="A40" s="27" t="s">
        <v>0</v>
      </c>
      <c r="B40" s="389" t="s">
        <v>171</v>
      </c>
      <c r="C40" s="389"/>
      <c r="D40" s="389" t="s">
        <v>172</v>
      </c>
      <c r="E40" s="389"/>
      <c r="F40" s="389" t="s">
        <v>97</v>
      </c>
      <c r="G40" s="389"/>
      <c r="H40" s="389" t="s">
        <v>97</v>
      </c>
      <c r="I40" s="389"/>
      <c r="J40" s="389" t="s">
        <v>173</v>
      </c>
      <c r="K40" s="389"/>
    </row>
    <row r="41" spans="1:13">
      <c r="A41" s="27" t="s">
        <v>5</v>
      </c>
      <c r="B41" s="389" t="s">
        <v>174</v>
      </c>
      <c r="C41" s="389"/>
      <c r="D41" s="389" t="s">
        <v>175</v>
      </c>
      <c r="E41" s="389"/>
      <c r="F41" s="389" t="s">
        <v>176</v>
      </c>
      <c r="G41" s="389"/>
      <c r="H41" s="389" t="s">
        <v>176</v>
      </c>
      <c r="I41" s="389"/>
      <c r="J41" s="389" t="s">
        <v>177</v>
      </c>
      <c r="K41" s="389"/>
    </row>
    <row r="42" spans="1:13">
      <c r="A42" s="27" t="s">
        <v>6</v>
      </c>
      <c r="B42" s="389">
        <v>6260693</v>
      </c>
      <c r="C42" s="389"/>
      <c r="D42" s="389">
        <v>2203000</v>
      </c>
      <c r="E42" s="389"/>
      <c r="F42" s="389">
        <v>6210644</v>
      </c>
      <c r="G42" s="389"/>
      <c r="H42" s="389">
        <v>6210644</v>
      </c>
      <c r="I42" s="389"/>
      <c r="J42" s="389">
        <v>5714983</v>
      </c>
      <c r="K42" s="389"/>
    </row>
    <row r="43" spans="1:13">
      <c r="A43" s="27" t="s">
        <v>1</v>
      </c>
      <c r="B43" s="389" t="s">
        <v>86</v>
      </c>
      <c r="C43" s="389"/>
      <c r="D43" s="389" t="s">
        <v>86</v>
      </c>
      <c r="E43" s="389"/>
      <c r="F43" s="389" t="s">
        <v>86</v>
      </c>
      <c r="G43" s="389"/>
      <c r="H43" s="57" t="s">
        <v>86</v>
      </c>
      <c r="I43" s="57"/>
      <c r="J43" s="389" t="s">
        <v>178</v>
      </c>
      <c r="K43" s="389"/>
    </row>
    <row r="44" spans="1:13">
      <c r="A44" s="405" t="s">
        <v>8</v>
      </c>
      <c r="B44" s="392"/>
      <c r="C44" s="393"/>
      <c r="D44" s="392"/>
      <c r="E44" s="393"/>
      <c r="F44" s="392"/>
      <c r="G44" s="393"/>
      <c r="H44" s="392"/>
      <c r="I44" s="393"/>
      <c r="J44" s="57" t="s">
        <v>22</v>
      </c>
      <c r="K44" s="57" t="s">
        <v>21</v>
      </c>
    </row>
    <row r="45" spans="1:13">
      <c r="A45" s="406"/>
      <c r="B45" s="394"/>
      <c r="C45" s="395"/>
      <c r="D45" s="394"/>
      <c r="E45" s="395"/>
      <c r="F45" s="394"/>
      <c r="G45" s="395"/>
      <c r="H45" s="394"/>
      <c r="I45" s="395"/>
      <c r="J45" s="57" t="s">
        <v>86</v>
      </c>
      <c r="K45" s="52">
        <v>0.5</v>
      </c>
    </row>
    <row r="46" spans="1:13">
      <c r="A46" s="406"/>
      <c r="B46" s="396"/>
      <c r="C46" s="397"/>
      <c r="D46" s="396"/>
      <c r="E46" s="397"/>
      <c r="F46" s="396"/>
      <c r="G46" s="397"/>
      <c r="H46" s="396"/>
      <c r="I46" s="397"/>
      <c r="J46" s="57" t="s">
        <v>179</v>
      </c>
      <c r="K46" s="52">
        <v>0.5</v>
      </c>
    </row>
    <row r="47" spans="1:13">
      <c r="A47" s="27" t="s">
        <v>7</v>
      </c>
      <c r="B47" s="389" t="s">
        <v>92</v>
      </c>
      <c r="C47" s="389"/>
      <c r="D47" s="389" t="s">
        <v>180</v>
      </c>
      <c r="E47" s="389"/>
      <c r="F47" s="389" t="s">
        <v>181</v>
      </c>
      <c r="G47" s="389"/>
      <c r="H47" s="389" t="s">
        <v>182</v>
      </c>
      <c r="I47" s="389"/>
      <c r="J47" s="389" t="s">
        <v>93</v>
      </c>
      <c r="K47" s="389"/>
    </row>
    <row r="48" spans="1:13">
      <c r="A48" s="27" t="s">
        <v>219</v>
      </c>
      <c r="B48" s="390">
        <v>2315578505</v>
      </c>
      <c r="C48" s="391"/>
      <c r="D48" s="390">
        <v>428129200</v>
      </c>
      <c r="E48" s="391"/>
      <c r="F48" s="390">
        <v>300000000</v>
      </c>
      <c r="G48" s="391"/>
      <c r="H48" s="390">
        <v>384097975</v>
      </c>
      <c r="I48" s="391"/>
      <c r="J48" s="390">
        <v>278028800</v>
      </c>
      <c r="K48" s="391"/>
    </row>
    <row r="49" spans="1:13">
      <c r="A49" s="27" t="s">
        <v>204</v>
      </c>
      <c r="B49" s="390">
        <f>B48</f>
        <v>2315578505</v>
      </c>
      <c r="C49" s="391"/>
      <c r="D49" s="390">
        <f>D48</f>
        <v>428129200</v>
      </c>
      <c r="E49" s="391"/>
      <c r="F49" s="390">
        <f>F48</f>
        <v>300000000</v>
      </c>
      <c r="G49" s="391"/>
      <c r="H49" s="390">
        <f>H48</f>
        <v>384097975</v>
      </c>
      <c r="I49" s="391"/>
      <c r="J49" s="390">
        <f>J48*K45</f>
        <v>139014400</v>
      </c>
      <c r="K49" s="391"/>
    </row>
    <row r="50" spans="1:13">
      <c r="A50" s="27" t="s">
        <v>220</v>
      </c>
      <c r="B50" s="389" t="s">
        <v>183</v>
      </c>
      <c r="C50" s="389"/>
      <c r="D50" s="389" t="s">
        <v>184</v>
      </c>
      <c r="E50" s="389"/>
      <c r="F50" s="389" t="s">
        <v>185</v>
      </c>
      <c r="G50" s="389"/>
      <c r="H50" s="389" t="s">
        <v>185</v>
      </c>
      <c r="I50" s="389"/>
      <c r="J50" s="389" t="s">
        <v>186</v>
      </c>
      <c r="K50" s="389"/>
    </row>
    <row r="51" spans="1:13">
      <c r="A51" s="27" t="s">
        <v>231</v>
      </c>
      <c r="B51" s="390">
        <v>3738915751</v>
      </c>
      <c r="C51" s="391"/>
      <c r="D51" s="390">
        <v>492396541</v>
      </c>
      <c r="E51" s="391"/>
      <c r="F51" s="390">
        <v>371905816</v>
      </c>
      <c r="G51" s="391"/>
      <c r="H51" s="390">
        <v>459425927</v>
      </c>
      <c r="I51" s="391"/>
      <c r="J51" s="390">
        <v>172334213</v>
      </c>
      <c r="K51" s="391"/>
      <c r="M51" s="66"/>
    </row>
    <row r="52" spans="1:13">
      <c r="A52" s="27" t="s">
        <v>10</v>
      </c>
      <c r="B52" s="411">
        <v>38353</v>
      </c>
      <c r="C52" s="389"/>
      <c r="D52" s="411">
        <v>40787</v>
      </c>
      <c r="E52" s="389"/>
      <c r="F52" s="411">
        <v>39814</v>
      </c>
      <c r="G52" s="389"/>
      <c r="H52" s="411">
        <v>40179</v>
      </c>
      <c r="I52" s="389"/>
      <c r="J52" s="411">
        <v>39968</v>
      </c>
      <c r="K52" s="389"/>
      <c r="L52" s="53"/>
      <c r="M52" s="53"/>
    </row>
    <row r="53" spans="1:13">
      <c r="A53" s="27" t="s">
        <v>3</v>
      </c>
      <c r="B53" s="411">
        <v>38353</v>
      </c>
      <c r="C53" s="389"/>
      <c r="D53" s="411">
        <v>40798</v>
      </c>
      <c r="E53" s="389"/>
      <c r="F53" s="411">
        <v>39818</v>
      </c>
      <c r="G53" s="389"/>
      <c r="H53" s="411">
        <v>40179</v>
      </c>
      <c r="I53" s="389"/>
      <c r="J53" s="411">
        <v>39990</v>
      </c>
      <c r="K53" s="389"/>
      <c r="L53" s="53"/>
    </row>
    <row r="54" spans="1:13">
      <c r="A54" s="27" t="s">
        <v>9</v>
      </c>
      <c r="B54" s="411">
        <v>41639</v>
      </c>
      <c r="C54" s="389"/>
      <c r="D54" s="411">
        <v>41163</v>
      </c>
      <c r="E54" s="389"/>
      <c r="F54" s="411">
        <v>40178</v>
      </c>
      <c r="G54" s="389"/>
      <c r="H54" s="411">
        <v>40543</v>
      </c>
      <c r="I54" s="389"/>
      <c r="J54" s="411">
        <v>40908</v>
      </c>
      <c r="K54" s="389"/>
    </row>
    <row r="55" spans="1:13">
      <c r="A55" s="27" t="s">
        <v>11</v>
      </c>
      <c r="B55" s="411">
        <v>41642</v>
      </c>
      <c r="C55" s="389"/>
      <c r="D55" s="389"/>
      <c r="E55" s="389"/>
      <c r="F55" s="389"/>
      <c r="G55" s="389"/>
      <c r="H55" s="389"/>
      <c r="I55" s="389"/>
      <c r="J55" s="411">
        <v>40974</v>
      </c>
      <c r="K55" s="389"/>
    </row>
    <row r="56" spans="1:13">
      <c r="A56" s="27" t="s">
        <v>12</v>
      </c>
      <c r="B56" s="389" t="s">
        <v>187</v>
      </c>
      <c r="C56" s="389"/>
      <c r="D56" s="389"/>
      <c r="E56" s="389"/>
      <c r="F56" s="389" t="s">
        <v>188</v>
      </c>
      <c r="G56" s="389"/>
      <c r="H56" s="389" t="s">
        <v>188</v>
      </c>
      <c r="I56" s="389"/>
      <c r="J56" s="389" t="s">
        <v>189</v>
      </c>
      <c r="K56" s="389"/>
    </row>
    <row r="57" spans="1:13">
      <c r="A57" s="27" t="s">
        <v>4</v>
      </c>
      <c r="B57" s="389" t="s">
        <v>190</v>
      </c>
      <c r="C57" s="389"/>
      <c r="D57" s="389" t="s">
        <v>190</v>
      </c>
      <c r="E57" s="389"/>
      <c r="F57" s="389" t="s">
        <v>190</v>
      </c>
      <c r="G57" s="389"/>
      <c r="H57" s="389" t="s">
        <v>190</v>
      </c>
      <c r="I57" s="389"/>
      <c r="J57" s="389" t="s">
        <v>190</v>
      </c>
      <c r="K57" s="389"/>
    </row>
    <row r="58" spans="1:13" ht="15.75" thickBot="1">
      <c r="A58" s="29" t="s">
        <v>40</v>
      </c>
      <c r="B58" s="410">
        <v>1</v>
      </c>
      <c r="C58" s="410"/>
      <c r="D58" s="402">
        <v>1</v>
      </c>
      <c r="E58" s="402"/>
      <c r="F58" s="402">
        <v>1</v>
      </c>
      <c r="G58" s="402"/>
      <c r="H58" s="402">
        <v>1</v>
      </c>
      <c r="I58" s="402"/>
      <c r="J58" s="402">
        <v>1</v>
      </c>
      <c r="K58" s="402"/>
      <c r="L58" s="33"/>
      <c r="M58" s="65"/>
    </row>
    <row r="59" spans="1:13">
      <c r="A59" s="34" t="s">
        <v>39</v>
      </c>
      <c r="B59" s="398">
        <f>B51+D51+F51+H51+J51</f>
        <v>5234978248</v>
      </c>
      <c r="C59" s="399"/>
      <c r="D59" s="31"/>
      <c r="E59" s="31"/>
      <c r="F59" s="31"/>
      <c r="G59" s="31"/>
      <c r="H59" s="31"/>
      <c r="I59" s="31"/>
      <c r="J59" s="31"/>
      <c r="K59" s="31"/>
      <c r="L59" s="65"/>
      <c r="M59" s="65"/>
    </row>
    <row r="60" spans="1:13" ht="15.75" thickBot="1">
      <c r="A60" s="35" t="s">
        <v>41</v>
      </c>
      <c r="B60" s="400">
        <f>IF(B59&gt;2.5*2250000000,45,IF(B59&gt;2*2250000000,30,IF(B59&gt;1.5*2250000000,15,0)))</f>
        <v>30</v>
      </c>
      <c r="C60" s="401"/>
      <c r="D60" s="31"/>
      <c r="E60" s="31"/>
      <c r="F60" s="31"/>
      <c r="G60" s="31"/>
      <c r="H60" s="31"/>
      <c r="I60" s="31"/>
      <c r="J60" s="31"/>
      <c r="K60" s="31"/>
      <c r="M60" s="65"/>
    </row>
    <row r="61" spans="1:13">
      <c r="A61" s="31"/>
      <c r="B61" s="31"/>
      <c r="C61" s="31"/>
      <c r="D61" s="31"/>
      <c r="E61" s="31"/>
      <c r="F61" s="31"/>
      <c r="G61" s="31"/>
      <c r="H61" s="31"/>
      <c r="I61" s="31"/>
      <c r="J61" s="31"/>
      <c r="K61" s="31"/>
    </row>
    <row r="62" spans="1:13">
      <c r="A62" s="417" t="s">
        <v>196</v>
      </c>
      <c r="B62" s="417"/>
      <c r="C62" s="417"/>
      <c r="D62" s="417"/>
      <c r="E62" s="417"/>
      <c r="F62" s="417"/>
      <c r="G62" s="417"/>
      <c r="H62" s="417"/>
      <c r="I62" s="417"/>
      <c r="J62" s="417"/>
      <c r="K62" s="417"/>
    </row>
    <row r="63" spans="1:13">
      <c r="A63" s="51" t="s">
        <v>13</v>
      </c>
      <c r="B63" s="418" t="s">
        <v>195</v>
      </c>
      <c r="C63" s="407"/>
      <c r="D63" s="407"/>
      <c r="E63" s="407"/>
      <c r="F63" s="407"/>
      <c r="G63" s="407"/>
      <c r="H63" s="407"/>
      <c r="I63" s="407"/>
      <c r="J63" s="407"/>
      <c r="K63" s="408"/>
    </row>
    <row r="64" spans="1:13">
      <c r="A64" s="58" t="s">
        <v>14</v>
      </c>
      <c r="B64" s="126" t="s">
        <v>15</v>
      </c>
      <c r="C64" s="120"/>
      <c r="D64" s="119" t="s">
        <v>16</v>
      </c>
      <c r="E64" s="120"/>
      <c r="F64" s="119" t="s">
        <v>17</v>
      </c>
      <c r="G64" s="120"/>
      <c r="H64" s="119" t="s">
        <v>18</v>
      </c>
      <c r="I64" s="120"/>
      <c r="J64" s="407" t="s">
        <v>19</v>
      </c>
      <c r="K64" s="408"/>
    </row>
    <row r="65" spans="1:14">
      <c r="A65" s="27" t="s">
        <v>0</v>
      </c>
      <c r="B65" s="121" t="s">
        <v>105</v>
      </c>
      <c r="C65" s="122"/>
      <c r="D65" s="121" t="s">
        <v>106</v>
      </c>
      <c r="E65" s="122"/>
      <c r="F65" s="121" t="s">
        <v>106</v>
      </c>
      <c r="G65" s="122"/>
      <c r="H65" s="121" t="s">
        <v>160</v>
      </c>
      <c r="I65" s="122"/>
      <c r="J65" s="389"/>
      <c r="K65" s="389"/>
    </row>
    <row r="66" spans="1:14">
      <c r="A66" s="27" t="s">
        <v>5</v>
      </c>
      <c r="B66" s="121" t="s">
        <v>107</v>
      </c>
      <c r="C66" s="122"/>
      <c r="D66" s="121" t="s">
        <v>108</v>
      </c>
      <c r="E66" s="122"/>
      <c r="F66" s="121" t="s">
        <v>108</v>
      </c>
      <c r="G66" s="122"/>
      <c r="H66" s="121" t="s">
        <v>161</v>
      </c>
      <c r="I66" s="122"/>
      <c r="J66" s="389"/>
      <c r="K66" s="389"/>
    </row>
    <row r="67" spans="1:14">
      <c r="A67" s="27" t="s">
        <v>6</v>
      </c>
      <c r="B67" s="121">
        <v>6690433</v>
      </c>
      <c r="C67" s="122"/>
      <c r="D67" s="121">
        <v>6461300</v>
      </c>
      <c r="E67" s="122"/>
      <c r="F67" s="121">
        <v>6461300</v>
      </c>
      <c r="G67" s="122"/>
      <c r="H67" s="121">
        <v>5462121</v>
      </c>
      <c r="I67" s="122"/>
      <c r="J67" s="389"/>
      <c r="K67" s="389"/>
    </row>
    <row r="68" spans="1:14">
      <c r="A68" s="27" t="s">
        <v>1</v>
      </c>
      <c r="B68" s="121" t="s">
        <v>109</v>
      </c>
      <c r="C68" s="122"/>
      <c r="D68" s="121" t="s">
        <v>110</v>
      </c>
      <c r="E68" s="122"/>
      <c r="F68" s="121" t="s">
        <v>110</v>
      </c>
      <c r="G68" s="122"/>
      <c r="H68" s="121" t="s">
        <v>110</v>
      </c>
      <c r="I68" s="122"/>
      <c r="J68" s="389"/>
      <c r="K68" s="389"/>
    </row>
    <row r="69" spans="1:14">
      <c r="A69" s="413" t="s">
        <v>8</v>
      </c>
      <c r="B69" s="125" t="s">
        <v>22</v>
      </c>
      <c r="C69" s="57" t="s">
        <v>21</v>
      </c>
      <c r="D69" s="125" t="s">
        <v>22</v>
      </c>
      <c r="E69" s="57" t="s">
        <v>21</v>
      </c>
      <c r="F69" s="57" t="s">
        <v>22</v>
      </c>
      <c r="G69" s="57" t="s">
        <v>21</v>
      </c>
      <c r="H69" s="125" t="s">
        <v>22</v>
      </c>
      <c r="I69" s="57" t="s">
        <v>21</v>
      </c>
      <c r="J69" s="57" t="s">
        <v>22</v>
      </c>
      <c r="K69" s="57" t="s">
        <v>21</v>
      </c>
      <c r="L69" s="33"/>
      <c r="M69" s="33"/>
      <c r="N69" s="33"/>
    </row>
    <row r="70" spans="1:14">
      <c r="A70" s="414"/>
      <c r="B70" s="57" t="s">
        <v>111</v>
      </c>
      <c r="C70" s="28"/>
      <c r="D70" s="57"/>
      <c r="E70" s="28"/>
      <c r="F70" s="57"/>
      <c r="G70" s="57"/>
      <c r="H70" s="57"/>
      <c r="I70" s="57"/>
      <c r="J70" s="57"/>
      <c r="K70" s="57"/>
      <c r="L70" s="33"/>
      <c r="M70" s="33"/>
      <c r="N70" s="33"/>
    </row>
    <row r="71" spans="1:14">
      <c r="A71" s="414"/>
      <c r="B71" s="57"/>
      <c r="C71" s="57"/>
      <c r="D71" s="57"/>
      <c r="E71" s="57"/>
      <c r="F71" s="57"/>
      <c r="G71" s="57"/>
      <c r="H71" s="57"/>
      <c r="I71" s="57"/>
      <c r="J71" s="57"/>
      <c r="K71" s="57"/>
      <c r="L71" s="33"/>
      <c r="M71" s="33"/>
      <c r="N71" s="33"/>
    </row>
    <row r="72" spans="1:14">
      <c r="A72" s="414"/>
      <c r="B72" s="57"/>
      <c r="C72" s="57"/>
      <c r="D72" s="57"/>
      <c r="E72" s="57"/>
      <c r="F72" s="57"/>
      <c r="G72" s="57"/>
      <c r="H72" s="57"/>
      <c r="I72" s="57"/>
      <c r="J72" s="57"/>
      <c r="K72" s="57"/>
      <c r="L72" s="33"/>
      <c r="M72" s="33"/>
      <c r="N72" s="33"/>
    </row>
    <row r="73" spans="1:14">
      <c r="A73" s="415"/>
      <c r="B73" s="57"/>
      <c r="C73" s="57"/>
      <c r="D73" s="57"/>
      <c r="E73" s="57"/>
      <c r="F73" s="57"/>
      <c r="G73" s="57"/>
      <c r="H73" s="57"/>
      <c r="I73" s="57"/>
      <c r="J73" s="57"/>
      <c r="K73" s="57"/>
      <c r="L73" s="33"/>
      <c r="M73" s="33"/>
      <c r="N73" s="33"/>
    </row>
    <row r="74" spans="1:14">
      <c r="A74" s="27" t="s">
        <v>7</v>
      </c>
      <c r="B74" s="121" t="s">
        <v>112</v>
      </c>
      <c r="C74" s="122"/>
      <c r="D74" s="121">
        <v>7202223</v>
      </c>
      <c r="E74" s="122"/>
      <c r="F74" s="121">
        <v>7203028</v>
      </c>
      <c r="G74" s="122"/>
      <c r="H74" s="121" t="s">
        <v>162</v>
      </c>
      <c r="I74" s="122"/>
      <c r="J74" s="389"/>
      <c r="K74" s="389"/>
      <c r="L74" s="33"/>
      <c r="M74" s="33"/>
      <c r="N74" s="33"/>
    </row>
    <row r="75" spans="1:14">
      <c r="A75" s="27" t="s">
        <v>219</v>
      </c>
      <c r="B75" s="123">
        <v>480000000</v>
      </c>
      <c r="C75" s="124"/>
      <c r="D75" s="123">
        <v>1342420034</v>
      </c>
      <c r="E75" s="124"/>
      <c r="F75" s="123">
        <v>1190013044</v>
      </c>
      <c r="G75" s="124"/>
      <c r="H75" s="123">
        <v>2769730400</v>
      </c>
      <c r="I75" s="124"/>
      <c r="J75" s="389"/>
      <c r="K75" s="389"/>
      <c r="L75" s="33"/>
      <c r="M75" s="66"/>
      <c r="N75" s="33"/>
    </row>
    <row r="76" spans="1:14">
      <c r="A76" s="27" t="s">
        <v>231</v>
      </c>
      <c r="B76" s="123">
        <v>101635922</v>
      </c>
      <c r="C76" s="124"/>
      <c r="D76" s="123">
        <v>581703707</v>
      </c>
      <c r="E76" s="124"/>
      <c r="F76" s="123">
        <v>1243508117</v>
      </c>
      <c r="G76" s="124"/>
      <c r="H76" s="123">
        <v>3010682771</v>
      </c>
      <c r="I76" s="124"/>
      <c r="J76" s="421"/>
      <c r="K76" s="422"/>
      <c r="L76" s="33"/>
      <c r="M76" s="33"/>
      <c r="N76" s="33"/>
    </row>
    <row r="77" spans="1:14">
      <c r="A77" s="27" t="s">
        <v>220</v>
      </c>
      <c r="B77" s="121" t="s">
        <v>113</v>
      </c>
      <c r="C77" s="122"/>
      <c r="D77" s="121" t="s">
        <v>163</v>
      </c>
      <c r="E77" s="122"/>
      <c r="F77" s="121" t="s">
        <v>164</v>
      </c>
      <c r="G77" s="122"/>
      <c r="H77" s="121" t="s">
        <v>165</v>
      </c>
      <c r="I77" s="122"/>
      <c r="J77" s="389"/>
      <c r="K77" s="389"/>
      <c r="L77" s="33"/>
      <c r="M77" s="33"/>
      <c r="N77" s="33"/>
    </row>
    <row r="78" spans="1:14">
      <c r="A78" s="27" t="s">
        <v>10</v>
      </c>
      <c r="B78" s="112">
        <v>40483</v>
      </c>
      <c r="C78" s="122"/>
      <c r="D78" s="112">
        <v>40989</v>
      </c>
      <c r="E78" s="122"/>
      <c r="F78" s="112">
        <v>41390</v>
      </c>
      <c r="G78" s="122"/>
      <c r="H78" s="112">
        <v>41167</v>
      </c>
      <c r="I78" s="122"/>
      <c r="J78" s="389"/>
      <c r="K78" s="389"/>
      <c r="L78" s="33"/>
      <c r="M78" s="33"/>
      <c r="N78" s="33"/>
    </row>
    <row r="79" spans="1:14">
      <c r="A79" s="27" t="s">
        <v>3</v>
      </c>
      <c r="B79" s="112">
        <v>40483</v>
      </c>
      <c r="C79" s="122"/>
      <c r="D79" s="112">
        <v>41000</v>
      </c>
      <c r="E79" s="122"/>
      <c r="F79" s="112">
        <v>41390</v>
      </c>
      <c r="G79" s="122"/>
      <c r="H79" s="112">
        <v>41167</v>
      </c>
      <c r="I79" s="122"/>
      <c r="J79" s="389"/>
      <c r="K79" s="389"/>
      <c r="L79" s="33"/>
      <c r="M79" s="33"/>
      <c r="N79" s="33"/>
    </row>
    <row r="80" spans="1:14">
      <c r="A80" s="27" t="s">
        <v>9</v>
      </c>
      <c r="B80" s="112">
        <v>41578</v>
      </c>
      <c r="C80" s="122"/>
      <c r="D80" s="112">
        <v>41389</v>
      </c>
      <c r="E80" s="122"/>
      <c r="F80" s="112">
        <v>41639</v>
      </c>
      <c r="G80" s="122"/>
      <c r="H80" s="112">
        <v>41638</v>
      </c>
      <c r="I80" s="122"/>
      <c r="J80" s="389"/>
      <c r="K80" s="389"/>
      <c r="L80" s="33"/>
      <c r="M80" s="33"/>
      <c r="N80" s="33"/>
    </row>
    <row r="81" spans="1:14">
      <c r="A81" s="27" t="s">
        <v>11</v>
      </c>
      <c r="B81" s="112">
        <v>41647</v>
      </c>
      <c r="C81" s="122"/>
      <c r="D81" s="112">
        <v>41652</v>
      </c>
      <c r="E81" s="122"/>
      <c r="F81" s="112">
        <v>41652</v>
      </c>
      <c r="G81" s="122"/>
      <c r="H81" s="112">
        <v>41649</v>
      </c>
      <c r="I81" s="122"/>
      <c r="J81" s="389"/>
      <c r="K81" s="389"/>
      <c r="L81" s="33"/>
      <c r="M81" s="33"/>
      <c r="N81" s="33"/>
    </row>
    <row r="82" spans="1:14">
      <c r="A82" s="27" t="s">
        <v>12</v>
      </c>
      <c r="B82" s="121" t="s">
        <v>114</v>
      </c>
      <c r="C82" s="122"/>
      <c r="D82" s="121" t="s">
        <v>115</v>
      </c>
      <c r="E82" s="122"/>
      <c r="F82" s="121" t="s">
        <v>166</v>
      </c>
      <c r="G82" s="122"/>
      <c r="H82" s="121" t="s">
        <v>167</v>
      </c>
      <c r="I82" s="122"/>
      <c r="J82" s="389"/>
      <c r="K82" s="389"/>
      <c r="L82" s="33"/>
      <c r="M82" s="33"/>
      <c r="N82" s="33"/>
    </row>
    <row r="83" spans="1:14">
      <c r="A83" s="27" t="s">
        <v>4</v>
      </c>
      <c r="B83" s="121" t="s">
        <v>116</v>
      </c>
      <c r="C83" s="122"/>
      <c r="D83" s="121" t="s">
        <v>117</v>
      </c>
      <c r="E83" s="122"/>
      <c r="F83" s="121" t="s">
        <v>117</v>
      </c>
      <c r="G83" s="122"/>
      <c r="H83" s="121" t="s">
        <v>117</v>
      </c>
      <c r="I83" s="122"/>
      <c r="J83" s="389"/>
      <c r="K83" s="389"/>
    </row>
    <row r="84" spans="1:14" ht="15.75" thickBot="1">
      <c r="A84" s="29" t="s">
        <v>40</v>
      </c>
      <c r="B84" s="402">
        <v>1</v>
      </c>
      <c r="C84" s="402"/>
      <c r="D84" s="402">
        <v>1</v>
      </c>
      <c r="E84" s="402"/>
      <c r="F84" s="402">
        <v>1</v>
      </c>
      <c r="G84" s="402"/>
      <c r="H84" s="402">
        <v>1</v>
      </c>
      <c r="I84" s="402"/>
      <c r="J84" s="402"/>
      <c r="K84" s="402"/>
      <c r="L84" s="33"/>
      <c r="M84" s="65"/>
    </row>
    <row r="85" spans="1:14">
      <c r="A85" s="34" t="s">
        <v>39</v>
      </c>
      <c r="B85" s="398">
        <f>B76+D76+F76+H76</f>
        <v>4937530517</v>
      </c>
      <c r="C85" s="399"/>
      <c r="D85" s="30"/>
      <c r="E85" s="31"/>
      <c r="F85" s="31"/>
      <c r="G85" s="31"/>
      <c r="H85" s="31"/>
      <c r="I85" s="31"/>
      <c r="J85" s="31"/>
      <c r="K85" s="31"/>
      <c r="M85" s="65"/>
    </row>
    <row r="86" spans="1:14" ht="15.75" thickBot="1">
      <c r="A86" s="35" t="s">
        <v>41</v>
      </c>
      <c r="B86" s="400">
        <f>IF(B85&gt;2.5*2250000000,45,IF(B85&gt;2*2250000000,30,IF(B85&gt;1.5*2250000000,15,0)))</f>
        <v>30</v>
      </c>
      <c r="C86" s="401"/>
      <c r="D86" s="31"/>
      <c r="E86" s="31"/>
      <c r="F86" s="31"/>
      <c r="G86" s="31"/>
      <c r="H86" s="31"/>
      <c r="I86" s="31"/>
      <c r="J86" s="31"/>
      <c r="K86" s="31"/>
      <c r="M86" s="65"/>
    </row>
    <row r="87" spans="1:14">
      <c r="A87" s="31"/>
      <c r="B87" s="31"/>
      <c r="C87" s="31"/>
      <c r="D87" s="31"/>
      <c r="E87" s="31"/>
      <c r="F87" s="31"/>
      <c r="G87" s="31"/>
      <c r="H87" s="31"/>
      <c r="I87" s="31"/>
      <c r="J87" s="31"/>
      <c r="K87" s="31"/>
    </row>
    <row r="88" spans="1:14">
      <c r="A88" s="417" t="s">
        <v>196</v>
      </c>
      <c r="B88" s="417"/>
      <c r="C88" s="417"/>
      <c r="D88" s="417"/>
      <c r="E88" s="417"/>
      <c r="F88" s="417"/>
      <c r="G88" s="417"/>
      <c r="H88" s="417"/>
      <c r="I88" s="417"/>
      <c r="J88" s="417"/>
      <c r="K88" s="417"/>
    </row>
    <row r="89" spans="1:14">
      <c r="A89" s="51" t="s">
        <v>13</v>
      </c>
      <c r="B89" s="418" t="s">
        <v>150</v>
      </c>
      <c r="C89" s="407"/>
      <c r="D89" s="407"/>
      <c r="E89" s="407"/>
      <c r="F89" s="407"/>
      <c r="G89" s="407"/>
      <c r="H89" s="407"/>
      <c r="I89" s="407"/>
      <c r="J89" s="407"/>
      <c r="K89" s="408"/>
    </row>
    <row r="90" spans="1:14">
      <c r="A90" s="58" t="s">
        <v>14</v>
      </c>
      <c r="B90" s="407" t="s">
        <v>15</v>
      </c>
      <c r="C90" s="408"/>
      <c r="D90" s="407" t="s">
        <v>16</v>
      </c>
      <c r="E90" s="408"/>
      <c r="F90" s="407" t="s">
        <v>17</v>
      </c>
      <c r="G90" s="408"/>
      <c r="H90" s="407" t="s">
        <v>18</v>
      </c>
      <c r="I90" s="408"/>
      <c r="J90" s="407" t="s">
        <v>19</v>
      </c>
      <c r="K90" s="408"/>
    </row>
    <row r="91" spans="1:14">
      <c r="A91" s="27" t="s">
        <v>0</v>
      </c>
      <c r="B91" s="389" t="s">
        <v>199</v>
      </c>
      <c r="C91" s="389"/>
      <c r="D91" s="389"/>
      <c r="E91" s="389"/>
      <c r="F91" s="389"/>
      <c r="G91" s="389"/>
      <c r="H91" s="389"/>
      <c r="I91" s="389"/>
      <c r="J91" s="389"/>
      <c r="K91" s="389"/>
    </row>
    <row r="92" spans="1:14">
      <c r="A92" s="27" t="s">
        <v>5</v>
      </c>
      <c r="B92" s="389" t="s">
        <v>233</v>
      </c>
      <c r="C92" s="389"/>
      <c r="D92" s="389"/>
      <c r="E92" s="389"/>
      <c r="F92" s="389"/>
      <c r="G92" s="389"/>
      <c r="H92" s="389"/>
      <c r="I92" s="389"/>
      <c r="J92" s="389"/>
      <c r="K92" s="389"/>
    </row>
    <row r="93" spans="1:14">
      <c r="A93" s="27" t="s">
        <v>6</v>
      </c>
      <c r="B93" s="389">
        <v>3241000</v>
      </c>
      <c r="C93" s="389"/>
      <c r="D93" s="389"/>
      <c r="E93" s="389"/>
      <c r="F93" s="389"/>
      <c r="G93" s="389"/>
      <c r="H93" s="389"/>
      <c r="I93" s="389"/>
      <c r="J93" s="389"/>
      <c r="K93" s="389"/>
    </row>
    <row r="94" spans="1:14">
      <c r="A94" s="27" t="s">
        <v>1</v>
      </c>
      <c r="B94" s="389" t="s">
        <v>150</v>
      </c>
      <c r="C94" s="389"/>
      <c r="D94" s="389"/>
      <c r="E94" s="389"/>
      <c r="F94" s="389"/>
      <c r="G94" s="389"/>
      <c r="H94" s="389"/>
      <c r="I94" s="389"/>
      <c r="J94" s="389"/>
      <c r="K94" s="389"/>
    </row>
    <row r="95" spans="1:14">
      <c r="A95" s="413" t="s">
        <v>8</v>
      </c>
      <c r="B95" s="57" t="s">
        <v>20</v>
      </c>
      <c r="C95" s="57" t="s">
        <v>21</v>
      </c>
      <c r="D95" s="57" t="s">
        <v>20</v>
      </c>
      <c r="E95" s="57" t="s">
        <v>21</v>
      </c>
      <c r="F95" s="57" t="s">
        <v>20</v>
      </c>
      <c r="G95" s="57" t="s">
        <v>21</v>
      </c>
      <c r="H95" s="57" t="s">
        <v>20</v>
      </c>
      <c r="I95" s="57" t="s">
        <v>21</v>
      </c>
      <c r="J95" s="57" t="s">
        <v>20</v>
      </c>
      <c r="K95" s="57" t="s">
        <v>21</v>
      </c>
    </row>
    <row r="96" spans="1:14">
      <c r="A96" s="414"/>
      <c r="B96" s="57"/>
      <c r="C96" s="57"/>
      <c r="D96" s="57"/>
      <c r="E96" s="57"/>
      <c r="F96" s="57"/>
      <c r="G96" s="57"/>
      <c r="H96" s="57"/>
      <c r="I96" s="57"/>
      <c r="J96" s="57"/>
      <c r="K96" s="57"/>
    </row>
    <row r="97" spans="1:13">
      <c r="A97" s="414"/>
      <c r="B97" s="57"/>
      <c r="C97" s="57"/>
      <c r="D97" s="57"/>
      <c r="E97" s="57"/>
      <c r="F97" s="57"/>
      <c r="G97" s="57"/>
      <c r="H97" s="57"/>
      <c r="I97" s="57"/>
      <c r="J97" s="57"/>
      <c r="K97" s="57"/>
    </row>
    <row r="98" spans="1:13">
      <c r="A98" s="414"/>
      <c r="B98" s="57"/>
      <c r="C98" s="57"/>
      <c r="D98" s="57"/>
      <c r="E98" s="57"/>
      <c r="F98" s="57"/>
      <c r="G98" s="57"/>
      <c r="H98" s="57"/>
      <c r="I98" s="57"/>
      <c r="J98" s="57"/>
      <c r="K98" s="57"/>
    </row>
    <row r="99" spans="1:13">
      <c r="A99" s="415"/>
      <c r="B99" s="57"/>
      <c r="C99" s="57"/>
      <c r="D99" s="57"/>
      <c r="E99" s="57"/>
      <c r="F99" s="57"/>
      <c r="G99" s="57"/>
      <c r="H99" s="57"/>
      <c r="I99" s="57"/>
      <c r="J99" s="57"/>
      <c r="K99" s="57"/>
    </row>
    <row r="100" spans="1:13">
      <c r="A100" s="27" t="s">
        <v>7</v>
      </c>
      <c r="B100" s="389" t="s">
        <v>168</v>
      </c>
      <c r="C100" s="389"/>
      <c r="D100" s="389"/>
      <c r="E100" s="389"/>
      <c r="F100" s="389"/>
      <c r="G100" s="389"/>
      <c r="H100" s="389"/>
      <c r="I100" s="389"/>
      <c r="J100" s="389"/>
      <c r="K100" s="389"/>
    </row>
    <row r="101" spans="1:13">
      <c r="A101" s="27" t="s">
        <v>219</v>
      </c>
      <c r="B101" s="416">
        <v>37865905</v>
      </c>
      <c r="C101" s="416"/>
      <c r="D101" s="389"/>
      <c r="E101" s="389"/>
      <c r="F101" s="389"/>
      <c r="G101" s="389"/>
      <c r="H101" s="420"/>
      <c r="I101" s="389"/>
      <c r="J101" s="389"/>
      <c r="K101" s="389"/>
    </row>
    <row r="102" spans="1:13">
      <c r="A102" s="27" t="s">
        <v>231</v>
      </c>
      <c r="B102" s="416">
        <v>61141278</v>
      </c>
      <c r="C102" s="416"/>
      <c r="D102" s="57"/>
      <c r="E102" s="57"/>
      <c r="F102" s="57"/>
      <c r="G102" s="67"/>
      <c r="H102" s="57"/>
      <c r="I102" s="67"/>
      <c r="J102" s="57"/>
      <c r="K102" s="57"/>
    </row>
    <row r="103" spans="1:13">
      <c r="A103" s="27" t="s">
        <v>220</v>
      </c>
      <c r="B103" s="389" t="s">
        <v>169</v>
      </c>
      <c r="C103" s="389"/>
      <c r="D103" s="389"/>
      <c r="E103" s="389"/>
      <c r="F103" s="419"/>
      <c r="G103" s="389"/>
      <c r="H103" s="389"/>
      <c r="I103" s="389"/>
      <c r="J103" s="389"/>
      <c r="K103" s="389"/>
    </row>
    <row r="104" spans="1:13">
      <c r="A104" s="27" t="s">
        <v>10</v>
      </c>
      <c r="B104" s="411">
        <v>38609</v>
      </c>
      <c r="C104" s="389"/>
      <c r="D104" s="389"/>
      <c r="E104" s="389"/>
      <c r="F104" s="389"/>
      <c r="G104" s="389"/>
      <c r="H104" s="389"/>
      <c r="I104" s="389"/>
      <c r="J104" s="389"/>
      <c r="K104" s="389"/>
    </row>
    <row r="105" spans="1:13">
      <c r="A105" s="27" t="s">
        <v>3</v>
      </c>
      <c r="B105" s="411">
        <v>38609</v>
      </c>
      <c r="C105" s="389"/>
      <c r="D105" s="389"/>
      <c r="E105" s="389"/>
      <c r="F105" s="389"/>
      <c r="G105" s="389"/>
      <c r="H105" s="389"/>
      <c r="I105" s="389"/>
      <c r="J105" s="389"/>
      <c r="K105" s="389"/>
    </row>
    <row r="106" spans="1:13">
      <c r="A106" s="27" t="s">
        <v>9</v>
      </c>
      <c r="B106" s="411">
        <v>38639</v>
      </c>
      <c r="C106" s="389"/>
      <c r="D106" s="389"/>
      <c r="E106" s="389"/>
      <c r="F106" s="389"/>
      <c r="G106" s="389"/>
      <c r="H106" s="389"/>
      <c r="I106" s="389"/>
      <c r="J106" s="389"/>
      <c r="K106" s="389"/>
    </row>
    <row r="107" spans="1:13">
      <c r="A107" s="27" t="s">
        <v>11</v>
      </c>
      <c r="B107" s="411">
        <v>38986</v>
      </c>
      <c r="C107" s="389"/>
      <c r="D107" s="389"/>
      <c r="E107" s="389"/>
      <c r="F107" s="389"/>
      <c r="G107" s="389"/>
      <c r="H107" s="389"/>
      <c r="I107" s="389"/>
      <c r="J107" s="389"/>
      <c r="K107" s="389"/>
    </row>
    <row r="108" spans="1:13">
      <c r="A108" s="27" t="s">
        <v>12</v>
      </c>
      <c r="B108" s="389"/>
      <c r="C108" s="389"/>
      <c r="D108" s="389"/>
      <c r="E108" s="389"/>
      <c r="F108" s="389"/>
      <c r="G108" s="389"/>
      <c r="H108" s="389"/>
      <c r="I108" s="389"/>
      <c r="J108" s="389"/>
      <c r="K108" s="389"/>
    </row>
    <row r="109" spans="1:13">
      <c r="A109" s="27" t="s">
        <v>4</v>
      </c>
      <c r="B109" s="389" t="s">
        <v>170</v>
      </c>
      <c r="C109" s="389"/>
      <c r="D109" s="389"/>
      <c r="E109" s="389"/>
      <c r="F109" s="389"/>
      <c r="G109" s="389"/>
      <c r="H109" s="389"/>
      <c r="I109" s="389"/>
      <c r="J109" s="389"/>
      <c r="K109" s="389"/>
    </row>
    <row r="110" spans="1:13" ht="15.75" thickBot="1">
      <c r="A110" s="29" t="s">
        <v>40</v>
      </c>
      <c r="B110" s="410">
        <v>1</v>
      </c>
      <c r="C110" s="410"/>
      <c r="D110" s="402"/>
      <c r="E110" s="402"/>
      <c r="F110" s="402"/>
      <c r="G110" s="402"/>
      <c r="H110" s="402"/>
      <c r="I110" s="402"/>
      <c r="J110" s="402"/>
      <c r="K110" s="402"/>
      <c r="L110" s="33"/>
      <c r="M110" s="65"/>
    </row>
    <row r="111" spans="1:13">
      <c r="A111" s="34" t="s">
        <v>39</v>
      </c>
      <c r="B111" s="398">
        <f>B102</f>
        <v>61141278</v>
      </c>
      <c r="C111" s="399"/>
      <c r="D111" s="31"/>
      <c r="E111" s="31"/>
      <c r="F111" s="31"/>
      <c r="G111" s="31"/>
      <c r="H111" s="31"/>
      <c r="I111" s="31"/>
      <c r="J111" s="31"/>
      <c r="K111" s="31"/>
      <c r="M111" s="65"/>
    </row>
    <row r="112" spans="1:13" ht="15.75" thickBot="1">
      <c r="A112" s="35" t="s">
        <v>41</v>
      </c>
      <c r="B112" s="400">
        <f>IF(B111&gt;2.5*2250000000,45,IF(B111&gt;2*2250000000,30,IF(B111&gt;1.5*2250000000,15,0)))</f>
        <v>0</v>
      </c>
      <c r="C112" s="401"/>
      <c r="D112" s="31"/>
      <c r="E112" s="31"/>
      <c r="F112" s="31"/>
      <c r="G112" s="31"/>
      <c r="H112" s="31"/>
      <c r="I112" s="31"/>
      <c r="J112" s="31"/>
      <c r="K112" s="31"/>
      <c r="M112" s="65"/>
    </row>
    <row r="113" spans="1:11">
      <c r="A113" s="31"/>
      <c r="B113" s="31"/>
      <c r="C113" s="31"/>
      <c r="D113" s="31"/>
      <c r="E113" s="31"/>
      <c r="F113" s="31"/>
      <c r="G113" s="31"/>
      <c r="H113" s="31"/>
      <c r="I113" s="31"/>
      <c r="J113" s="31"/>
      <c r="K113" s="31"/>
    </row>
    <row r="114" spans="1:11">
      <c r="A114" s="417" t="s">
        <v>196</v>
      </c>
      <c r="B114" s="417"/>
      <c r="C114" s="417"/>
      <c r="D114" s="417"/>
      <c r="E114" s="417"/>
      <c r="F114" s="417"/>
      <c r="G114" s="417"/>
      <c r="H114" s="417"/>
      <c r="I114" s="417"/>
      <c r="J114" s="417"/>
      <c r="K114" s="417"/>
    </row>
    <row r="115" spans="1:11">
      <c r="A115" s="51" t="s">
        <v>13</v>
      </c>
      <c r="B115" s="418" t="s">
        <v>198</v>
      </c>
      <c r="C115" s="407"/>
      <c r="D115" s="407"/>
      <c r="E115" s="407"/>
      <c r="F115" s="407"/>
      <c r="G115" s="407"/>
      <c r="H115" s="407"/>
      <c r="I115" s="407"/>
      <c r="J115" s="407"/>
      <c r="K115" s="408"/>
    </row>
    <row r="116" spans="1:11">
      <c r="A116" s="58" t="s">
        <v>14</v>
      </c>
      <c r="B116" s="407" t="s">
        <v>15</v>
      </c>
      <c r="C116" s="408"/>
      <c r="D116" s="407" t="s">
        <v>16</v>
      </c>
      <c r="E116" s="408"/>
      <c r="F116" s="407" t="s">
        <v>17</v>
      </c>
      <c r="G116" s="408"/>
      <c r="H116" s="407" t="s">
        <v>18</v>
      </c>
      <c r="I116" s="408"/>
      <c r="J116" s="407" t="s">
        <v>19</v>
      </c>
      <c r="K116" s="408"/>
    </row>
    <row r="117" spans="1:11">
      <c r="A117" s="27" t="s">
        <v>0</v>
      </c>
      <c r="B117" s="389" t="s">
        <v>234</v>
      </c>
      <c r="C117" s="389"/>
      <c r="D117" s="389" t="s">
        <v>234</v>
      </c>
      <c r="E117" s="389"/>
      <c r="F117" s="389" t="s">
        <v>234</v>
      </c>
      <c r="G117" s="389"/>
      <c r="H117" s="389" t="s">
        <v>55</v>
      </c>
      <c r="I117" s="389"/>
      <c r="J117" s="389" t="s">
        <v>243</v>
      </c>
      <c r="K117" s="389"/>
    </row>
    <row r="118" spans="1:11">
      <c r="A118" s="27" t="s">
        <v>5</v>
      </c>
      <c r="B118" s="389" t="s">
        <v>240</v>
      </c>
      <c r="C118" s="389"/>
      <c r="D118" s="389" t="s">
        <v>240</v>
      </c>
      <c r="E118" s="389"/>
      <c r="F118" s="389" t="s">
        <v>240</v>
      </c>
      <c r="G118" s="389"/>
      <c r="H118" s="389" t="s">
        <v>249</v>
      </c>
      <c r="I118" s="389"/>
      <c r="J118" s="389" t="s">
        <v>246</v>
      </c>
      <c r="K118" s="389"/>
    </row>
    <row r="119" spans="1:11">
      <c r="A119" s="27" t="s">
        <v>6</v>
      </c>
      <c r="B119" s="389">
        <v>4377630</v>
      </c>
      <c r="C119" s="389"/>
      <c r="D119" s="389">
        <v>4377630</v>
      </c>
      <c r="E119" s="389"/>
      <c r="F119" s="389">
        <v>4377630</v>
      </c>
      <c r="G119" s="389"/>
      <c r="H119" s="389">
        <v>3445000</v>
      </c>
      <c r="I119" s="389"/>
      <c r="J119" s="389">
        <v>3387328</v>
      </c>
      <c r="K119" s="389"/>
    </row>
    <row r="120" spans="1:11">
      <c r="A120" s="27" t="s">
        <v>1</v>
      </c>
      <c r="B120" s="389" t="s">
        <v>247</v>
      </c>
      <c r="C120" s="389"/>
      <c r="D120" s="389" t="s">
        <v>254</v>
      </c>
      <c r="E120" s="389"/>
      <c r="F120" s="389" t="s">
        <v>247</v>
      </c>
      <c r="G120" s="389"/>
      <c r="H120" s="389" t="s">
        <v>200</v>
      </c>
      <c r="I120" s="389"/>
      <c r="J120" s="389" t="s">
        <v>200</v>
      </c>
      <c r="K120" s="389"/>
    </row>
    <row r="121" spans="1:11">
      <c r="A121" s="413" t="s">
        <v>8</v>
      </c>
      <c r="B121" s="392"/>
      <c r="C121" s="393"/>
      <c r="D121" s="57" t="s">
        <v>20</v>
      </c>
      <c r="E121" s="57" t="s">
        <v>21</v>
      </c>
      <c r="F121" s="392"/>
      <c r="G121" s="393"/>
      <c r="H121" s="392"/>
      <c r="I121" s="393"/>
      <c r="J121" s="57" t="s">
        <v>20</v>
      </c>
      <c r="K121" s="57" t="s">
        <v>21</v>
      </c>
    </row>
    <row r="122" spans="1:11">
      <c r="A122" s="414"/>
      <c r="B122" s="394"/>
      <c r="C122" s="395"/>
      <c r="D122" s="57"/>
      <c r="E122" s="57"/>
      <c r="F122" s="394"/>
      <c r="G122" s="395"/>
      <c r="H122" s="394"/>
      <c r="I122" s="395"/>
      <c r="J122" s="57"/>
      <c r="K122" s="57"/>
    </row>
    <row r="123" spans="1:11">
      <c r="A123" s="414"/>
      <c r="B123" s="394"/>
      <c r="C123" s="395"/>
      <c r="D123" s="57"/>
      <c r="E123" s="57"/>
      <c r="F123" s="394"/>
      <c r="G123" s="395"/>
      <c r="H123" s="394"/>
      <c r="I123" s="395"/>
      <c r="J123" s="57"/>
      <c r="K123" s="57"/>
    </row>
    <row r="124" spans="1:11">
      <c r="A124" s="414"/>
      <c r="B124" s="394"/>
      <c r="C124" s="395"/>
      <c r="D124" s="57"/>
      <c r="E124" s="57"/>
      <c r="F124" s="394"/>
      <c r="G124" s="395"/>
      <c r="H124" s="394"/>
      <c r="I124" s="395"/>
      <c r="J124" s="57"/>
      <c r="K124" s="57"/>
    </row>
    <row r="125" spans="1:11">
      <c r="A125" s="415"/>
      <c r="B125" s="396"/>
      <c r="C125" s="397"/>
      <c r="D125" s="57"/>
      <c r="E125" s="57"/>
      <c r="F125" s="396"/>
      <c r="G125" s="397"/>
      <c r="H125" s="396"/>
      <c r="I125" s="397"/>
      <c r="J125" s="57"/>
      <c r="K125" s="57"/>
    </row>
    <row r="126" spans="1:11">
      <c r="A126" s="27" t="s">
        <v>7</v>
      </c>
      <c r="B126" s="389" t="s">
        <v>235</v>
      </c>
      <c r="C126" s="389"/>
      <c r="D126" s="389" t="s">
        <v>253</v>
      </c>
      <c r="E126" s="389"/>
      <c r="F126" s="389" t="s">
        <v>238</v>
      </c>
      <c r="G126" s="389"/>
      <c r="H126" s="389" t="s">
        <v>241</v>
      </c>
      <c r="I126" s="389"/>
      <c r="J126" s="389" t="s">
        <v>244</v>
      </c>
      <c r="K126" s="389"/>
    </row>
    <row r="127" spans="1:11">
      <c r="A127" s="27" t="s">
        <v>219</v>
      </c>
      <c r="B127" s="416">
        <v>1182945782</v>
      </c>
      <c r="C127" s="416"/>
      <c r="D127" s="390">
        <v>9338098415</v>
      </c>
      <c r="E127" s="391"/>
      <c r="F127" s="390">
        <v>789544416</v>
      </c>
      <c r="G127" s="391"/>
      <c r="H127" s="390">
        <v>584994960</v>
      </c>
      <c r="I127" s="391"/>
      <c r="J127" s="390">
        <v>1315226744</v>
      </c>
      <c r="K127" s="391"/>
    </row>
    <row r="128" spans="1:11">
      <c r="A128" s="27" t="s">
        <v>231</v>
      </c>
      <c r="B128" s="416">
        <v>1414940974</v>
      </c>
      <c r="C128" s="416"/>
      <c r="D128" s="390">
        <v>13263243310</v>
      </c>
      <c r="E128" s="391"/>
      <c r="F128" s="390">
        <v>858230739</v>
      </c>
      <c r="G128" s="391"/>
      <c r="H128" s="390">
        <v>830889774</v>
      </c>
      <c r="I128" s="391"/>
      <c r="J128" s="390">
        <v>0</v>
      </c>
      <c r="K128" s="391"/>
    </row>
    <row r="129" spans="1:11">
      <c r="A129" s="27" t="s">
        <v>220</v>
      </c>
      <c r="B129" s="389" t="s">
        <v>236</v>
      </c>
      <c r="C129" s="389"/>
      <c r="D129" s="389" t="s">
        <v>237</v>
      </c>
      <c r="E129" s="389"/>
      <c r="F129" s="389" t="s">
        <v>239</v>
      </c>
      <c r="G129" s="389"/>
      <c r="H129" s="389" t="s">
        <v>242</v>
      </c>
      <c r="I129" s="389"/>
      <c r="J129" s="389" t="s">
        <v>245</v>
      </c>
      <c r="K129" s="389"/>
    </row>
    <row r="130" spans="1:11">
      <c r="A130" s="27" t="s">
        <v>10</v>
      </c>
      <c r="B130" s="411">
        <v>40443</v>
      </c>
      <c r="C130" s="389"/>
      <c r="D130" s="411">
        <v>39444</v>
      </c>
      <c r="E130" s="389"/>
      <c r="F130" s="411">
        <v>41203</v>
      </c>
      <c r="G130" s="389"/>
      <c r="H130" s="411">
        <v>39353</v>
      </c>
      <c r="I130" s="389"/>
      <c r="J130" s="412"/>
      <c r="K130" s="412"/>
    </row>
    <row r="131" spans="1:11">
      <c r="A131" s="27" t="s">
        <v>3</v>
      </c>
      <c r="B131" s="411">
        <v>40443</v>
      </c>
      <c r="C131" s="389"/>
      <c r="D131" s="411">
        <v>39444</v>
      </c>
      <c r="E131" s="389"/>
      <c r="F131" s="411">
        <v>41214</v>
      </c>
      <c r="G131" s="389"/>
      <c r="H131" s="411">
        <v>39387</v>
      </c>
      <c r="I131" s="389"/>
      <c r="J131" s="411">
        <f>J132-119</f>
        <v>41298</v>
      </c>
      <c r="K131" s="389"/>
    </row>
    <row r="132" spans="1:11">
      <c r="A132" s="27" t="s">
        <v>9</v>
      </c>
      <c r="B132" s="411">
        <v>40724</v>
      </c>
      <c r="C132" s="389"/>
      <c r="D132" s="411">
        <v>40237</v>
      </c>
      <c r="E132" s="389"/>
      <c r="F132" s="411">
        <v>41305</v>
      </c>
      <c r="G132" s="389"/>
      <c r="H132" s="411">
        <v>39937</v>
      </c>
      <c r="I132" s="389"/>
      <c r="J132" s="411">
        <v>41417</v>
      </c>
      <c r="K132" s="389"/>
    </row>
    <row r="133" spans="1:11">
      <c r="A133" s="27" t="s">
        <v>11</v>
      </c>
      <c r="B133" s="411">
        <v>41585</v>
      </c>
      <c r="C133" s="389"/>
      <c r="D133" s="411">
        <v>40423</v>
      </c>
      <c r="E133" s="389"/>
      <c r="F133" s="411">
        <v>41568</v>
      </c>
      <c r="G133" s="389"/>
      <c r="H133" s="411">
        <v>41656</v>
      </c>
      <c r="I133" s="389"/>
      <c r="J133" s="411">
        <v>41649</v>
      </c>
      <c r="K133" s="389"/>
    </row>
    <row r="134" spans="1:11">
      <c r="A134" s="27" t="s">
        <v>12</v>
      </c>
      <c r="B134" s="389" t="s">
        <v>252</v>
      </c>
      <c r="C134" s="389"/>
      <c r="D134" s="389" t="s">
        <v>255</v>
      </c>
      <c r="E134" s="389"/>
      <c r="F134" s="389" t="s">
        <v>248</v>
      </c>
      <c r="G134" s="389"/>
      <c r="H134" s="389" t="s">
        <v>250</v>
      </c>
      <c r="I134" s="389"/>
      <c r="J134" s="389" t="s">
        <v>251</v>
      </c>
      <c r="K134" s="389"/>
    </row>
    <row r="135" spans="1:11">
      <c r="A135" s="27" t="s">
        <v>4</v>
      </c>
      <c r="B135" s="389" t="s">
        <v>51</v>
      </c>
      <c r="C135" s="389"/>
      <c r="D135" s="389" t="s">
        <v>51</v>
      </c>
      <c r="E135" s="389"/>
      <c r="F135" s="389" t="s">
        <v>51</v>
      </c>
      <c r="G135" s="389"/>
      <c r="H135" s="389" t="s">
        <v>51</v>
      </c>
      <c r="I135" s="389"/>
      <c r="J135" s="409" t="s">
        <v>51</v>
      </c>
      <c r="K135" s="409"/>
    </row>
    <row r="136" spans="1:11" ht="15.75" thickBot="1">
      <c r="A136" s="29" t="s">
        <v>40</v>
      </c>
      <c r="B136" s="410">
        <v>1</v>
      </c>
      <c r="C136" s="410"/>
      <c r="D136" s="402">
        <v>1</v>
      </c>
      <c r="E136" s="402"/>
      <c r="F136" s="402">
        <v>1</v>
      </c>
      <c r="G136" s="402"/>
      <c r="H136" s="402">
        <v>1</v>
      </c>
      <c r="I136" s="402"/>
      <c r="J136" s="402">
        <v>0</v>
      </c>
      <c r="K136" s="402"/>
    </row>
    <row r="137" spans="1:11">
      <c r="A137" s="34" t="s">
        <v>39</v>
      </c>
      <c r="B137" s="398">
        <f>B128+D128+F128+H128+J128</f>
        <v>16367304797</v>
      </c>
      <c r="C137" s="399"/>
      <c r="D137" s="31"/>
      <c r="E137" s="31"/>
      <c r="F137" s="31"/>
      <c r="G137" s="31"/>
      <c r="H137" s="31"/>
      <c r="I137" s="31"/>
      <c r="J137" s="31"/>
      <c r="K137" s="31"/>
    </row>
    <row r="138" spans="1:11" ht="15.75" thickBot="1">
      <c r="A138" s="35" t="s">
        <v>41</v>
      </c>
      <c r="B138" s="400">
        <f>IF(B137&gt;2.5*2250000000,45,IF(B137&gt;2*2250000000,30,IF(B137&gt;1.5*2250000000,15,0)))</f>
        <v>45</v>
      </c>
      <c r="C138" s="401"/>
      <c r="D138" s="31"/>
      <c r="E138" s="31"/>
      <c r="F138" s="31"/>
      <c r="G138" s="31"/>
      <c r="H138" s="31"/>
      <c r="I138" s="31"/>
      <c r="J138" s="31"/>
      <c r="K138" s="31"/>
    </row>
    <row r="139" spans="1:11">
      <c r="A139" s="36"/>
      <c r="B139" s="36"/>
      <c r="C139" s="36"/>
      <c r="D139" s="36"/>
      <c r="E139" s="36"/>
      <c r="F139" s="36"/>
      <c r="G139" s="36"/>
      <c r="H139" s="36"/>
      <c r="I139" s="36"/>
      <c r="J139" s="36"/>
      <c r="K139" s="36"/>
    </row>
    <row r="140" spans="1:11">
      <c r="A140" s="36"/>
      <c r="B140" s="36"/>
      <c r="C140" s="36"/>
      <c r="D140" s="36"/>
      <c r="E140" s="36"/>
      <c r="F140" s="36"/>
      <c r="G140" s="36"/>
      <c r="H140" s="36"/>
      <c r="I140" s="36"/>
      <c r="J140" s="36"/>
      <c r="K140" s="36"/>
    </row>
    <row r="141" spans="1:11">
      <c r="A141" s="36"/>
      <c r="B141" s="68"/>
      <c r="C141" s="68"/>
      <c r="D141" s="36"/>
      <c r="E141" s="36"/>
      <c r="F141" s="36"/>
      <c r="G141" s="36"/>
      <c r="H141" s="36"/>
      <c r="I141" s="36"/>
      <c r="J141" s="36"/>
      <c r="K141" s="36"/>
    </row>
    <row r="142" spans="1:11">
      <c r="A142" s="36"/>
      <c r="B142" s="36"/>
      <c r="C142" s="36"/>
      <c r="D142" s="36"/>
      <c r="E142" s="69"/>
      <c r="F142" s="36"/>
      <c r="G142" s="36"/>
      <c r="H142" s="36"/>
      <c r="I142" s="36"/>
      <c r="J142" s="36"/>
      <c r="K142" s="36"/>
    </row>
    <row r="143" spans="1:11">
      <c r="A143" s="36"/>
      <c r="B143" s="36"/>
      <c r="C143" s="36"/>
      <c r="D143" s="36"/>
      <c r="E143" s="36"/>
      <c r="F143" s="36"/>
      <c r="G143" s="36"/>
      <c r="H143" s="36"/>
      <c r="I143" s="36"/>
      <c r="J143" s="36"/>
      <c r="K143" s="36"/>
    </row>
    <row r="144" spans="1:11">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Hoja2">
    <tabColor theme="7" tint="0.39997558519241921"/>
  </sheetPr>
  <dimension ref="A1:Q19"/>
  <sheetViews>
    <sheetView zoomScale="115" zoomScaleNormal="115" workbookViewId="0">
      <selection activeCell="M4" sqref="M4"/>
    </sheetView>
  </sheetViews>
  <sheetFormatPr baseColWidth="10" defaultColWidth="11.42578125" defaultRowHeight="15"/>
  <cols>
    <col min="1" max="3" width="11.42578125" style="133"/>
    <col min="4" max="4" width="5.85546875" style="133" customWidth="1"/>
    <col min="5" max="5" width="3.85546875" style="133" bestFit="1" customWidth="1"/>
    <col min="6" max="6" width="5.42578125" style="133" customWidth="1"/>
    <col min="7" max="7" width="3.7109375" style="133" customWidth="1"/>
    <col min="8" max="8" width="11.42578125" style="133"/>
    <col min="9" max="9" width="42.7109375" style="133" customWidth="1"/>
    <col min="10" max="10" width="11.42578125" style="133"/>
    <col min="11" max="11" width="13.5703125" style="133" customWidth="1"/>
    <col min="12" max="12" width="11.42578125" style="133"/>
    <col min="13" max="13" width="17.7109375" style="133" bestFit="1" customWidth="1"/>
    <col min="14" max="14" width="19" style="133" customWidth="1"/>
    <col min="15" max="15" width="16.5703125" style="133" bestFit="1" customWidth="1"/>
    <col min="16" max="16384" width="11.42578125" style="133"/>
  </cols>
  <sheetData>
    <row r="1" spans="1:17">
      <c r="A1" s="130"/>
      <c r="B1" s="131" t="s">
        <v>538</v>
      </c>
      <c r="C1" s="132" t="s">
        <v>537</v>
      </c>
      <c r="E1" s="128" t="s">
        <v>539</v>
      </c>
      <c r="H1" s="133" t="s">
        <v>636</v>
      </c>
      <c r="I1" s="172" t="s">
        <v>541</v>
      </c>
      <c r="K1" s="138" t="s">
        <v>594</v>
      </c>
      <c r="M1" s="133" t="s">
        <v>629</v>
      </c>
      <c r="N1" s="133" t="s">
        <v>638</v>
      </c>
      <c r="O1" s="149" t="s">
        <v>596</v>
      </c>
    </row>
    <row r="2" spans="1:17" ht="15.75" thickBot="1">
      <c r="A2" s="169" t="s">
        <v>603</v>
      </c>
      <c r="B2" s="170">
        <v>828116</v>
      </c>
      <c r="C2" s="171">
        <v>925148</v>
      </c>
      <c r="E2" s="129" t="s">
        <v>540</v>
      </c>
      <c r="H2" s="186">
        <v>1</v>
      </c>
      <c r="I2" s="218" t="s">
        <v>649</v>
      </c>
      <c r="K2" s="139" t="s">
        <v>595</v>
      </c>
      <c r="M2" s="148">
        <v>1173569472</v>
      </c>
      <c r="N2" s="133">
        <v>80101504</v>
      </c>
      <c r="O2" s="149" t="s">
        <v>597</v>
      </c>
      <c r="Q2" s="133" t="s">
        <v>539</v>
      </c>
    </row>
    <row r="3" spans="1:17" ht="15.75" thickBot="1">
      <c r="A3" s="97" t="s">
        <v>536</v>
      </c>
      <c r="B3" s="134">
        <v>781242</v>
      </c>
      <c r="C3" s="135">
        <v>869453</v>
      </c>
      <c r="H3" s="186">
        <v>2</v>
      </c>
      <c r="I3" s="218" t="s">
        <v>645</v>
      </c>
      <c r="K3" s="140" t="s">
        <v>170</v>
      </c>
      <c r="M3" s="133" t="s">
        <v>656</v>
      </c>
      <c r="N3" s="133">
        <v>84111603</v>
      </c>
      <c r="O3" s="149" t="s">
        <v>598</v>
      </c>
      <c r="Q3" s="133" t="s">
        <v>540</v>
      </c>
    </row>
    <row r="4" spans="1:17">
      <c r="A4" s="97" t="s">
        <v>535</v>
      </c>
      <c r="B4" s="134">
        <v>737717</v>
      </c>
      <c r="C4" s="135">
        <v>820857</v>
      </c>
      <c r="H4" s="186">
        <v>3</v>
      </c>
      <c r="I4" s="218" t="s">
        <v>689</v>
      </c>
      <c r="M4" s="148">
        <f>+M2*0.5</f>
        <v>586784736</v>
      </c>
      <c r="N4" s="133">
        <v>93151607</v>
      </c>
    </row>
    <row r="5" spans="1:17">
      <c r="A5" s="97" t="s">
        <v>534</v>
      </c>
      <c r="B5" s="134">
        <v>689455</v>
      </c>
      <c r="C5" s="135">
        <v>767155</v>
      </c>
      <c r="H5" s="186">
        <v>4</v>
      </c>
      <c r="I5" s="218" t="s">
        <v>646</v>
      </c>
      <c r="M5" s="133" t="s">
        <v>657</v>
      </c>
    </row>
    <row r="6" spans="1:17">
      <c r="A6" s="97" t="s">
        <v>533</v>
      </c>
      <c r="B6" s="134">
        <v>644350</v>
      </c>
      <c r="C6" s="135">
        <v>718350</v>
      </c>
      <c r="H6" s="186">
        <v>5</v>
      </c>
      <c r="I6" s="218" t="s">
        <v>647</v>
      </c>
      <c r="M6" s="148">
        <f>+M2*0.3</f>
        <v>352070841.59999996</v>
      </c>
    </row>
    <row r="7" spans="1:17">
      <c r="A7" s="97" t="s">
        <v>532</v>
      </c>
      <c r="B7" s="134">
        <v>616000</v>
      </c>
      <c r="C7" s="135">
        <v>688000</v>
      </c>
      <c r="H7" s="186">
        <v>6</v>
      </c>
      <c r="I7" s="218" t="s">
        <v>660</v>
      </c>
    </row>
    <row r="8" spans="1:17">
      <c r="A8" s="97" t="s">
        <v>531</v>
      </c>
      <c r="B8" s="134">
        <v>589500</v>
      </c>
      <c r="C8" s="135">
        <v>660000</v>
      </c>
      <c r="H8" s="191">
        <v>7</v>
      </c>
      <c r="I8" s="218" t="s">
        <v>648</v>
      </c>
      <c r="M8" s="148"/>
    </row>
    <row r="9" spans="1:17">
      <c r="A9" s="97" t="s">
        <v>530</v>
      </c>
      <c r="B9" s="134">
        <v>566700</v>
      </c>
      <c r="C9" s="135">
        <v>634500</v>
      </c>
      <c r="H9" s="208"/>
      <c r="I9" s="209"/>
      <c r="M9" s="147"/>
    </row>
    <row r="10" spans="1:17">
      <c r="A10" s="97" t="s">
        <v>529</v>
      </c>
      <c r="B10" s="134">
        <v>535600</v>
      </c>
      <c r="C10" s="135">
        <v>599200</v>
      </c>
      <c r="H10" s="208"/>
      <c r="I10" s="209"/>
      <c r="M10" s="168"/>
    </row>
    <row r="11" spans="1:17">
      <c r="A11" s="97" t="s">
        <v>528</v>
      </c>
      <c r="B11" s="134">
        <v>515000</v>
      </c>
      <c r="C11" s="135">
        <v>576500</v>
      </c>
      <c r="H11" s="208"/>
      <c r="I11" s="209"/>
    </row>
    <row r="12" spans="1:17">
      <c r="A12" s="97" t="s">
        <v>527</v>
      </c>
      <c r="B12" s="134">
        <v>496900</v>
      </c>
      <c r="C12" s="135">
        <v>556200</v>
      </c>
      <c r="H12" s="208"/>
      <c r="I12" s="209"/>
    </row>
    <row r="13" spans="1:17">
      <c r="A13" s="97" t="s">
        <v>526</v>
      </c>
      <c r="B13" s="134">
        <v>461500</v>
      </c>
      <c r="C13" s="135">
        <v>516500</v>
      </c>
      <c r="H13" s="209"/>
      <c r="I13" s="209"/>
    </row>
    <row r="14" spans="1:17">
      <c r="A14" s="97" t="s">
        <v>525</v>
      </c>
      <c r="B14" s="134">
        <v>433700</v>
      </c>
      <c r="C14" s="135">
        <v>484500</v>
      </c>
    </row>
    <row r="15" spans="1:17">
      <c r="A15" s="97" t="s">
        <v>640</v>
      </c>
      <c r="B15" s="134">
        <v>408000</v>
      </c>
      <c r="C15" s="135">
        <v>455700</v>
      </c>
    </row>
    <row r="16" spans="1:17">
      <c r="A16" s="219" t="s">
        <v>641</v>
      </c>
      <c r="B16" s="134">
        <v>381500</v>
      </c>
      <c r="C16" s="135">
        <f>+B16+44500</f>
        <v>426000</v>
      </c>
    </row>
    <row r="17" spans="1:3">
      <c r="A17" s="219" t="s">
        <v>642</v>
      </c>
      <c r="B17" s="134">
        <v>358000</v>
      </c>
      <c r="C17" s="135">
        <v>399600</v>
      </c>
    </row>
    <row r="18" spans="1:3">
      <c r="A18" s="97" t="s">
        <v>643</v>
      </c>
      <c r="B18" s="134">
        <v>332000</v>
      </c>
      <c r="C18" s="220">
        <v>369500</v>
      </c>
    </row>
    <row r="19" spans="1:3" ht="15.75" thickBot="1">
      <c r="A19" s="136" t="s">
        <v>644</v>
      </c>
      <c r="B19" s="137">
        <v>309000</v>
      </c>
      <c r="C19" s="221">
        <v>343000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Hoja3">
    <tabColor theme="4" tint="-0.249977111117893"/>
  </sheetPr>
  <dimension ref="A1:AG54"/>
  <sheetViews>
    <sheetView zoomScale="55" zoomScaleNormal="55" zoomScaleSheetLayoutView="85" zoomScalePageLayoutView="80" workbookViewId="0">
      <pane xSplit="1" topLeftCell="F1" activePane="topRight" state="frozen"/>
      <selection activeCell="A2" sqref="A2"/>
      <selection pane="topRight" activeCell="H8" sqref="H8"/>
    </sheetView>
  </sheetViews>
  <sheetFormatPr baseColWidth="10" defaultColWidth="10.85546875" defaultRowHeight="12"/>
  <cols>
    <col min="1" max="1" width="54.5703125" style="192" bestFit="1" customWidth="1"/>
    <col min="2" max="2" width="21.7109375" style="192" customWidth="1"/>
    <col min="3" max="3" width="64.85546875" style="192" customWidth="1"/>
    <col min="4" max="4" width="33.42578125" style="192" bestFit="1" customWidth="1"/>
    <col min="5" max="5" width="22.140625" style="192" customWidth="1"/>
    <col min="6" max="6" width="62.28515625" style="192" customWidth="1"/>
    <col min="7" max="7" width="25" style="192" customWidth="1"/>
    <col min="8" max="8" width="32.85546875" style="192" customWidth="1"/>
    <col min="9" max="9" width="37.85546875" style="192" hidden="1" customWidth="1"/>
    <col min="10" max="10" width="50.42578125" style="192" hidden="1" customWidth="1"/>
    <col min="11" max="11" width="28.85546875" style="192" hidden="1" customWidth="1"/>
    <col min="12" max="12" width="38.28515625" style="192" hidden="1" customWidth="1"/>
    <col min="13" max="13" width="43.7109375" style="192" hidden="1" customWidth="1"/>
    <col min="14" max="14" width="30" style="192" hidden="1" customWidth="1"/>
    <col min="15" max="16" width="40.28515625" style="192" hidden="1" customWidth="1"/>
    <col min="17" max="17" width="30" style="192" hidden="1" customWidth="1"/>
    <col min="18" max="18" width="49.28515625" style="192" customWidth="1"/>
    <col min="19" max="20" width="32.42578125" style="192" customWidth="1"/>
    <col min="21" max="21" width="49.28515625" style="192" customWidth="1"/>
    <col min="22" max="22" width="30.140625" style="192" customWidth="1"/>
    <col min="23" max="23" width="33.28515625" style="192" customWidth="1"/>
    <col min="24" max="24" width="49.28515625" style="192" customWidth="1"/>
    <col min="25" max="26" width="37.28515625" style="192" customWidth="1"/>
    <col min="27" max="27" width="49.28515625" style="192" customWidth="1"/>
    <col min="28" max="29" width="35" style="192" customWidth="1"/>
    <col min="30" max="30" width="49.28515625" style="192" customWidth="1"/>
    <col min="31" max="32" width="31.28515625" style="192" customWidth="1"/>
    <col min="33" max="16384" width="10.85546875" style="192"/>
  </cols>
  <sheetData>
    <row r="1" spans="1:33" ht="19.5">
      <c r="A1" s="558" t="s">
        <v>543</v>
      </c>
      <c r="B1" s="558"/>
      <c r="C1" s="558"/>
      <c r="D1" s="558"/>
      <c r="E1" s="558"/>
      <c r="F1" s="558"/>
      <c r="G1" s="558"/>
      <c r="H1" s="558"/>
      <c r="I1" s="558"/>
      <c r="J1" s="558"/>
      <c r="K1" s="558"/>
      <c r="L1" s="558"/>
      <c r="M1" s="558"/>
      <c r="N1" s="558"/>
      <c r="O1" s="224"/>
      <c r="P1" s="224"/>
      <c r="Q1" s="224"/>
    </row>
    <row r="2" spans="1:33" ht="19.5">
      <c r="A2" s="558" t="s">
        <v>518</v>
      </c>
      <c r="B2" s="558"/>
      <c r="C2" s="558"/>
      <c r="D2" s="558"/>
      <c r="E2" s="558"/>
      <c r="F2" s="558"/>
      <c r="G2" s="558"/>
      <c r="H2" s="558"/>
      <c r="I2" s="558"/>
      <c r="J2" s="558"/>
      <c r="K2" s="558"/>
      <c r="L2" s="558"/>
      <c r="M2" s="558"/>
      <c r="N2" s="558"/>
      <c r="O2" s="224"/>
      <c r="P2" s="224"/>
      <c r="Q2" s="224"/>
    </row>
    <row r="3" spans="1:33" ht="19.5">
      <c r="A3" s="558" t="s">
        <v>544</v>
      </c>
      <c r="B3" s="558"/>
      <c r="C3" s="558"/>
      <c r="D3" s="558"/>
      <c r="E3" s="558"/>
      <c r="F3" s="558"/>
      <c r="G3" s="558"/>
      <c r="H3" s="558"/>
      <c r="I3" s="558"/>
      <c r="J3" s="558"/>
      <c r="K3" s="558"/>
      <c r="L3" s="558"/>
      <c r="M3" s="558"/>
      <c r="N3" s="558"/>
      <c r="O3" s="224"/>
      <c r="P3" s="224"/>
      <c r="Q3" s="224"/>
    </row>
    <row r="4" spans="1:33" ht="19.5">
      <c r="A4" s="558" t="s">
        <v>639</v>
      </c>
      <c r="B4" s="558"/>
      <c r="C4" s="558"/>
      <c r="D4" s="558"/>
      <c r="E4" s="558"/>
      <c r="F4" s="558"/>
      <c r="G4" s="558"/>
      <c r="H4" s="558"/>
      <c r="I4" s="558"/>
      <c r="J4" s="558"/>
      <c r="K4" s="558"/>
      <c r="L4" s="558"/>
      <c r="M4" s="558"/>
      <c r="N4" s="558"/>
      <c r="O4" s="224"/>
      <c r="P4" s="224"/>
      <c r="Q4" s="224"/>
    </row>
    <row r="5" spans="1:33" ht="19.5">
      <c r="A5" s="558" t="s">
        <v>546</v>
      </c>
      <c r="B5" s="558"/>
      <c r="C5" s="558"/>
      <c r="D5" s="558"/>
      <c r="E5" s="558"/>
      <c r="F5" s="558"/>
      <c r="G5" s="558"/>
      <c r="H5" s="558"/>
      <c r="I5" s="558"/>
      <c r="J5" s="558"/>
      <c r="K5" s="558"/>
      <c r="L5" s="558"/>
      <c r="M5" s="558"/>
      <c r="N5" s="558"/>
      <c r="O5" s="224"/>
      <c r="P5" s="224"/>
      <c r="Q5" s="224"/>
    </row>
    <row r="6" spans="1:33" ht="9" customHeight="1" thickBot="1">
      <c r="A6" s="206"/>
      <c r="B6" s="206"/>
      <c r="C6" s="206"/>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row>
    <row r="7" spans="1:33" s="225" customFormat="1" ht="36.75" customHeight="1" thickBot="1">
      <c r="A7" s="583" t="s">
        <v>519</v>
      </c>
      <c r="B7" s="559" t="s">
        <v>579</v>
      </c>
      <c r="C7" s="561" t="s">
        <v>520</v>
      </c>
      <c r="D7" s="562"/>
      <c r="E7" s="563"/>
      <c r="F7" s="521" t="s">
        <v>523</v>
      </c>
      <c r="G7" s="522"/>
      <c r="H7" s="567"/>
      <c r="I7" s="479"/>
      <c r="J7" s="479"/>
      <c r="K7" s="479"/>
      <c r="L7" s="479"/>
      <c r="M7" s="479"/>
      <c r="N7" s="479"/>
      <c r="O7" s="479"/>
      <c r="P7" s="479"/>
      <c r="Q7" s="479"/>
      <c r="R7" s="571"/>
      <c r="S7" s="571"/>
      <c r="T7" s="571"/>
      <c r="U7" s="571"/>
      <c r="V7" s="571"/>
      <c r="W7" s="571"/>
      <c r="X7" s="571"/>
      <c r="Y7" s="571"/>
      <c r="Z7" s="571"/>
      <c r="AA7" s="571"/>
      <c r="AB7" s="571"/>
      <c r="AC7" s="571"/>
    </row>
    <row r="8" spans="1:33" s="193" customFormat="1" ht="38.25" thickBot="1">
      <c r="A8" s="584"/>
      <c r="B8" s="560"/>
      <c r="C8" s="252" t="s">
        <v>521</v>
      </c>
      <c r="D8" s="253" t="s">
        <v>522</v>
      </c>
      <c r="E8" s="254" t="s">
        <v>476</v>
      </c>
      <c r="F8" s="371" t="s">
        <v>521</v>
      </c>
      <c r="G8" s="372" t="s">
        <v>522</v>
      </c>
      <c r="H8" s="256" t="s">
        <v>476</v>
      </c>
      <c r="I8" s="260"/>
      <c r="J8" s="260"/>
      <c r="K8" s="260"/>
      <c r="L8" s="260"/>
      <c r="M8" s="260"/>
      <c r="N8" s="260"/>
      <c r="O8" s="260"/>
      <c r="P8" s="260"/>
      <c r="Q8" s="260"/>
      <c r="T8" s="194"/>
      <c r="W8" s="194"/>
      <c r="Z8" s="194"/>
      <c r="AC8" s="194"/>
    </row>
    <row r="9" spans="1:33" s="196" customFormat="1" ht="85.5" customHeight="1" thickBot="1">
      <c r="A9" s="255" t="str">
        <f>+VLOOKUP(B9,X!$H$2:$I$9,2,0)</f>
        <v>CONSORCIO AUDITORIA TRAESCOL</v>
      </c>
      <c r="B9" s="241">
        <v>3</v>
      </c>
      <c r="C9" s="379" t="s">
        <v>667</v>
      </c>
      <c r="D9" s="380" t="s">
        <v>668</v>
      </c>
      <c r="E9" s="381">
        <v>0.5</v>
      </c>
      <c r="F9" s="379" t="s">
        <v>669</v>
      </c>
      <c r="G9" s="380" t="s">
        <v>670</v>
      </c>
      <c r="H9" s="382">
        <v>0.5</v>
      </c>
      <c r="I9" s="259"/>
      <c r="J9" s="259"/>
      <c r="K9" s="259"/>
      <c r="L9" s="259"/>
      <c r="M9" s="259"/>
      <c r="N9" s="259"/>
      <c r="O9" s="259"/>
      <c r="P9" s="259"/>
      <c r="Q9" s="259"/>
      <c r="R9" s="194"/>
      <c r="S9" s="194"/>
      <c r="T9" s="195"/>
      <c r="U9" s="194"/>
      <c r="V9" s="194"/>
      <c r="W9" s="195"/>
      <c r="X9" s="194"/>
      <c r="Y9" s="194"/>
      <c r="Z9" s="195"/>
      <c r="AA9" s="194"/>
      <c r="AB9" s="194"/>
      <c r="AC9" s="194"/>
    </row>
    <row r="10" spans="1:33" ht="19.5" thickBot="1">
      <c r="A10" s="480" t="s">
        <v>480</v>
      </c>
      <c r="B10" s="481"/>
      <c r="C10" s="449" t="s">
        <v>602</v>
      </c>
      <c r="D10" s="450"/>
      <c r="E10" s="450"/>
      <c r="F10" s="450"/>
      <c r="G10" s="450"/>
      <c r="H10" s="450"/>
      <c r="I10" s="450"/>
      <c r="J10" s="450"/>
      <c r="K10" s="450"/>
      <c r="L10" s="450"/>
      <c r="M10" s="450"/>
      <c r="N10" s="450"/>
      <c r="O10" s="450"/>
      <c r="P10" s="450"/>
      <c r="Q10" s="451"/>
      <c r="R10" s="452" t="s">
        <v>549</v>
      </c>
      <c r="S10" s="453"/>
      <c r="T10" s="453"/>
      <c r="U10" s="453"/>
      <c r="V10" s="453"/>
      <c r="W10" s="453"/>
      <c r="X10" s="453"/>
      <c r="Y10" s="453"/>
      <c r="Z10" s="453"/>
      <c r="AA10" s="453"/>
      <c r="AB10" s="453"/>
      <c r="AC10" s="453"/>
      <c r="AD10" s="453"/>
      <c r="AE10" s="453"/>
      <c r="AF10" s="454"/>
    </row>
    <row r="11" spans="1:33" s="197" customFormat="1" ht="19.5" thickBot="1">
      <c r="A11" s="482"/>
      <c r="B11" s="483"/>
      <c r="C11" s="449" t="s">
        <v>15</v>
      </c>
      <c r="D11" s="450"/>
      <c r="E11" s="451"/>
      <c r="F11" s="449" t="s">
        <v>16</v>
      </c>
      <c r="G11" s="450"/>
      <c r="H11" s="451"/>
      <c r="I11" s="449" t="s">
        <v>17</v>
      </c>
      <c r="J11" s="450"/>
      <c r="K11" s="451"/>
      <c r="L11" s="449" t="s">
        <v>18</v>
      </c>
      <c r="M11" s="450"/>
      <c r="N11" s="451"/>
      <c r="O11" s="449" t="s">
        <v>19</v>
      </c>
      <c r="P11" s="450"/>
      <c r="Q11" s="451"/>
      <c r="R11" s="452" t="s">
        <v>15</v>
      </c>
      <c r="S11" s="453"/>
      <c r="T11" s="454"/>
      <c r="U11" s="452" t="s">
        <v>16</v>
      </c>
      <c r="V11" s="453"/>
      <c r="W11" s="454"/>
      <c r="X11" s="452" t="s">
        <v>17</v>
      </c>
      <c r="Y11" s="453"/>
      <c r="Z11" s="454"/>
      <c r="AA11" s="452" t="s">
        <v>18</v>
      </c>
      <c r="AB11" s="453"/>
      <c r="AC11" s="454"/>
      <c r="AD11" s="452" t="s">
        <v>19</v>
      </c>
      <c r="AE11" s="453"/>
      <c r="AF11" s="454"/>
      <c r="AG11" s="192"/>
    </row>
    <row r="12" spans="1:33" ht="18.75">
      <c r="A12" s="484" t="s">
        <v>0</v>
      </c>
      <c r="B12" s="490"/>
      <c r="C12" s="437" t="s">
        <v>671</v>
      </c>
      <c r="D12" s="438"/>
      <c r="E12" s="439"/>
      <c r="F12" s="437"/>
      <c r="G12" s="438"/>
      <c r="H12" s="439"/>
      <c r="L12" s="437"/>
      <c r="M12" s="438"/>
      <c r="N12" s="439"/>
      <c r="O12" s="437"/>
      <c r="P12" s="438"/>
      <c r="Q12" s="439"/>
      <c r="R12" s="437" t="s">
        <v>676</v>
      </c>
      <c r="S12" s="438"/>
      <c r="T12" s="439"/>
      <c r="U12" s="437" t="s">
        <v>676</v>
      </c>
      <c r="V12" s="438"/>
      <c r="W12" s="439"/>
      <c r="X12" s="437" t="s">
        <v>684</v>
      </c>
      <c r="Y12" s="438"/>
      <c r="Z12" s="439"/>
      <c r="AA12" s="437" t="s">
        <v>692</v>
      </c>
      <c r="AB12" s="438"/>
      <c r="AC12" s="439"/>
      <c r="AD12" s="437" t="s">
        <v>697</v>
      </c>
      <c r="AE12" s="438"/>
      <c r="AF12" s="439"/>
    </row>
    <row r="13" spans="1:33" ht="18.75">
      <c r="A13" s="486" t="s">
        <v>5</v>
      </c>
      <c r="B13" s="491"/>
      <c r="C13" s="446" t="s">
        <v>672</v>
      </c>
      <c r="D13" s="447"/>
      <c r="E13" s="448"/>
      <c r="F13" s="446"/>
      <c r="G13" s="447"/>
      <c r="H13" s="448"/>
      <c r="I13" s="446"/>
      <c r="J13" s="447"/>
      <c r="K13" s="448"/>
      <c r="L13" s="446"/>
      <c r="M13" s="447"/>
      <c r="N13" s="448"/>
      <c r="O13" s="446"/>
      <c r="P13" s="447"/>
      <c r="Q13" s="448"/>
      <c r="R13" s="446" t="s">
        <v>680</v>
      </c>
      <c r="S13" s="447"/>
      <c r="T13" s="448"/>
      <c r="U13" s="446" t="s">
        <v>680</v>
      </c>
      <c r="V13" s="447"/>
      <c r="W13" s="448"/>
      <c r="X13" s="446" t="s">
        <v>685</v>
      </c>
      <c r="Y13" s="447"/>
      <c r="Z13" s="448"/>
      <c r="AA13" s="440" t="s">
        <v>693</v>
      </c>
      <c r="AB13" s="441"/>
      <c r="AC13" s="442"/>
      <c r="AD13" s="446" t="s">
        <v>698</v>
      </c>
      <c r="AE13" s="447"/>
      <c r="AF13" s="448"/>
    </row>
    <row r="14" spans="1:33" ht="21.75" customHeight="1">
      <c r="A14" s="486" t="s">
        <v>6</v>
      </c>
      <c r="B14" s="491"/>
      <c r="C14" s="440">
        <v>2222800</v>
      </c>
      <c r="D14" s="441"/>
      <c r="E14" s="442"/>
      <c r="F14" s="440"/>
      <c r="G14" s="441"/>
      <c r="H14" s="442"/>
      <c r="I14" s="440"/>
      <c r="J14" s="441"/>
      <c r="K14" s="442"/>
      <c r="L14" s="440"/>
      <c r="M14" s="441"/>
      <c r="N14" s="442"/>
      <c r="O14" s="440"/>
      <c r="P14" s="441"/>
      <c r="Q14" s="442"/>
      <c r="R14" s="440">
        <v>69113005</v>
      </c>
      <c r="S14" s="441"/>
      <c r="T14" s="442"/>
      <c r="U14" s="440">
        <v>69113005</v>
      </c>
      <c r="V14" s="441"/>
      <c r="W14" s="442"/>
      <c r="X14" s="440">
        <v>3137777</v>
      </c>
      <c r="Y14" s="441"/>
      <c r="Z14" s="442"/>
      <c r="AA14" s="440">
        <v>2222800</v>
      </c>
      <c r="AB14" s="441"/>
      <c r="AC14" s="442"/>
      <c r="AD14" s="440">
        <v>4870024</v>
      </c>
      <c r="AE14" s="441"/>
      <c r="AF14" s="442"/>
    </row>
    <row r="15" spans="1:33" ht="19.5" customHeight="1" thickBot="1">
      <c r="A15" s="492" t="s">
        <v>1</v>
      </c>
      <c r="B15" s="493"/>
      <c r="C15" s="443" t="s">
        <v>669</v>
      </c>
      <c r="D15" s="444"/>
      <c r="E15" s="445"/>
      <c r="F15" s="443"/>
      <c r="G15" s="444"/>
      <c r="H15" s="445"/>
      <c r="I15" s="443"/>
      <c r="J15" s="444"/>
      <c r="K15" s="445"/>
      <c r="L15" s="443"/>
      <c r="M15" s="444"/>
      <c r="N15" s="445"/>
      <c r="O15" s="443"/>
      <c r="P15" s="444"/>
      <c r="Q15" s="445"/>
      <c r="R15" s="443" t="s">
        <v>675</v>
      </c>
      <c r="S15" s="444"/>
      <c r="T15" s="445"/>
      <c r="U15" s="443" t="s">
        <v>675</v>
      </c>
      <c r="V15" s="444"/>
      <c r="W15" s="445"/>
      <c r="X15" s="443" t="s">
        <v>686</v>
      </c>
      <c r="Y15" s="444"/>
      <c r="Z15" s="445"/>
      <c r="AA15" s="443" t="s">
        <v>694</v>
      </c>
      <c r="AB15" s="444"/>
      <c r="AC15" s="445"/>
      <c r="AD15" s="443" t="s">
        <v>694</v>
      </c>
      <c r="AE15" s="444"/>
      <c r="AF15" s="445"/>
    </row>
    <row r="16" spans="1:33" ht="57" customHeight="1" thickBot="1">
      <c r="A16" s="534" t="s">
        <v>8</v>
      </c>
      <c r="B16" s="535"/>
      <c r="C16" s="521" t="s">
        <v>22</v>
      </c>
      <c r="D16" s="522"/>
      <c r="E16" s="256" t="s">
        <v>494</v>
      </c>
      <c r="F16" s="521"/>
      <c r="G16" s="522"/>
      <c r="H16" s="256"/>
      <c r="I16" s="521" t="s">
        <v>22</v>
      </c>
      <c r="J16" s="522"/>
      <c r="K16" s="256" t="s">
        <v>494</v>
      </c>
      <c r="L16" s="521" t="s">
        <v>22</v>
      </c>
      <c r="M16" s="522"/>
      <c r="N16" s="256" t="s">
        <v>494</v>
      </c>
      <c r="O16" s="521" t="s">
        <v>22</v>
      </c>
      <c r="P16" s="522"/>
      <c r="Q16" s="256" t="s">
        <v>494</v>
      </c>
      <c r="R16" s="519" t="s">
        <v>22</v>
      </c>
      <c r="S16" s="520"/>
      <c r="T16" s="257" t="s">
        <v>494</v>
      </c>
      <c r="U16" s="519" t="s">
        <v>22</v>
      </c>
      <c r="V16" s="520"/>
      <c r="W16" s="257" t="s">
        <v>494</v>
      </c>
      <c r="X16" s="519" t="s">
        <v>22</v>
      </c>
      <c r="Y16" s="520"/>
      <c r="Z16" s="257" t="s">
        <v>494</v>
      </c>
      <c r="AA16" s="519" t="s">
        <v>22</v>
      </c>
      <c r="AB16" s="520"/>
      <c r="AC16" s="257" t="s">
        <v>494</v>
      </c>
      <c r="AD16" s="519" t="s">
        <v>22</v>
      </c>
      <c r="AE16" s="520"/>
      <c r="AF16" s="257" t="s">
        <v>494</v>
      </c>
    </row>
    <row r="17" spans="1:33" ht="18.75">
      <c r="A17" s="536"/>
      <c r="B17" s="537"/>
      <c r="C17" s="496" t="s">
        <v>669</v>
      </c>
      <c r="D17" s="497"/>
      <c r="E17" s="234">
        <v>1</v>
      </c>
      <c r="F17" s="496"/>
      <c r="G17" s="497"/>
      <c r="H17" s="234"/>
      <c r="I17" s="496"/>
      <c r="J17" s="497"/>
      <c r="K17" s="234"/>
      <c r="L17" s="496"/>
      <c r="M17" s="497"/>
      <c r="N17" s="234"/>
      <c r="O17" s="496"/>
      <c r="P17" s="497"/>
      <c r="Q17" s="234"/>
      <c r="R17" s="496" t="s">
        <v>675</v>
      </c>
      <c r="S17" s="497"/>
      <c r="T17" s="234">
        <v>1</v>
      </c>
      <c r="U17" s="496" t="s">
        <v>675</v>
      </c>
      <c r="V17" s="497"/>
      <c r="W17" s="234">
        <v>1</v>
      </c>
      <c r="X17" s="496" t="s">
        <v>675</v>
      </c>
      <c r="Y17" s="497"/>
      <c r="Z17" s="234">
        <v>0.34</v>
      </c>
      <c r="AA17" s="496" t="s">
        <v>694</v>
      </c>
      <c r="AB17" s="497"/>
      <c r="AC17" s="234">
        <v>1</v>
      </c>
      <c r="AD17" s="496" t="s">
        <v>694</v>
      </c>
      <c r="AE17" s="497"/>
      <c r="AF17" s="234">
        <v>1</v>
      </c>
    </row>
    <row r="18" spans="1:33" ht="18.75">
      <c r="A18" s="536"/>
      <c r="B18" s="537"/>
      <c r="C18" s="494"/>
      <c r="D18" s="495"/>
      <c r="E18" s="235"/>
      <c r="F18" s="494"/>
      <c r="G18" s="495"/>
      <c r="H18" s="235"/>
      <c r="I18" s="494"/>
      <c r="J18" s="495"/>
      <c r="K18" s="235"/>
      <c r="L18" s="494"/>
      <c r="M18" s="495"/>
      <c r="N18" s="235"/>
      <c r="O18" s="494"/>
      <c r="P18" s="495"/>
      <c r="Q18" s="235"/>
      <c r="R18" s="494"/>
      <c r="S18" s="495"/>
      <c r="T18" s="235"/>
      <c r="U18" s="494"/>
      <c r="V18" s="495"/>
      <c r="W18" s="235"/>
      <c r="X18" s="494"/>
      <c r="Y18" s="495"/>
      <c r="Z18" s="235"/>
      <c r="AA18" s="494"/>
      <c r="AB18" s="495"/>
      <c r="AC18" s="235"/>
      <c r="AD18" s="494"/>
      <c r="AE18" s="495"/>
      <c r="AF18" s="235"/>
    </row>
    <row r="19" spans="1:33" ht="18.75">
      <c r="A19" s="536"/>
      <c r="B19" s="537"/>
      <c r="C19" s="494"/>
      <c r="D19" s="495"/>
      <c r="E19" s="235"/>
      <c r="F19" s="494"/>
      <c r="G19" s="495"/>
      <c r="H19" s="235"/>
      <c r="I19" s="494"/>
      <c r="J19" s="495"/>
      <c r="K19" s="235"/>
      <c r="L19" s="494"/>
      <c r="M19" s="495"/>
      <c r="N19" s="235"/>
      <c r="O19" s="494"/>
      <c r="P19" s="495"/>
      <c r="Q19" s="235"/>
      <c r="R19" s="494"/>
      <c r="S19" s="495"/>
      <c r="T19" s="235"/>
      <c r="U19" s="494"/>
      <c r="V19" s="495"/>
      <c r="W19" s="235"/>
      <c r="X19" s="494"/>
      <c r="Y19" s="495"/>
      <c r="Z19" s="235"/>
      <c r="AA19" s="494"/>
      <c r="AB19" s="495"/>
      <c r="AC19" s="235"/>
      <c r="AD19" s="494"/>
      <c r="AE19" s="495"/>
      <c r="AF19" s="235"/>
    </row>
    <row r="20" spans="1:33" ht="18.75">
      <c r="A20" s="536"/>
      <c r="B20" s="537"/>
      <c r="C20" s="494"/>
      <c r="D20" s="495"/>
      <c r="E20" s="236"/>
      <c r="F20" s="494"/>
      <c r="G20" s="495"/>
      <c r="H20" s="236"/>
      <c r="I20" s="494"/>
      <c r="J20" s="495"/>
      <c r="K20" s="236"/>
      <c r="L20" s="494"/>
      <c r="M20" s="495"/>
      <c r="N20" s="236"/>
      <c r="O20" s="494"/>
      <c r="P20" s="495"/>
      <c r="Q20" s="236"/>
      <c r="R20" s="494"/>
      <c r="S20" s="495"/>
      <c r="T20" s="236"/>
      <c r="U20" s="494"/>
      <c r="V20" s="495"/>
      <c r="W20" s="236"/>
      <c r="X20" s="494"/>
      <c r="Y20" s="495"/>
      <c r="Z20" s="236"/>
      <c r="AA20" s="494"/>
      <c r="AB20" s="495"/>
      <c r="AC20" s="236"/>
      <c r="AD20" s="494"/>
      <c r="AE20" s="495"/>
      <c r="AF20" s="236"/>
    </row>
    <row r="21" spans="1:33" ht="15.75" customHeight="1" thickBot="1">
      <c r="A21" s="492"/>
      <c r="B21" s="538"/>
      <c r="C21" s="506"/>
      <c r="D21" s="507"/>
      <c r="E21" s="237"/>
      <c r="F21" s="506"/>
      <c r="G21" s="507"/>
      <c r="H21" s="237"/>
      <c r="I21" s="506"/>
      <c r="J21" s="507"/>
      <c r="K21" s="237"/>
      <c r="L21" s="506"/>
      <c r="M21" s="507"/>
      <c r="N21" s="237"/>
      <c r="O21" s="506"/>
      <c r="P21" s="507"/>
      <c r="Q21" s="237"/>
      <c r="R21" s="506"/>
      <c r="S21" s="507"/>
      <c r="T21" s="237"/>
      <c r="U21" s="506"/>
      <c r="V21" s="507"/>
      <c r="W21" s="237"/>
      <c r="X21" s="506"/>
      <c r="Y21" s="507"/>
      <c r="Z21" s="237"/>
      <c r="AA21" s="506"/>
      <c r="AB21" s="507"/>
      <c r="AC21" s="237"/>
      <c r="AD21" s="506"/>
      <c r="AE21" s="507"/>
      <c r="AF21" s="237"/>
    </row>
    <row r="22" spans="1:33" ht="37.5" customHeight="1">
      <c r="A22" s="537" t="s">
        <v>633</v>
      </c>
      <c r="B22" s="537"/>
      <c r="C22" s="568">
        <v>342</v>
      </c>
      <c r="D22" s="569"/>
      <c r="E22" s="570"/>
      <c r="F22" s="568"/>
      <c r="G22" s="569"/>
      <c r="H22" s="570"/>
      <c r="I22" s="572"/>
      <c r="J22" s="509"/>
      <c r="K22" s="510"/>
      <c r="L22" s="508"/>
      <c r="M22" s="509"/>
      <c r="N22" s="510"/>
      <c r="O22" s="508"/>
      <c r="P22" s="509"/>
      <c r="Q22" s="510"/>
      <c r="R22" s="508" t="s">
        <v>721</v>
      </c>
      <c r="S22" s="509"/>
      <c r="T22" s="510"/>
      <c r="U22" s="508" t="s">
        <v>722</v>
      </c>
      <c r="V22" s="509"/>
      <c r="W22" s="510"/>
      <c r="X22" s="508" t="s">
        <v>687</v>
      </c>
      <c r="Y22" s="509"/>
      <c r="Z22" s="510"/>
      <c r="AA22" s="508">
        <v>631</v>
      </c>
      <c r="AB22" s="509"/>
      <c r="AC22" s="510"/>
      <c r="AD22" s="508" t="s">
        <v>730</v>
      </c>
      <c r="AE22" s="509"/>
      <c r="AF22" s="510"/>
    </row>
    <row r="23" spans="1:33" ht="37.5" customHeight="1">
      <c r="A23" s="537" t="s">
        <v>635</v>
      </c>
      <c r="B23" s="537"/>
      <c r="C23" s="511">
        <v>40722</v>
      </c>
      <c r="D23" s="512"/>
      <c r="E23" s="513"/>
      <c r="F23" s="511"/>
      <c r="G23" s="512"/>
      <c r="H23" s="513"/>
      <c r="I23" s="579"/>
      <c r="J23" s="512"/>
      <c r="K23" s="513"/>
      <c r="L23" s="511"/>
      <c r="M23" s="512"/>
      <c r="N23" s="513"/>
      <c r="O23" s="511"/>
      <c r="P23" s="512"/>
      <c r="Q23" s="513"/>
      <c r="R23" s="511">
        <v>38341</v>
      </c>
      <c r="S23" s="512"/>
      <c r="T23" s="513"/>
      <c r="U23" s="511">
        <v>37972</v>
      </c>
      <c r="V23" s="512"/>
      <c r="W23" s="513"/>
      <c r="X23" s="511">
        <v>42583</v>
      </c>
      <c r="Y23" s="512"/>
      <c r="Z23" s="513"/>
      <c r="AA23" s="511">
        <v>40542</v>
      </c>
      <c r="AB23" s="512"/>
      <c r="AC23" s="513"/>
      <c r="AD23" s="511">
        <v>42856</v>
      </c>
      <c r="AE23" s="512"/>
      <c r="AF23" s="513"/>
    </row>
    <row r="24" spans="1:33" ht="37.5" customHeight="1">
      <c r="A24" s="537" t="s">
        <v>2</v>
      </c>
      <c r="B24" s="537"/>
      <c r="C24" s="498">
        <v>668311709</v>
      </c>
      <c r="D24" s="499"/>
      <c r="E24" s="500"/>
      <c r="F24" s="498"/>
      <c r="G24" s="499"/>
      <c r="H24" s="500"/>
      <c r="I24" s="573"/>
      <c r="J24" s="499"/>
      <c r="K24" s="500"/>
      <c r="L24" s="498"/>
      <c r="M24" s="499"/>
      <c r="N24" s="500"/>
      <c r="O24" s="498"/>
      <c r="P24" s="499"/>
      <c r="Q24" s="500"/>
      <c r="R24" s="498">
        <v>53231342</v>
      </c>
      <c r="S24" s="499"/>
      <c r="T24" s="500"/>
      <c r="U24" s="498">
        <v>80062901</v>
      </c>
      <c r="V24" s="499"/>
      <c r="W24" s="500"/>
      <c r="X24" s="498">
        <v>1236808575</v>
      </c>
      <c r="Y24" s="499"/>
      <c r="Z24" s="500"/>
      <c r="AA24" s="498">
        <v>202857600</v>
      </c>
      <c r="AB24" s="499"/>
      <c r="AC24" s="500"/>
      <c r="AD24" s="498">
        <v>159999999</v>
      </c>
      <c r="AE24" s="499"/>
      <c r="AF24" s="500"/>
    </row>
    <row r="25" spans="1:33" ht="37.5" customHeight="1">
      <c r="A25" s="537" t="s">
        <v>493</v>
      </c>
      <c r="B25" s="537"/>
      <c r="C25" s="501">
        <f>C24*E17</f>
        <v>668311709</v>
      </c>
      <c r="D25" s="502"/>
      <c r="E25" s="503"/>
      <c r="F25" s="501"/>
      <c r="G25" s="502"/>
      <c r="H25" s="503"/>
      <c r="I25" s="574"/>
      <c r="J25" s="502"/>
      <c r="K25" s="503"/>
      <c r="L25" s="501">
        <f t="shared" ref="L25" si="0">L24*N17</f>
        <v>0</v>
      </c>
      <c r="M25" s="502"/>
      <c r="N25" s="503"/>
      <c r="O25" s="501"/>
      <c r="P25" s="502"/>
      <c r="Q25" s="503"/>
      <c r="R25" s="501">
        <f>R24*T17</f>
        <v>53231342</v>
      </c>
      <c r="S25" s="502"/>
      <c r="T25" s="503"/>
      <c r="U25" s="501">
        <f>U24*W17*E9</f>
        <v>40031450.5</v>
      </c>
      <c r="V25" s="502"/>
      <c r="W25" s="503"/>
      <c r="X25" s="501">
        <f>X24*Z17</f>
        <v>420514915.50000006</v>
      </c>
      <c r="Y25" s="502"/>
      <c r="Z25" s="503"/>
      <c r="AA25" s="501">
        <f>AA24*AC17</f>
        <v>202857600</v>
      </c>
      <c r="AB25" s="502"/>
      <c r="AC25" s="503"/>
      <c r="AD25" s="501">
        <f>AD24*AF17</f>
        <v>159999999</v>
      </c>
      <c r="AE25" s="502"/>
      <c r="AF25" s="503"/>
      <c r="AG25" s="222"/>
    </row>
    <row r="26" spans="1:33" ht="37.5" customHeight="1">
      <c r="A26" s="487" t="s">
        <v>613</v>
      </c>
      <c r="B26" s="487"/>
      <c r="C26" s="238" t="s">
        <v>531</v>
      </c>
      <c r="D26" s="514">
        <f>IF(C26=[1]X!$A$2,[1]X!$B$2,0)+IF(C26=[1]X!$A$3,[1]X!$B$3,0)+IF(C26=[1]X!$A$4,[1]X!$B$4,0)+IF(C26=[1]X!$A$5,[1]X!$B$5,0)+IF(C26=[1]X!$A$6,[1]X!$B$6,0)+IF(C26=[1]X!$A$7,[1]X!$B$7,0)+IF(C26=[1]X!$A$8,[1]X!$B$8,0)+IF(C26=[1]X!$A$9,[1]X!$B$9,0)+IF(C26=[1]X!$A$10,[1]X!$B$10,0)++IF(C26=[1]X!$A$11,[1]X!$B$11,0)+IF(C26=[1]X!$A$12,[1]X!$B$12,0)+IF(C26=[1]X!$A$13,[1]X!$B$13,0)+IF(C26=[1]X!$A$14,[1]X!$B$14,0)+IF(C26=[1]X!$A$15,[1]X!$B$15,0)+IF(C26=[1]X!$A$16,[1]X!$B$16,0)+IF(C26=[1]X!$A$17,[1]X!$B$17,0)+IF(C26=[1]X!$A$18,[1]X!$B$18,0)+IF(C26=[1]X!$A$19,[1]X!$B$19,0)</f>
        <v>589500</v>
      </c>
      <c r="E26" s="515"/>
      <c r="F26" s="238"/>
      <c r="G26" s="514"/>
      <c r="H26" s="515"/>
      <c r="I26" s="239"/>
      <c r="J26" s="514">
        <f>IF(I26=[1]X!$A$2,[1]X!$B$2,0)+IF(I26=[1]X!$A$3,[1]X!$B$3,0)+IF(I26=[1]X!$A$4,[1]X!$B$4,0)+IF(I26=[1]X!$A$5,[1]X!$B$5,0)+IF(I26=[1]X!$A$6,[1]X!$B$6,0)+IF(I26=[1]X!$A$7,[1]X!$B$7,0)+IF(I26=[1]X!$A$8,[1]X!$B$8,0)+IF(I26=[1]X!$A$9,[1]X!$B$9,0)+IF(I26=[1]X!$A$10,[1]X!$B$10,0)++IF(I26=[1]X!$A$11,[1]X!$B$11,0)+IF(I26=[1]X!$A$12,[1]X!$B$12,0)+IF(I26=[1]X!$A$13,[1]X!$B$13,0)+IF(I26=[1]X!$A$14,[1]X!$B$14,0)+IF(I26=[1]X!$A$15,[1]X!$B$15,0)+IF(I26=[1]X!$A$16,[1]X!$B$16,0)+IF(I26=[1]X!$A$17,[1]X!$B$17,0)+IF(I26=[1]X!$A$18,[1]X!$B$18,0)+IF(I26=[1]X!$A$19,[1]X!$B$19,0)</f>
        <v>0</v>
      </c>
      <c r="K26" s="515"/>
      <c r="L26" s="238"/>
      <c r="M26" s="514">
        <f>IF(L26=[1]X!$A$2,[1]X!$B$2,0)+IF(L26=[1]X!$A$3,[1]X!$B$3,0)+IF(L26=[1]X!$A$4,[1]X!$B$4,0)+IF(L26=[1]X!$A$5,[1]X!$B$5,0)+IF(L26=[1]X!$A$6,[1]X!$B$6,0)+IF(L26=[1]X!$A$7,[1]X!$B$7,0)+IF(L26=[1]X!$A$8,[1]X!$B$8,0)+IF(L26=[1]X!$A$9,[1]X!$B$9,0)+IF(L26=[1]X!$A$10,[1]X!$B$10,0)++IF(L26=[1]X!$A$11,[1]X!$B$11,0)+IF(L26=[1]X!$A$12,[1]X!$B$12,0)+IF(L26=[1]X!$A$13,[1]X!$B$13,0)+IF(L26=[1]X!$A$14,[1]X!$B$14,0)+IF(L26=[1]X!$A$15,[1]X!$B$15,0)+IF(L26=[1]X!$A$16,[1]X!$B$16,0)+IF(L26=[1]X!$A$17,[1]X!$B$17,0)+IF(L26=[1]X!$A$18,[1]X!$B$18,0)+IF(L26=[1]X!$A$19,[1]X!$B$19,0)</f>
        <v>0</v>
      </c>
      <c r="N26" s="515"/>
      <c r="O26" s="238"/>
      <c r="P26" s="514">
        <f>IF(O26=[1]X!$A$2,[1]X!$B$2,0)+IF(O26=[1]X!$A$3,[1]X!$B$3,0)+IF(O26=[1]X!$A$4,[1]X!$B$4,0)+IF(O26=[1]X!$A$5,[1]X!$B$5,0)+IF(O26=[1]X!$A$6,[1]X!$B$6,0)+IF(O26=[1]X!$A$7,[1]X!$B$7,0)+IF(O26=[1]X!$A$8,[1]X!$B$8,0)+IF(O26=[1]X!$A$9,[1]X!$B$9,0)+IF(O26=[1]X!$A$10,[1]X!$B$10,0)++IF(O26=[1]X!$A$11,[1]X!$B$11,0)+IF(O26=[1]X!$A$12,[1]X!$B$12,0)+IF(O26=[1]X!$A$13,[1]X!$B$13,0)+IF(O26=[1]X!$A$14,[1]X!$B$14,0)+IF(O26=[1]X!$A$15,[1]X!$B$15,0)+IF(O26=[1]X!$A$16,[1]X!$B$16,0)+IF(O26=[1]X!$A$17,[1]X!$B$17,0)+IF(O26=[1]X!$A$18,[1]X!$B$18,0)+IF(O26=[1]X!$A$19,[1]X!$B$19,0)</f>
        <v>0</v>
      </c>
      <c r="Q26" s="515"/>
      <c r="R26" s="238" t="s">
        <v>641</v>
      </c>
      <c r="S26" s="514">
        <f>IF(R26=[1]X!$A$2,[1]X!$B$2,0)+IF(R26=[1]X!$A$3,[1]X!$B$3,0)+IF(R26=[1]X!$A$4,[1]X!$B$4,0)+IF(R26=[1]X!$A$5,[1]X!$B$5,0)+IF(R26=[1]X!$A$6,[1]X!$B$6,0)+IF(R26=[1]X!$A$7,[1]X!$B$7,0)+IF(R26=[1]X!$A$8,[1]X!$B$8,0)+IF(R26=[1]X!$A$9,[1]X!$B$9,0)+IF(R26=[1]X!$A$10,[1]X!$B$10,0)++IF(R26=[1]X!$A$11,[1]X!$B$11,0)+IF(R26=[1]X!$A$12,[1]X!$B$12,0)+IF(R26=[1]X!$A$13,[1]X!$B$13,0)+IF(R26=[1]X!$A$14,[1]X!$B$14,0)+IF(R26=[1]X!$A$15,[1]X!$B$15,0)+IF(R26=[1]X!$A$16,[1]X!$B$16,0)+IF(R26=[1]X!$A$17,[1]X!$B$17,0)+IF(R26=[1]X!$A$18,[1]X!$B$18,0)+IF(R26=[1]X!$A$19,[1]X!$B$19,0)</f>
        <v>381500</v>
      </c>
      <c r="T26" s="515"/>
      <c r="U26" s="238" t="s">
        <v>642</v>
      </c>
      <c r="V26" s="514">
        <f>IF(U26=[1]X!$A$2,[1]X!$B$2,0)+IF(U26=[1]X!$A$3,[1]X!$B$3,0)+IF(U26=[1]X!$A$4,[1]X!$B$4,0)+IF(U26=[1]X!$A$5,[1]X!$B$5,0)+IF(U26=[1]X!$A$6,[1]X!$B$6,0)+IF(U26=[1]X!$A$7,[1]X!$B$7,0)+IF(U26=[1]X!$A$8,[1]X!$B$8,0)+IF(U26=[1]X!$A$9,[1]X!$B$9,0)+IF(U26=[1]X!$A$10,[1]X!$B$10,0)++IF(U26=[1]X!$A$11,[1]X!$B$11,0)+IF(U26=[1]X!$A$12,[1]X!$B$12,0)+IF(U26=[1]X!$A$13,[1]X!$B$13,0)+IF(U26=[1]X!$A$14,[1]X!$B$14,0)+IF(U26=[1]X!$A$15,[1]X!$B$15,0)+IF(U26=[1]X!$A$16,[1]X!$B$16,0)+IF(U26=[1]X!$A$17,[1]X!$B$17,0)+IF(U26=[1]X!$A$18,[1]X!$B$18,0)+IF(U26=[1]X!$A$19,[1]X!$B$19,0)</f>
        <v>358000</v>
      </c>
      <c r="W26" s="515"/>
      <c r="X26" s="238" t="s">
        <v>535</v>
      </c>
      <c r="Y26" s="514">
        <f>IF(X26=[1]X!$A$2,[1]X!$B$2,0)+IF(X26=[1]X!$A$3,[1]X!$B$3,0)+IF(X26=[1]X!$A$4,[1]X!$B$4,0)+IF(X26=[1]X!$A$5,[1]X!$B$5,0)+IF(X26=[1]X!$A$6,[1]X!$B$6,0)+IF(X26=[1]X!$A$7,[1]X!$B$7,0)+IF(X26=[1]X!$A$8,[1]X!$B$8,0)+IF(X26=[1]X!$A$9,[1]X!$B$9,0)+IF(X26=[1]X!$A$10,[1]X!$B$10,0)++IF(X26=[1]X!$A$11,[1]X!$B$11,0)+IF(X26=[1]X!$A$12,[1]X!$B$12,0)+IF(X26=[1]X!$A$13,[1]X!$B$13,0)+IF(X26=[1]X!$A$14,[1]X!$B$14,0)+IF(X26=[1]X!$A$15,[1]X!$B$15,0)+IF(X26=[1]X!$A$16,[1]X!$B$16,0)+IF(X26=[1]X!$A$17,[1]X!$B$17,0)+IF(X26=[1]X!$A$18,[1]X!$B$18,0)+IF(X26=[1]X!$A$19,[1]X!$B$19,0)</f>
        <v>737717</v>
      </c>
      <c r="Z26" s="515"/>
      <c r="AA26" s="238" t="s">
        <v>529</v>
      </c>
      <c r="AB26" s="514">
        <f>IF(AA26=[1]X!$A$2,[1]X!$B$2,0)+IF(AA26=[1]X!$A$3,[1]X!$B$3,0)+IF(AA26=[1]X!$A$4,[1]X!$B$4,0)+IF(AA26=[1]X!$A$5,[1]X!$B$5,0)+IF(AA26=[1]X!$A$6,[1]X!$B$6,0)+IF(AA26=[1]X!$A$7,[1]X!$B$7,0)+IF(AA26=[1]X!$A$8,[1]X!$B$8,0)+IF(AA26=[1]X!$A$9,[1]X!$B$9,0)+IF(AA26=[1]X!$A$10,[1]X!$B$10,0)++IF(AA26=[1]X!$A$11,[1]X!$B$11,0)+IF(AA26=[1]X!$A$12,[1]X!$B$12,0)+IF(AA26=[1]X!$A$13,[1]X!$B$13,0)+IF(AA26=[1]X!$A$14,[1]X!$B$14,0)+IF(AA26=[1]X!$A$15,[1]X!$B$15,0)+IF(AA26=[1]X!$A$16,[1]X!$B$16,0)+IF(AA26=[1]X!$A$17,[1]X!$B$17,0)+IF(AA26=[1]X!$A$18,[1]X!$B$18,0)+IF(AA26=[1]X!$A$19,[1]X!$B$19,0)</f>
        <v>535600</v>
      </c>
      <c r="AC26" s="515"/>
      <c r="AD26" s="238" t="s">
        <v>535</v>
      </c>
      <c r="AE26" s="514">
        <f>IF(AD26=[1]X!$A$2,[1]X!$B$2,0)+IF(AD26=[1]X!$A$3,[1]X!$B$3,0)+IF(AD26=[1]X!$A$4,[1]X!$B$4,0)+IF(AD26=[1]X!$A$5,[1]X!$B$5,0)+IF(AD26=[1]X!$A$6,[1]X!$B$6,0)+IF(AD26=[1]X!$A$7,[1]X!$B$7,0)+IF(AD26=[1]X!$A$8,[1]X!$B$8,0)+IF(AD26=[1]X!$A$9,[1]X!$B$9,0)+IF(AD26=[1]X!$A$10,[1]X!$B$10,0)++IF(AD26=[1]X!$A$11,[1]X!$B$11,0)+IF(AD26=[1]X!$A$12,[1]X!$B$12,0)+IF(AD26=[1]X!$A$13,[1]X!$B$13,0)+IF(AD26=[1]X!$A$14,[1]X!$B$14,0)+IF(AD26=[1]X!$A$15,[1]X!$B$15,0)+IF(AD26=[1]X!$A$16,[1]X!$B$16,0)+IF(AD26=[1]X!$A$17,[1]X!$B$17,0)+IF(AD26=[1]X!$A$18,[1]X!$B$18,0)+IF(AD26=[1]X!$A$19,[1]X!$B$19,0)</f>
        <v>737717</v>
      </c>
      <c r="AF26" s="515"/>
    </row>
    <row r="27" spans="1:33" ht="37.5" customHeight="1" thickBot="1">
      <c r="A27" s="487" t="s">
        <v>495</v>
      </c>
      <c r="B27" s="487"/>
      <c r="C27" s="553">
        <f>+C25/D26</f>
        <v>1133.6924664970313</v>
      </c>
      <c r="D27" s="551"/>
      <c r="E27" s="552"/>
      <c r="F27" s="553"/>
      <c r="G27" s="551"/>
      <c r="H27" s="552"/>
      <c r="I27" s="550">
        <v>0</v>
      </c>
      <c r="J27" s="551"/>
      <c r="K27" s="552"/>
      <c r="L27" s="553">
        <v>0</v>
      </c>
      <c r="M27" s="551"/>
      <c r="N27" s="552"/>
      <c r="O27" s="553">
        <v>0</v>
      </c>
      <c r="P27" s="551"/>
      <c r="Q27" s="552"/>
      <c r="R27" s="553">
        <f>+R25/S26</f>
        <v>139.53169593709043</v>
      </c>
      <c r="S27" s="551"/>
      <c r="T27" s="552"/>
      <c r="U27" s="466">
        <f t="shared" ref="U27" si="1">+U25/V26</f>
        <v>111.81969413407822</v>
      </c>
      <c r="V27" s="467"/>
      <c r="W27" s="468"/>
      <c r="X27" s="466">
        <f t="shared" ref="X27" si="2">+X25/Y26</f>
        <v>570.02199420645047</v>
      </c>
      <c r="Y27" s="467"/>
      <c r="Z27" s="468"/>
      <c r="AA27" s="466">
        <f t="shared" ref="AA27" si="3">+AA25/AB26</f>
        <v>378.74831964152355</v>
      </c>
      <c r="AB27" s="467"/>
      <c r="AC27" s="468"/>
      <c r="AD27" s="466">
        <f t="shared" ref="AD27" si="4">+AD25/AE26</f>
        <v>216.88533543350636</v>
      </c>
      <c r="AE27" s="467"/>
      <c r="AF27" s="468"/>
    </row>
    <row r="28" spans="1:33" s="198" customFormat="1" ht="107.25" customHeight="1" thickBot="1">
      <c r="A28" s="544" t="s">
        <v>496</v>
      </c>
      <c r="B28" s="545"/>
      <c r="C28" s="516" t="s">
        <v>720</v>
      </c>
      <c r="D28" s="504"/>
      <c r="E28" s="505"/>
      <c r="F28" s="516"/>
      <c r="G28" s="504"/>
      <c r="H28" s="505"/>
      <c r="I28" s="516"/>
      <c r="J28" s="504"/>
      <c r="K28" s="505"/>
      <c r="L28" s="549"/>
      <c r="M28" s="504"/>
      <c r="N28" s="554"/>
      <c r="O28" s="516"/>
      <c r="P28" s="504"/>
      <c r="Q28" s="505"/>
      <c r="R28" s="549" t="s">
        <v>679</v>
      </c>
      <c r="S28" s="504"/>
      <c r="T28" s="554"/>
      <c r="U28" s="516" t="s">
        <v>681</v>
      </c>
      <c r="V28" s="504"/>
      <c r="W28" s="505"/>
      <c r="X28" s="549" t="s">
        <v>723</v>
      </c>
      <c r="Y28" s="504"/>
      <c r="Z28" s="554"/>
      <c r="AA28" s="549" t="s">
        <v>695</v>
      </c>
      <c r="AB28" s="504"/>
      <c r="AC28" s="554"/>
      <c r="AD28" s="516" t="s">
        <v>699</v>
      </c>
      <c r="AE28" s="504"/>
      <c r="AF28" s="505"/>
      <c r="AG28" s="192"/>
    </row>
    <row r="29" spans="1:33" ht="18.75">
      <c r="A29" s="484" t="s">
        <v>634</v>
      </c>
      <c r="B29" s="485"/>
      <c r="C29" s="564">
        <v>80101504</v>
      </c>
      <c r="D29" s="565"/>
      <c r="E29" s="566"/>
      <c r="F29" s="564"/>
      <c r="G29" s="565"/>
      <c r="H29" s="566"/>
      <c r="I29" s="232"/>
      <c r="J29" s="232"/>
      <c r="K29" s="233"/>
      <c r="L29" s="231"/>
      <c r="M29" s="232"/>
      <c r="N29" s="233"/>
      <c r="O29" s="231"/>
      <c r="P29" s="232"/>
      <c r="Q29" s="233"/>
      <c r="R29" s="564">
        <v>80101504</v>
      </c>
      <c r="S29" s="565"/>
      <c r="T29" s="566"/>
      <c r="U29" s="564">
        <v>80101504</v>
      </c>
      <c r="V29" s="565"/>
      <c r="W29" s="566"/>
      <c r="X29" s="564">
        <v>84111603</v>
      </c>
      <c r="Y29" s="565"/>
      <c r="Z29" s="566"/>
      <c r="AA29" s="564">
        <v>80101504</v>
      </c>
      <c r="AB29" s="565"/>
      <c r="AC29" s="566"/>
      <c r="AD29" s="564">
        <v>80101504</v>
      </c>
      <c r="AE29" s="565"/>
      <c r="AF29" s="566"/>
    </row>
    <row r="30" spans="1:33" ht="18.75">
      <c r="A30" s="486"/>
      <c r="B30" s="487"/>
      <c r="C30" s="457">
        <v>84111603</v>
      </c>
      <c r="D30" s="458"/>
      <c r="E30" s="459"/>
      <c r="F30" s="457"/>
      <c r="G30" s="458"/>
      <c r="H30" s="459"/>
      <c r="I30" s="458"/>
      <c r="J30" s="458"/>
      <c r="K30" s="459"/>
      <c r="L30" s="457"/>
      <c r="M30" s="458"/>
      <c r="N30" s="459"/>
      <c r="O30" s="457"/>
      <c r="P30" s="458"/>
      <c r="Q30" s="459"/>
      <c r="R30" s="457">
        <v>84111603</v>
      </c>
      <c r="S30" s="458"/>
      <c r="T30" s="459"/>
      <c r="U30" s="457">
        <v>84111603</v>
      </c>
      <c r="V30" s="458"/>
      <c r="W30" s="459"/>
      <c r="X30" s="457"/>
      <c r="Y30" s="458"/>
      <c r="Z30" s="459"/>
      <c r="AA30" s="457">
        <v>84111603</v>
      </c>
      <c r="AB30" s="458"/>
      <c r="AC30" s="459"/>
      <c r="AD30" s="457">
        <v>84111603</v>
      </c>
      <c r="AE30" s="458"/>
      <c r="AF30" s="459"/>
    </row>
    <row r="31" spans="1:33" ht="19.5" thickBot="1">
      <c r="A31" s="488"/>
      <c r="B31" s="489"/>
      <c r="C31" s="460">
        <v>93151607</v>
      </c>
      <c r="D31" s="461"/>
      <c r="E31" s="462"/>
      <c r="F31" s="460"/>
      <c r="G31" s="461"/>
      <c r="H31" s="462"/>
      <c r="I31" s="461"/>
      <c r="J31" s="461"/>
      <c r="K31" s="462"/>
      <c r="L31" s="460"/>
      <c r="M31" s="461"/>
      <c r="N31" s="462"/>
      <c r="O31" s="460"/>
      <c r="P31" s="461"/>
      <c r="Q31" s="462"/>
      <c r="R31" s="460"/>
      <c r="S31" s="461"/>
      <c r="T31" s="462"/>
      <c r="U31" s="460">
        <v>93151607</v>
      </c>
      <c r="V31" s="461"/>
      <c r="W31" s="462"/>
      <c r="X31" s="460"/>
      <c r="Y31" s="461"/>
      <c r="Z31" s="462"/>
      <c r="AA31" s="460"/>
      <c r="AB31" s="461"/>
      <c r="AC31" s="462"/>
      <c r="AD31" s="460">
        <v>93151607</v>
      </c>
      <c r="AE31" s="461"/>
      <c r="AF31" s="462"/>
    </row>
    <row r="32" spans="1:33" ht="19.5" thickBot="1">
      <c r="A32" s="544" t="s">
        <v>604</v>
      </c>
      <c r="B32" s="545"/>
      <c r="C32" s="469">
        <v>828116</v>
      </c>
      <c r="D32" s="470"/>
      <c r="E32" s="471"/>
      <c r="F32" s="469"/>
      <c r="G32" s="470"/>
      <c r="H32" s="471"/>
      <c r="I32" s="548"/>
      <c r="J32" s="470"/>
      <c r="K32" s="470"/>
      <c r="L32" s="470"/>
      <c r="M32" s="470"/>
      <c r="N32" s="470"/>
      <c r="O32" s="470"/>
      <c r="P32" s="470"/>
      <c r="Q32" s="470"/>
      <c r="R32" s="469">
        <v>828116</v>
      </c>
      <c r="S32" s="470"/>
      <c r="T32" s="471"/>
      <c r="U32" s="469">
        <v>828116</v>
      </c>
      <c r="V32" s="470"/>
      <c r="W32" s="471"/>
      <c r="X32" s="469">
        <v>828116</v>
      </c>
      <c r="Y32" s="470"/>
      <c r="Z32" s="471"/>
      <c r="AA32" s="469">
        <v>828116</v>
      </c>
      <c r="AB32" s="470"/>
      <c r="AC32" s="471"/>
      <c r="AD32" s="469">
        <v>828116</v>
      </c>
      <c r="AE32" s="470"/>
      <c r="AF32" s="471"/>
    </row>
    <row r="33" spans="1:32" ht="19.5" thickBot="1">
      <c r="A33" s="544" t="s">
        <v>605</v>
      </c>
      <c r="B33" s="545"/>
      <c r="C33" s="472">
        <f>+C32*C27</f>
        <v>938828870.58565557</v>
      </c>
      <c r="D33" s="473"/>
      <c r="E33" s="474"/>
      <c r="F33" s="472"/>
      <c r="G33" s="473"/>
      <c r="H33" s="474"/>
      <c r="I33" s="472">
        <f>+I32*I27</f>
        <v>0</v>
      </c>
      <c r="J33" s="473"/>
      <c r="K33" s="474"/>
      <c r="L33" s="472">
        <f t="shared" ref="L33" si="5">+L32*L27</f>
        <v>0</v>
      </c>
      <c r="M33" s="473"/>
      <c r="N33" s="474"/>
      <c r="O33" s="472">
        <f t="shared" ref="O33" si="6">+O32*O27</f>
        <v>0</v>
      </c>
      <c r="P33" s="473"/>
      <c r="Q33" s="474"/>
      <c r="R33" s="472">
        <f>+R32*R27</f>
        <v>115548429.91263959</v>
      </c>
      <c r="S33" s="473"/>
      <c r="T33" s="474"/>
      <c r="U33" s="472">
        <f t="shared" ref="U33" si="7">+U32*U27</f>
        <v>92599677.827536315</v>
      </c>
      <c r="V33" s="473"/>
      <c r="W33" s="474"/>
      <c r="X33" s="472">
        <f t="shared" ref="X33" si="8">+X32*X27</f>
        <v>472044333.75426894</v>
      </c>
      <c r="Y33" s="473"/>
      <c r="Z33" s="474"/>
      <c r="AA33" s="472">
        <f t="shared" ref="AA33" si="9">+AA32*AA27</f>
        <v>313647543.46825993</v>
      </c>
      <c r="AB33" s="473"/>
      <c r="AC33" s="474"/>
      <c r="AD33" s="472">
        <f t="shared" ref="AD33" si="10">+AD32*AD27</f>
        <v>179606216.43785354</v>
      </c>
      <c r="AE33" s="473"/>
      <c r="AF33" s="474"/>
    </row>
    <row r="34" spans="1:32" ht="19.5" thickBot="1">
      <c r="A34" s="544" t="s">
        <v>492</v>
      </c>
      <c r="B34" s="545"/>
      <c r="C34" s="546">
        <v>40787</v>
      </c>
      <c r="D34" s="475"/>
      <c r="E34" s="476"/>
      <c r="F34" s="546"/>
      <c r="G34" s="475"/>
      <c r="H34" s="476"/>
      <c r="I34" s="547"/>
      <c r="J34" s="475"/>
      <c r="K34" s="523"/>
      <c r="L34" s="475"/>
      <c r="M34" s="475"/>
      <c r="N34" s="523"/>
      <c r="O34" s="475"/>
      <c r="P34" s="475"/>
      <c r="Q34" s="523"/>
      <c r="R34" s="475">
        <v>38341</v>
      </c>
      <c r="S34" s="475"/>
      <c r="T34" s="523"/>
      <c r="U34" s="531">
        <v>37972</v>
      </c>
      <c r="V34" s="531"/>
      <c r="W34" s="532"/>
      <c r="X34" s="475">
        <v>42586</v>
      </c>
      <c r="Y34" s="475"/>
      <c r="Z34" s="523"/>
      <c r="AA34" s="475">
        <v>40542</v>
      </c>
      <c r="AB34" s="475"/>
      <c r="AC34" s="523"/>
      <c r="AD34" s="475">
        <v>42856</v>
      </c>
      <c r="AE34" s="475"/>
      <c r="AF34" s="476"/>
    </row>
    <row r="35" spans="1:32" ht="19.5" thickBot="1">
      <c r="A35" s="544" t="s">
        <v>497</v>
      </c>
      <c r="B35" s="545"/>
      <c r="C35" s="546">
        <v>41431</v>
      </c>
      <c r="D35" s="475"/>
      <c r="E35" s="476"/>
      <c r="F35" s="546"/>
      <c r="G35" s="475"/>
      <c r="H35" s="476"/>
      <c r="I35" s="547"/>
      <c r="J35" s="475"/>
      <c r="K35" s="523"/>
      <c r="L35" s="475"/>
      <c r="M35" s="475"/>
      <c r="N35" s="523"/>
      <c r="O35" s="475"/>
      <c r="P35" s="475"/>
      <c r="Q35" s="523"/>
      <c r="R35" s="531">
        <v>38498</v>
      </c>
      <c r="S35" s="531"/>
      <c r="T35" s="532"/>
      <c r="U35" s="475">
        <v>38094</v>
      </c>
      <c r="V35" s="475"/>
      <c r="W35" s="523"/>
      <c r="X35" s="475">
        <v>42886</v>
      </c>
      <c r="Y35" s="475"/>
      <c r="Z35" s="523"/>
      <c r="AA35" s="475">
        <v>40816</v>
      </c>
      <c r="AB35" s="475"/>
      <c r="AC35" s="523"/>
      <c r="AD35" s="475">
        <v>42877</v>
      </c>
      <c r="AE35" s="475"/>
      <c r="AF35" s="476"/>
    </row>
    <row r="36" spans="1:32" ht="19.5" thickBot="1">
      <c r="A36" s="544" t="s">
        <v>11</v>
      </c>
      <c r="B36" s="545"/>
      <c r="C36" s="555">
        <v>41990</v>
      </c>
      <c r="D36" s="531"/>
      <c r="E36" s="556"/>
      <c r="F36" s="546"/>
      <c r="G36" s="475"/>
      <c r="H36" s="476"/>
      <c r="I36" s="547"/>
      <c r="J36" s="475"/>
      <c r="K36" s="523"/>
      <c r="L36" s="475"/>
      <c r="M36" s="475"/>
      <c r="N36" s="523"/>
      <c r="O36" s="531"/>
      <c r="P36" s="531"/>
      <c r="Q36" s="532"/>
      <c r="R36" s="475">
        <v>38581</v>
      </c>
      <c r="S36" s="475"/>
      <c r="T36" s="523"/>
      <c r="U36" s="475">
        <v>38154</v>
      </c>
      <c r="V36" s="475"/>
      <c r="W36" s="523"/>
      <c r="X36" s="475">
        <v>43252</v>
      </c>
      <c r="Y36" s="475"/>
      <c r="Z36" s="523"/>
      <c r="AA36" s="475">
        <v>41421</v>
      </c>
      <c r="AB36" s="475"/>
      <c r="AC36" s="523"/>
      <c r="AD36" s="475">
        <v>42937</v>
      </c>
      <c r="AE36" s="475"/>
      <c r="AF36" s="476"/>
    </row>
    <row r="37" spans="1:32" ht="19.5" thickBot="1">
      <c r="A37" s="544" t="s">
        <v>489</v>
      </c>
      <c r="B37" s="545"/>
      <c r="C37" s="524" t="s">
        <v>673</v>
      </c>
      <c r="D37" s="525"/>
      <c r="E37" s="526"/>
      <c r="F37" s="524"/>
      <c r="G37" s="525"/>
      <c r="H37" s="526"/>
      <c r="I37" s="524"/>
      <c r="J37" s="525"/>
      <c r="K37" s="526"/>
      <c r="L37" s="477"/>
      <c r="M37" s="477"/>
      <c r="N37" s="477"/>
      <c r="O37" s="477"/>
      <c r="P37" s="477"/>
      <c r="Q37" s="477"/>
      <c r="R37" s="477" t="s">
        <v>677</v>
      </c>
      <c r="S37" s="477"/>
      <c r="T37" s="477"/>
      <c r="U37" s="477" t="s">
        <v>682</v>
      </c>
      <c r="V37" s="477"/>
      <c r="W37" s="477"/>
      <c r="X37" s="477" t="s">
        <v>688</v>
      </c>
      <c r="Y37" s="477"/>
      <c r="Z37" s="477"/>
      <c r="AA37" s="477" t="s">
        <v>696</v>
      </c>
      <c r="AB37" s="477"/>
      <c r="AC37" s="477"/>
      <c r="AD37" s="477" t="s">
        <v>700</v>
      </c>
      <c r="AE37" s="477"/>
      <c r="AF37" s="478"/>
    </row>
    <row r="38" spans="1:32" ht="37.5" customHeight="1" thickBot="1">
      <c r="A38" s="527" t="s">
        <v>542</v>
      </c>
      <c r="B38" s="528"/>
      <c r="C38" s="516" t="s">
        <v>674</v>
      </c>
      <c r="D38" s="504"/>
      <c r="E38" s="505"/>
      <c r="F38" s="516"/>
      <c r="G38" s="504"/>
      <c r="H38" s="505"/>
      <c r="I38" s="549"/>
      <c r="J38" s="504"/>
      <c r="K38" s="504"/>
      <c r="L38" s="504"/>
      <c r="M38" s="504"/>
      <c r="N38" s="504"/>
      <c r="O38" s="533"/>
      <c r="P38" s="533"/>
      <c r="Q38" s="533"/>
      <c r="R38" s="504" t="s">
        <v>678</v>
      </c>
      <c r="S38" s="504"/>
      <c r="T38" s="504"/>
      <c r="U38" s="504" t="s">
        <v>683</v>
      </c>
      <c r="V38" s="504"/>
      <c r="W38" s="504"/>
      <c r="X38" s="504" t="s">
        <v>691</v>
      </c>
      <c r="Y38" s="504"/>
      <c r="Z38" s="504"/>
      <c r="AA38" s="504" t="s">
        <v>702</v>
      </c>
      <c r="AB38" s="504"/>
      <c r="AC38" s="504"/>
      <c r="AD38" s="504" t="s">
        <v>701</v>
      </c>
      <c r="AE38" s="504"/>
      <c r="AF38" s="505"/>
    </row>
    <row r="39" spans="1:32" ht="19.5" thickBot="1">
      <c r="A39" s="527" t="s">
        <v>4</v>
      </c>
      <c r="B39" s="528"/>
      <c r="C39" s="516" t="s">
        <v>594</v>
      </c>
      <c r="D39" s="504"/>
      <c r="E39" s="505"/>
      <c r="F39" s="516"/>
      <c r="G39" s="504"/>
      <c r="H39" s="505"/>
      <c r="I39" s="549"/>
      <c r="J39" s="504"/>
      <c r="K39" s="504"/>
      <c r="L39" s="549"/>
      <c r="M39" s="504"/>
      <c r="N39" s="504"/>
      <c r="O39" s="549"/>
      <c r="P39" s="504"/>
      <c r="Q39" s="504"/>
      <c r="R39" s="554" t="s">
        <v>170</v>
      </c>
      <c r="S39" s="464"/>
      <c r="T39" s="549"/>
      <c r="U39" s="549" t="s">
        <v>594</v>
      </c>
      <c r="V39" s="504"/>
      <c r="W39" s="504"/>
      <c r="X39" s="554" t="s">
        <v>170</v>
      </c>
      <c r="Y39" s="464"/>
      <c r="Z39" s="549"/>
      <c r="AA39" s="554" t="s">
        <v>594</v>
      </c>
      <c r="AB39" s="464"/>
      <c r="AC39" s="549"/>
      <c r="AD39" s="504" t="s">
        <v>594</v>
      </c>
      <c r="AE39" s="504"/>
      <c r="AF39" s="505"/>
    </row>
    <row r="40" spans="1:32" ht="108" customHeight="1" thickBot="1">
      <c r="A40" s="527" t="s">
        <v>548</v>
      </c>
      <c r="B40" s="528"/>
      <c r="C40" s="516"/>
      <c r="D40" s="504"/>
      <c r="E40" s="505"/>
      <c r="F40" s="516"/>
      <c r="G40" s="504"/>
      <c r="H40" s="505"/>
      <c r="I40" s="557"/>
      <c r="J40" s="517"/>
      <c r="K40" s="517"/>
      <c r="L40" s="517"/>
      <c r="M40" s="517"/>
      <c r="N40" s="517"/>
      <c r="O40" s="517"/>
      <c r="P40" s="517"/>
      <c r="Q40" s="517"/>
      <c r="R40" s="517"/>
      <c r="S40" s="517"/>
      <c r="T40" s="517"/>
      <c r="U40" s="517" t="s">
        <v>690</v>
      </c>
      <c r="V40" s="517"/>
      <c r="W40" s="517"/>
      <c r="X40" s="517" t="s">
        <v>724</v>
      </c>
      <c r="Y40" s="517"/>
      <c r="Z40" s="517"/>
      <c r="AA40" s="517"/>
      <c r="AB40" s="517"/>
      <c r="AC40" s="517"/>
      <c r="AD40" s="517"/>
      <c r="AE40" s="517"/>
      <c r="AF40" s="518"/>
    </row>
    <row r="41" spans="1:32" ht="24" customHeight="1" thickBot="1">
      <c r="A41" s="529" t="s">
        <v>491</v>
      </c>
      <c r="B41" s="530"/>
      <c r="C41" s="463" t="s">
        <v>539</v>
      </c>
      <c r="D41" s="464"/>
      <c r="E41" s="465"/>
      <c r="F41" s="463"/>
      <c r="G41" s="464"/>
      <c r="H41" s="465"/>
      <c r="I41" s="463" t="s">
        <v>539</v>
      </c>
      <c r="J41" s="464"/>
      <c r="K41" s="465"/>
      <c r="L41" s="463" t="s">
        <v>539</v>
      </c>
      <c r="M41" s="464"/>
      <c r="N41" s="465"/>
      <c r="O41" s="463" t="s">
        <v>539</v>
      </c>
      <c r="P41" s="464"/>
      <c r="Q41" s="465"/>
      <c r="R41" s="463" t="s">
        <v>539</v>
      </c>
      <c r="S41" s="464"/>
      <c r="T41" s="465"/>
      <c r="U41" s="463" t="s">
        <v>539</v>
      </c>
      <c r="V41" s="464"/>
      <c r="W41" s="465"/>
      <c r="X41" s="463" t="s">
        <v>539</v>
      </c>
      <c r="Y41" s="464"/>
      <c r="Z41" s="465"/>
      <c r="AA41" s="463" t="s">
        <v>539</v>
      </c>
      <c r="AB41" s="464"/>
      <c r="AC41" s="465"/>
      <c r="AD41" s="463" t="s">
        <v>539</v>
      </c>
      <c r="AE41" s="464"/>
      <c r="AF41" s="465"/>
    </row>
    <row r="43" spans="1:32" ht="12.75" thickBot="1">
      <c r="F43" s="162"/>
      <c r="G43" s="162"/>
      <c r="H43" s="163"/>
      <c r="I43" s="163"/>
      <c r="J43" s="163"/>
      <c r="K43" s="163"/>
      <c r="L43" s="162"/>
      <c r="M43" s="162"/>
      <c r="N43" s="163"/>
      <c r="O43" s="163"/>
      <c r="P43" s="163"/>
      <c r="Q43" s="163"/>
      <c r="R43" s="163"/>
      <c r="S43" s="163"/>
      <c r="T43" s="163"/>
      <c r="U43" s="163"/>
      <c r="V43" s="163"/>
      <c r="W43" s="163"/>
      <c r="X43" s="163"/>
      <c r="Y43" s="163"/>
      <c r="Z43" s="163"/>
      <c r="AA43" s="163"/>
      <c r="AB43" s="163"/>
      <c r="AC43" s="163"/>
    </row>
    <row r="44" spans="1:32" ht="28.5" customHeight="1" thickBot="1">
      <c r="A44" s="539" t="s">
        <v>550</v>
      </c>
      <c r="B44" s="540"/>
      <c r="C44" s="207" t="str">
        <f>+IF(SUM($C$33:$H$33)&gt;X!$M$2,"HABILITADO","NO HABILITADO")</f>
        <v>NO HABILITADO</v>
      </c>
      <c r="D44" s="258" t="s">
        <v>666</v>
      </c>
      <c r="E44" s="199"/>
      <c r="F44" s="387"/>
      <c r="G44" s="148"/>
      <c r="H44" s="148"/>
      <c r="I44" s="199"/>
      <c r="J44" s="199"/>
      <c r="K44" s="199"/>
      <c r="L44" s="199"/>
      <c r="M44" s="200"/>
      <c r="N44" s="164"/>
      <c r="O44" s="164"/>
      <c r="P44" s="164"/>
      <c r="Q44" s="164"/>
      <c r="R44" s="384"/>
      <c r="S44" s="385"/>
      <c r="T44" s="385"/>
      <c r="U44" s="164"/>
      <c r="V44" s="164"/>
      <c r="W44" s="164"/>
      <c r="X44" s="164"/>
      <c r="Y44" s="164"/>
      <c r="Z44" s="164"/>
      <c r="AA44" s="164"/>
      <c r="AB44" s="164"/>
      <c r="AC44" s="164"/>
    </row>
    <row r="45" spans="1:32" ht="29.25" customHeight="1" thickBot="1">
      <c r="A45" s="539" t="s">
        <v>637</v>
      </c>
      <c r="B45" s="540"/>
      <c r="C45" s="207" t="str">
        <f>+IF(SUM($R$33:$AF$33)&gt;(X!$M$2*0.3),"HABILITADO","NO HABILITADO")</f>
        <v>HABILITADO</v>
      </c>
      <c r="D45" s="383">
        <f>SUM(R33:AF33)</f>
        <v>1173446201.4005582</v>
      </c>
      <c r="E45" s="199"/>
      <c r="F45" s="388"/>
      <c r="G45" s="199"/>
      <c r="H45" s="148"/>
      <c r="I45" s="199"/>
      <c r="J45" s="199"/>
      <c r="K45" s="199"/>
      <c r="L45" s="199"/>
      <c r="M45" s="200"/>
      <c r="N45" s="164"/>
      <c r="O45" s="164"/>
      <c r="P45" s="164"/>
      <c r="Q45" s="164"/>
      <c r="R45" s="384"/>
      <c r="S45" s="385"/>
      <c r="T45" s="385"/>
      <c r="U45" s="164"/>
      <c r="V45" s="164"/>
      <c r="W45" s="164"/>
      <c r="X45" s="164"/>
      <c r="Y45" s="164"/>
      <c r="Z45" s="164"/>
      <c r="AA45" s="164"/>
      <c r="AB45" s="164"/>
      <c r="AC45" s="164"/>
    </row>
    <row r="46" spans="1:32" ht="15.75" customHeight="1" thickBot="1">
      <c r="A46" s="201"/>
      <c r="B46" s="201"/>
      <c r="C46" s="202"/>
      <c r="D46" s="199"/>
      <c r="E46" s="199"/>
      <c r="F46" s="199"/>
      <c r="G46" s="199"/>
      <c r="H46" s="199"/>
      <c r="I46" s="199"/>
      <c r="J46" s="199"/>
      <c r="K46" s="199"/>
      <c r="L46" s="199"/>
      <c r="M46" s="200"/>
      <c r="N46" s="164"/>
      <c r="O46" s="164"/>
      <c r="P46" s="164"/>
      <c r="Q46" s="164"/>
      <c r="R46" s="384"/>
      <c r="S46" s="384"/>
      <c r="T46" s="386"/>
      <c r="U46" s="164"/>
      <c r="V46" s="164"/>
      <c r="W46" s="164"/>
      <c r="X46" s="164"/>
      <c r="Y46" s="164"/>
      <c r="Z46" s="164"/>
      <c r="AA46" s="164"/>
      <c r="AB46" s="164"/>
      <c r="AC46" s="164"/>
    </row>
    <row r="47" spans="1:32" ht="15.75" customHeight="1" thickBot="1">
      <c r="A47" s="576" t="s">
        <v>574</v>
      </c>
      <c r="B47" s="577"/>
      <c r="C47" s="578"/>
      <c r="D47" s="199"/>
      <c r="E47" s="199"/>
      <c r="F47" s="199"/>
      <c r="G47" s="199"/>
      <c r="H47" s="199"/>
      <c r="I47" s="199"/>
      <c r="J47" s="199"/>
      <c r="K47" s="199"/>
      <c r="L47" s="199"/>
      <c r="M47" s="200"/>
      <c r="N47" s="164"/>
      <c r="O47" s="164"/>
      <c r="P47" s="164"/>
      <c r="Q47" s="164"/>
      <c r="R47" s="384"/>
      <c r="S47" s="384"/>
      <c r="T47" s="384"/>
      <c r="U47" s="164"/>
      <c r="V47" s="164"/>
      <c r="W47" s="164"/>
      <c r="X47" s="164"/>
      <c r="Y47" s="164"/>
      <c r="Z47" s="164"/>
      <c r="AA47" s="164"/>
      <c r="AB47" s="164"/>
      <c r="AC47" s="164"/>
    </row>
    <row r="48" spans="1:32" ht="134.25" customHeight="1">
      <c r="A48" s="575" t="s">
        <v>650</v>
      </c>
      <c r="B48" s="575"/>
      <c r="C48" s="575"/>
      <c r="D48" s="199"/>
      <c r="E48" s="199"/>
      <c r="F48" s="199"/>
      <c r="G48" s="199"/>
      <c r="H48" s="199"/>
      <c r="I48" s="199"/>
      <c r="J48" s="199"/>
      <c r="K48" s="199"/>
      <c r="L48" s="199"/>
      <c r="M48" s="200"/>
      <c r="N48" s="164"/>
      <c r="O48" s="164"/>
      <c r="P48" s="164"/>
      <c r="Q48" s="164"/>
      <c r="R48" s="164"/>
      <c r="S48" s="164"/>
      <c r="T48" s="164"/>
      <c r="U48" s="164"/>
      <c r="V48" s="164"/>
      <c r="W48" s="164"/>
      <c r="X48" s="164"/>
      <c r="Y48" s="164"/>
      <c r="Z48" s="164"/>
      <c r="AA48" s="164"/>
      <c r="AB48" s="164"/>
      <c r="AC48" s="164"/>
    </row>
    <row r="49" spans="1:29" ht="16.5" thickBot="1">
      <c r="A49" s="203"/>
      <c r="B49" s="204"/>
      <c r="C49" s="199"/>
      <c r="D49" s="199"/>
      <c r="E49" s="199"/>
      <c r="F49" s="199"/>
      <c r="G49" s="199"/>
      <c r="H49" s="199"/>
      <c r="I49" s="199"/>
      <c r="J49" s="199"/>
      <c r="K49" s="199"/>
      <c r="L49" s="199"/>
      <c r="M49" s="200"/>
      <c r="N49" s="164"/>
      <c r="O49" s="164"/>
      <c r="P49" s="164"/>
      <c r="Q49" s="164"/>
      <c r="R49" s="164"/>
      <c r="S49" s="164"/>
      <c r="T49" s="164"/>
      <c r="U49" s="164"/>
      <c r="V49" s="164"/>
      <c r="W49" s="164"/>
      <c r="X49" s="164"/>
      <c r="Y49" s="164"/>
      <c r="Z49" s="164"/>
      <c r="AA49" s="164"/>
      <c r="AB49" s="164"/>
      <c r="AC49" s="164"/>
    </row>
    <row r="50" spans="1:29" ht="18.75">
      <c r="A50" s="541" t="s">
        <v>574</v>
      </c>
      <c r="B50" s="542"/>
      <c r="C50" s="543"/>
      <c r="D50" s="199"/>
      <c r="E50" s="199"/>
      <c r="F50" s="199"/>
      <c r="G50" s="199"/>
      <c r="H50" s="199"/>
      <c r="I50" s="199"/>
      <c r="J50" s="199"/>
      <c r="K50" s="199"/>
      <c r="L50" s="199"/>
      <c r="M50" s="200"/>
      <c r="N50" s="164"/>
      <c r="O50" s="164"/>
      <c r="P50" s="164"/>
      <c r="Q50" s="164"/>
      <c r="R50" s="164"/>
      <c r="S50" s="164"/>
      <c r="T50" s="164"/>
      <c r="U50" s="164"/>
      <c r="V50" s="164"/>
      <c r="W50" s="164"/>
      <c r="X50" s="164"/>
      <c r="Y50" s="164"/>
      <c r="Z50" s="164"/>
      <c r="AA50" s="164"/>
      <c r="AB50" s="164"/>
      <c r="AC50" s="164"/>
    </row>
    <row r="51" spans="1:29" ht="15.75">
      <c r="A51" s="580" t="s">
        <v>664</v>
      </c>
      <c r="B51" s="240">
        <v>0.3</v>
      </c>
      <c r="C51" s="217">
        <v>10</v>
      </c>
      <c r="D51" s="205"/>
      <c r="F51" s="199"/>
      <c r="G51" s="199"/>
      <c r="H51" s="199"/>
      <c r="I51" s="199"/>
      <c r="J51" s="199"/>
      <c r="K51" s="199"/>
      <c r="L51" s="199"/>
      <c r="M51" s="164"/>
      <c r="N51" s="164"/>
      <c r="O51" s="164"/>
      <c r="P51" s="164"/>
      <c r="Q51" s="164"/>
      <c r="R51" s="164"/>
      <c r="S51" s="164"/>
      <c r="T51" s="164"/>
      <c r="U51" s="164"/>
      <c r="V51" s="164"/>
      <c r="W51" s="164"/>
      <c r="X51" s="164"/>
      <c r="Y51" s="164"/>
      <c r="Z51" s="164"/>
      <c r="AA51" s="164"/>
      <c r="AB51" s="164"/>
      <c r="AC51" s="164"/>
    </row>
    <row r="52" spans="1:29" ht="15.75">
      <c r="A52" s="581"/>
      <c r="B52" s="240">
        <v>0.5</v>
      </c>
      <c r="C52" s="217">
        <v>20</v>
      </c>
      <c r="D52" s="199"/>
      <c r="E52" s="199"/>
      <c r="F52" s="199"/>
      <c r="G52" s="199"/>
      <c r="H52" s="199"/>
      <c r="I52" s="199"/>
      <c r="J52" s="199"/>
      <c r="K52" s="199"/>
      <c r="L52" s="199"/>
      <c r="M52" s="164"/>
      <c r="N52" s="164"/>
      <c r="O52" s="164"/>
      <c r="P52" s="164"/>
      <c r="Q52" s="164"/>
      <c r="R52" s="164"/>
      <c r="S52" s="164"/>
      <c r="T52" s="164"/>
      <c r="U52" s="164"/>
      <c r="V52" s="164"/>
      <c r="W52" s="164"/>
      <c r="X52" s="164"/>
      <c r="Y52" s="164"/>
      <c r="Z52" s="164"/>
      <c r="AA52" s="164"/>
      <c r="AB52" s="164"/>
      <c r="AC52" s="164"/>
    </row>
    <row r="53" spans="1:29" ht="15.75">
      <c r="A53" s="582"/>
      <c r="B53" s="240">
        <v>1</v>
      </c>
      <c r="C53" s="217">
        <v>29</v>
      </c>
      <c r="D53" s="199"/>
      <c r="E53" s="199"/>
      <c r="F53" s="199"/>
      <c r="G53" s="199"/>
      <c r="H53" s="199"/>
      <c r="I53" s="199"/>
      <c r="J53" s="199"/>
      <c r="K53" s="199"/>
      <c r="L53" s="199"/>
      <c r="M53" s="164"/>
      <c r="N53" s="164"/>
      <c r="O53" s="164"/>
      <c r="P53" s="164"/>
      <c r="Q53" s="164"/>
      <c r="R53" s="164"/>
      <c r="S53" s="164"/>
      <c r="T53" s="164"/>
      <c r="U53" s="164"/>
      <c r="V53" s="164"/>
      <c r="W53" s="164"/>
      <c r="X53" s="164"/>
      <c r="Y53" s="164"/>
      <c r="Z53" s="164"/>
      <c r="AA53" s="164"/>
      <c r="AB53" s="164"/>
      <c r="AC53" s="164"/>
    </row>
    <row r="54" spans="1:29" ht="19.5" thickBot="1">
      <c r="A54" s="455" t="s">
        <v>504</v>
      </c>
      <c r="B54" s="456"/>
      <c r="C54" s="216">
        <f>+IF(C45="HABILITADO",IF(D45&lt;X!M6,0,IF(AND(D45&gt;=X!M6,D45&lt;X!M4),10,IF(AND(D45&gt;=X!M4,D45&lt;X!M2),20,IF(D45&gt;=X!M2,29,"")))))</f>
        <v>20</v>
      </c>
    </row>
  </sheetData>
  <mergeCells count="355">
    <mergeCell ref="AA29:AC29"/>
    <mergeCell ref="AD29:AF29"/>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I36:K36"/>
    <mergeCell ref="U35:W35"/>
    <mergeCell ref="U36:W36"/>
    <mergeCell ref="U22:W22"/>
    <mergeCell ref="X25:Z25"/>
    <mergeCell ref="I28:K28"/>
    <mergeCell ref="U24:W24"/>
    <mergeCell ref="F22:H22"/>
    <mergeCell ref="I22:K22"/>
    <mergeCell ref="F24:H24"/>
    <mergeCell ref="I24:K24"/>
    <mergeCell ref="F25:H25"/>
    <mergeCell ref="I25:K25"/>
    <mergeCell ref="G26:H26"/>
    <mergeCell ref="U33:W33"/>
    <mergeCell ref="U32:W32"/>
    <mergeCell ref="F29:H29"/>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U34:W34"/>
    <mergeCell ref="U25:W25"/>
    <mergeCell ref="U27:W27"/>
    <mergeCell ref="R29:T29"/>
    <mergeCell ref="U29:W29"/>
    <mergeCell ref="X29:Z29"/>
    <mergeCell ref="X23:Z23"/>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AD37:AF37"/>
    <mergeCell ref="C12:E12"/>
    <mergeCell ref="C13:E13"/>
    <mergeCell ref="C14:E14"/>
    <mergeCell ref="C15:E15"/>
    <mergeCell ref="F13:H13"/>
    <mergeCell ref="F14:H14"/>
    <mergeCell ref="F15:H15"/>
    <mergeCell ref="O11:Q11"/>
    <mergeCell ref="F12:H12"/>
    <mergeCell ref="I13:K13"/>
    <mergeCell ref="I14:K14"/>
    <mergeCell ref="I15:K15"/>
    <mergeCell ref="L12:N12"/>
    <mergeCell ref="L13:N13"/>
    <mergeCell ref="L14:N14"/>
    <mergeCell ref="L15:N15"/>
    <mergeCell ref="O12:Q12"/>
    <mergeCell ref="O13:Q13"/>
    <mergeCell ref="O14:Q14"/>
    <mergeCell ref="O15:Q15"/>
    <mergeCell ref="AA12:AC12"/>
    <mergeCell ref="AA13:AC13"/>
    <mergeCell ref="AA14:AC14"/>
    <mergeCell ref="AA15:AC15"/>
    <mergeCell ref="AD12:AF12"/>
    <mergeCell ref="AD13:AF13"/>
    <mergeCell ref="AD14:AF14"/>
    <mergeCell ref="AD15:AF15"/>
    <mergeCell ref="R12:T12"/>
    <mergeCell ref="R13:T13"/>
    <mergeCell ref="R14:T14"/>
    <mergeCell ref="R15:T15"/>
    <mergeCell ref="U12:W12"/>
    <mergeCell ref="U13:W13"/>
    <mergeCell ref="U14:W14"/>
    <mergeCell ref="U15:W15"/>
    <mergeCell ref="X12:Z12"/>
    <mergeCell ref="X13:Z13"/>
    <mergeCell ref="X14:Z14"/>
    <mergeCell ref="X15:Z15"/>
  </mergeCells>
  <conditionalFormatting sqref="C44 C46">
    <cfRule type="containsText" dxfId="101" priority="112" operator="containsText" text="NO HABILITADO">
      <formula>NOT(ISERROR(SEARCH("NO HABILITADO",C44)))</formula>
    </cfRule>
    <cfRule type="containsText" dxfId="100" priority="113" operator="containsText" text="HABILITADO">
      <formula>NOT(ISERROR(SEARCH("HABILITADO",C44)))</formula>
    </cfRule>
  </conditionalFormatting>
  <conditionalFormatting sqref="B51:B53">
    <cfRule type="containsText" dxfId="99" priority="101" operator="containsText" text="NO">
      <formula>NOT(ISERROR(SEARCH("NO",B51)))</formula>
    </cfRule>
    <cfRule type="containsText" dxfId="98" priority="102" operator="containsText" text="SI">
      <formula>NOT(ISERROR(SEARCH("SI",B51)))</formula>
    </cfRule>
  </conditionalFormatting>
  <conditionalFormatting sqref="C45">
    <cfRule type="containsText" dxfId="97" priority="55" operator="containsText" text="NO HABILITADO">
      <formula>NOT(ISERROR(SEARCH("NO HABILITADO",C45)))</formula>
    </cfRule>
    <cfRule type="containsText" dxfId="96" priority="56" operator="containsText" text="HABILITADO">
      <formula>NOT(ISERROR(SEARCH("HABILITADO",C45)))</formula>
    </cfRule>
  </conditionalFormatting>
  <conditionalFormatting sqref="C29">
    <cfRule type="cellIs" dxfId="95" priority="53" operator="equal">
      <formula>0</formula>
    </cfRule>
  </conditionalFormatting>
  <conditionalFormatting sqref="F29 I29 L29 O29 R29 U29 AD29">
    <cfRule type="cellIs" dxfId="94" priority="50" operator="equal">
      <formula>0</formula>
    </cfRule>
  </conditionalFormatting>
  <conditionalFormatting sqref="C29 F29 I29:R29 U29 X29 AD29 AA29">
    <cfRule type="cellIs" dxfId="93" priority="47" operator="equal">
      <formula>0</formula>
    </cfRule>
    <cfRule type="cellIs" dxfId="92" priority="48" operator="lessThan">
      <formula>0</formula>
    </cfRule>
  </conditionalFormatting>
  <conditionalFormatting sqref="C34:AF38 C40:AF41 C39:R39 U39:X39 AA39 AD39:AF39">
    <cfRule type="cellIs" dxfId="91" priority="46" operator="equal">
      <formula>0</formula>
    </cfRule>
  </conditionalFormatting>
  <conditionalFormatting sqref="C17:E17">
    <cfRule type="cellIs" dxfId="90" priority="45" operator="equal">
      <formula>0</formula>
    </cfRule>
  </conditionalFormatting>
  <conditionalFormatting sqref="C22:E24">
    <cfRule type="cellIs" dxfId="89" priority="44" operator="equal">
      <formula>0</formula>
    </cfRule>
  </conditionalFormatting>
  <conditionalFormatting sqref="C28:E28">
    <cfRule type="cellIs" dxfId="88" priority="43" operator="equal">
      <formula>0</formula>
    </cfRule>
  </conditionalFormatting>
  <conditionalFormatting sqref="H17 K17:AF17">
    <cfRule type="cellIs" dxfId="87" priority="41" operator="equal">
      <formula>0</formula>
    </cfRule>
  </conditionalFormatting>
  <conditionalFormatting sqref="F22:AF24">
    <cfRule type="cellIs" dxfId="86" priority="40" operator="equal">
      <formula>0</formula>
    </cfRule>
  </conditionalFormatting>
  <conditionalFormatting sqref="F28:AF28">
    <cfRule type="cellIs" dxfId="85" priority="39" operator="equal">
      <formula>0</formula>
    </cfRule>
  </conditionalFormatting>
  <conditionalFormatting sqref="C12 C14:C15">
    <cfRule type="cellIs" dxfId="84" priority="38" operator="equal">
      <formula>0</formula>
    </cfRule>
  </conditionalFormatting>
  <conditionalFormatting sqref="B9:D9">
    <cfRule type="cellIs" dxfId="83" priority="36" operator="equal">
      <formula>0</formula>
    </cfRule>
  </conditionalFormatting>
  <conditionalFormatting sqref="E9">
    <cfRule type="cellIs" dxfId="82" priority="35" operator="equal">
      <formula>0</formula>
    </cfRule>
  </conditionalFormatting>
  <conditionalFormatting sqref="F9:G9">
    <cfRule type="cellIs" dxfId="81" priority="34" operator="equal">
      <formula>0</formula>
    </cfRule>
  </conditionalFormatting>
  <conditionalFormatting sqref="H9">
    <cfRule type="cellIs" dxfId="80" priority="33" operator="equal">
      <formula>0</formula>
    </cfRule>
  </conditionalFormatting>
  <conditionalFormatting sqref="C13">
    <cfRule type="cellIs" dxfId="79" priority="31" operator="equal">
      <formula>0</formula>
    </cfRule>
  </conditionalFormatting>
  <conditionalFormatting sqref="F14:F15">
    <cfRule type="cellIs" dxfId="78" priority="30" operator="equal">
      <formula>0</formula>
    </cfRule>
  </conditionalFormatting>
  <conditionalFormatting sqref="F13">
    <cfRule type="cellIs" dxfId="77" priority="29" operator="equal">
      <formula>0</formula>
    </cfRule>
  </conditionalFormatting>
  <conditionalFormatting sqref="F12 I14:I15">
    <cfRule type="cellIs" dxfId="76" priority="28" operator="equal">
      <formula>0</formula>
    </cfRule>
  </conditionalFormatting>
  <conditionalFormatting sqref="I13">
    <cfRule type="cellIs" dxfId="75" priority="27" operator="equal">
      <formula>0</formula>
    </cfRule>
  </conditionalFormatting>
  <conditionalFormatting sqref="L12 L14:L15">
    <cfRule type="cellIs" dxfId="74" priority="26" operator="equal">
      <formula>0</formula>
    </cfRule>
  </conditionalFormatting>
  <conditionalFormatting sqref="L13">
    <cfRule type="cellIs" dxfId="73" priority="25" operator="equal">
      <formula>0</formula>
    </cfRule>
  </conditionalFormatting>
  <conditionalFormatting sqref="O12 O14">
    <cfRule type="cellIs" dxfId="72" priority="24" operator="equal">
      <formula>0</formula>
    </cfRule>
  </conditionalFormatting>
  <conditionalFormatting sqref="O13">
    <cfRule type="cellIs" dxfId="71" priority="23" operator="equal">
      <formula>0</formula>
    </cfRule>
  </conditionalFormatting>
  <conditionalFormatting sqref="F17:G17">
    <cfRule type="cellIs" dxfId="70" priority="22" operator="equal">
      <formula>0</formula>
    </cfRule>
  </conditionalFormatting>
  <conditionalFormatting sqref="I17:J17">
    <cfRule type="cellIs" dxfId="69" priority="21" operator="equal">
      <formula>0</formula>
    </cfRule>
  </conditionalFormatting>
  <conditionalFormatting sqref="O15">
    <cfRule type="cellIs" dxfId="68" priority="20" operator="equal">
      <formula>0</formula>
    </cfRule>
  </conditionalFormatting>
  <conditionalFormatting sqref="AA12:AA14">
    <cfRule type="cellIs" dxfId="67" priority="17" operator="equal">
      <formula>0</formula>
    </cfRule>
  </conditionalFormatting>
  <conditionalFormatting sqref="R12 R15">
    <cfRule type="cellIs" dxfId="66" priority="15" operator="equal">
      <formula>0</formula>
    </cfRule>
  </conditionalFormatting>
  <conditionalFormatting sqref="U13">
    <cfRule type="cellIs" dxfId="65" priority="12" operator="equal">
      <formula>0</formula>
    </cfRule>
  </conditionalFormatting>
  <conditionalFormatting sqref="U14">
    <cfRule type="cellIs" dxfId="64" priority="13" operator="equal">
      <formula>0</formula>
    </cfRule>
  </conditionalFormatting>
  <conditionalFormatting sqref="X12 X14:X15">
    <cfRule type="cellIs" dxfId="63" priority="11" operator="equal">
      <formula>0</formula>
    </cfRule>
  </conditionalFormatting>
  <conditionalFormatting sqref="X13">
    <cfRule type="cellIs" dxfId="62" priority="10" operator="equal">
      <formula>0</formula>
    </cfRule>
  </conditionalFormatting>
  <conditionalFormatting sqref="AA15">
    <cfRule type="cellIs" dxfId="61" priority="9" operator="equal">
      <formula>0</formula>
    </cfRule>
  </conditionalFormatting>
  <conditionalFormatting sqref="AD12 AD14">
    <cfRule type="cellIs" dxfId="60" priority="8" operator="equal">
      <formula>0</formula>
    </cfRule>
  </conditionalFormatting>
  <conditionalFormatting sqref="AD13">
    <cfRule type="cellIs" dxfId="59" priority="7" operator="equal">
      <formula>0</formula>
    </cfRule>
  </conditionalFormatting>
  <conditionalFormatting sqref="U12">
    <cfRule type="cellIs" dxfId="58" priority="5" operator="equal">
      <formula>0</formula>
    </cfRule>
  </conditionalFormatting>
  <conditionalFormatting sqref="U15">
    <cfRule type="cellIs" dxfId="57" priority="4" operator="equal">
      <formula>0</formula>
    </cfRule>
  </conditionalFormatting>
  <conditionalFormatting sqref="R14">
    <cfRule type="cellIs" dxfId="56" priority="3" operator="equal">
      <formula>0</formula>
    </cfRule>
  </conditionalFormatting>
  <conditionalFormatting sqref="R13">
    <cfRule type="cellIs" dxfId="55" priority="2" operator="equal">
      <formula>0</formula>
    </cfRule>
  </conditionalFormatting>
  <conditionalFormatting sqref="AD15">
    <cfRule type="cellIs" dxfId="54" priority="1" operator="equal">
      <formula>0</formula>
    </cfRule>
  </conditionalFormatting>
  <pageMargins left="0" right="0" top="0.35433070866141736" bottom="0.15748031496062992" header="0.31496062992125984" footer="0.31496062992125984"/>
  <pageSetup paperSize="5" scale="54" fitToWidth="0" fitToHeight="0" orientation="landscape" r:id="rId1"/>
  <colBreaks count="2" manualBreakCount="2">
    <brk id="11" max="50" man="1"/>
    <brk id="17" max="50" man="1"/>
  </colBreaks>
  <drawing r:id="rId2"/>
  <extLst>
    <ext xmlns:x14="http://schemas.microsoft.com/office/spreadsheetml/2009/9/main" uri="{78C0D931-6437-407d-A8EE-F0AAD7539E65}">
      <x14:conditionalFormattings>
        <x14:conditionalFormatting xmlns:xm="http://schemas.microsoft.com/office/excel/2006/main">
          <x14:cfRule type="containsText" priority="58" operator="containsText" id="{0B6123E4-ADC0-488A-A785-E5C6FB7B1C33}">
            <xm:f>NOT(ISERROR(SEARCH([2]X!#REF!,D26)))</xm:f>
            <xm:f>[2]X!#REF!</xm:f>
            <x14:dxf>
              <font>
                <b val="0"/>
                <i val="0"/>
                <strike val="0"/>
              </font>
              <numFmt numFmtId="0" formatCode="General"/>
            </x14:dxf>
          </x14:cfRule>
          <xm:sqref>D26:E26</xm:sqref>
        </x14:conditionalFormatting>
        <x14:conditionalFormatting xmlns:xm="http://schemas.microsoft.com/office/excel/2006/main">
          <x14:cfRule type="containsText" priority="32" operator="containsText" id="{C4EA5209-E1D9-444C-8971-130DBC17F07F}">
            <xm:f>NOT(ISERROR(SEARCH([2]X!#REF!,J26)))</xm:f>
            <xm:f>[2]X!#REF!</xm:f>
            <x14:dxf>
              <font>
                <b val="0"/>
                <i val="0"/>
                <strike val="0"/>
              </font>
              <numFmt numFmtId="0" formatCode="General"/>
            </x14:dxf>
          </x14:cfRule>
          <xm:sqref>J26:K26 M26:N26 P26:Q26 S26:T26 V26:W26 Y26:Z26 AB26:AC26 AE26:AF26</xm:sqref>
        </x14:conditionalFormatting>
        <x14:conditionalFormatting xmlns:xm="http://schemas.microsoft.com/office/excel/2006/main">
          <x14:cfRule type="containsText" priority="6" operator="containsText" id="{0F9A9C77-9FB3-4E96-901F-C9A697BEE87A}">
            <xm:f>NOT(ISERROR(SEARCH([2]X!#REF!,G26)))</xm:f>
            <xm:f>[2]X!#REF!</xm:f>
            <x14:dxf>
              <font>
                <b val="0"/>
                <i val="0"/>
                <strike val="0"/>
              </font>
              <numFmt numFmtId="0" formatCode="General"/>
            </x14:dxf>
          </x14:cfRule>
          <xm:sqref>G26:H26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C39:R39 U39:X39 AA39 AD39:AF39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F29:F31 G30:H31 I29:R31 S30:T31 U29:U31 X29 V30:AF31 AA29 AD29</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cols>
    <col min="1" max="1" width="39.7109375" customWidth="1"/>
  </cols>
  <sheetData>
    <row r="6" spans="1:11">
      <c r="A6" s="430" t="s">
        <v>201</v>
      </c>
      <c r="B6" s="430"/>
      <c r="C6" s="430"/>
      <c r="D6" s="430"/>
      <c r="E6" s="430"/>
      <c r="F6" s="430"/>
      <c r="G6" s="430"/>
      <c r="H6" s="430"/>
      <c r="I6" s="430"/>
      <c r="J6" s="430"/>
      <c r="K6" s="40"/>
    </row>
    <row r="7" spans="1:11">
      <c r="A7" s="430" t="s">
        <v>202</v>
      </c>
      <c r="B7" s="430"/>
      <c r="C7" s="430"/>
      <c r="D7" s="430"/>
      <c r="E7" s="430"/>
      <c r="F7" s="430"/>
      <c r="G7" s="430"/>
      <c r="H7" s="430"/>
      <c r="I7" s="430"/>
      <c r="J7" s="430"/>
      <c r="K7" s="40"/>
    </row>
    <row r="8" spans="1:11">
      <c r="A8" s="430" t="s">
        <v>203</v>
      </c>
      <c r="B8" s="430"/>
      <c r="C8" s="430"/>
      <c r="D8" s="430"/>
      <c r="E8" s="430"/>
      <c r="F8" s="430"/>
      <c r="G8" s="430"/>
      <c r="H8" s="430"/>
      <c r="I8" s="430"/>
      <c r="J8" s="430"/>
      <c r="K8" s="40"/>
    </row>
    <row r="9" spans="1:11">
      <c r="A9" s="430" t="s">
        <v>473</v>
      </c>
      <c r="B9" s="430"/>
      <c r="C9" s="430"/>
      <c r="D9" s="430"/>
      <c r="E9" s="430"/>
      <c r="F9" s="430"/>
      <c r="G9" s="430"/>
      <c r="H9" s="430"/>
      <c r="I9" s="430"/>
      <c r="J9" s="430"/>
      <c r="K9" s="40"/>
    </row>
    <row r="11" spans="1:11">
      <c r="A11" s="13" t="s">
        <v>13</v>
      </c>
      <c r="B11" s="619" t="s">
        <v>71</v>
      </c>
      <c r="C11" s="619"/>
      <c r="D11" s="619"/>
      <c r="E11" s="619"/>
      <c r="F11" s="619"/>
      <c r="G11" s="619"/>
      <c r="H11" s="619"/>
      <c r="I11" s="619"/>
      <c r="J11" s="619"/>
    </row>
    <row r="12" spans="1:11">
      <c r="A12" s="13" t="s">
        <v>43</v>
      </c>
      <c r="B12" s="64">
        <f>SUM(B26,B44,B58,B72,B86,B100,B114)</f>
        <v>22.525205479452055</v>
      </c>
      <c r="C12" s="46"/>
      <c r="D12" s="46"/>
      <c r="E12" s="46"/>
      <c r="F12" s="46"/>
      <c r="G12" s="46"/>
      <c r="H12" s="46"/>
      <c r="I12" s="46"/>
      <c r="J12" s="46"/>
    </row>
    <row r="13" spans="1:11" ht="15.75" thickBot="1"/>
    <row r="14" spans="1:11">
      <c r="A14" s="9" t="s">
        <v>221</v>
      </c>
      <c r="B14" s="596" t="s">
        <v>28</v>
      </c>
      <c r="C14" s="597"/>
      <c r="D14" s="597"/>
      <c r="E14" s="597"/>
      <c r="F14" s="597"/>
      <c r="G14" s="597"/>
      <c r="H14" s="597"/>
      <c r="I14" s="597"/>
      <c r="J14" s="598"/>
    </row>
    <row r="15" spans="1:11">
      <c r="A15" s="1" t="s">
        <v>23</v>
      </c>
      <c r="B15" s="613" t="s">
        <v>53</v>
      </c>
      <c r="C15" s="588"/>
      <c r="D15" s="588"/>
      <c r="E15" s="588"/>
      <c r="F15" s="588"/>
      <c r="G15" s="588"/>
      <c r="H15" s="588"/>
      <c r="I15" s="588"/>
      <c r="J15" s="589"/>
    </row>
    <row r="16" spans="1:11" hidden="1">
      <c r="A16" s="1" t="s">
        <v>24</v>
      </c>
      <c r="B16" s="43"/>
      <c r="C16" s="43"/>
      <c r="D16" s="43"/>
      <c r="E16" s="43"/>
      <c r="F16" s="43"/>
      <c r="G16" s="43"/>
      <c r="H16" s="43"/>
      <c r="I16" s="43"/>
      <c r="J16" s="2"/>
    </row>
    <row r="17" spans="1:10" hidden="1">
      <c r="A17" s="1" t="s">
        <v>25</v>
      </c>
      <c r="B17" s="43"/>
      <c r="C17" s="43"/>
      <c r="D17" s="43"/>
      <c r="E17" s="43"/>
      <c r="F17" s="43"/>
      <c r="G17" s="43"/>
      <c r="H17" s="43"/>
      <c r="I17" s="43"/>
      <c r="J17" s="2"/>
    </row>
    <row r="18" spans="1:10" hidden="1">
      <c r="A18" s="1" t="s">
        <v>26</v>
      </c>
      <c r="B18" s="43" t="s">
        <v>52</v>
      </c>
      <c r="C18" s="43"/>
      <c r="D18" s="43"/>
      <c r="E18" s="43"/>
      <c r="F18" s="43"/>
      <c r="G18" s="43"/>
      <c r="H18" s="43"/>
      <c r="I18" s="43"/>
      <c r="J18" s="2"/>
    </row>
    <row r="19" spans="1:10">
      <c r="A19" s="1" t="s">
        <v>205</v>
      </c>
      <c r="B19" s="613" t="s">
        <v>54</v>
      </c>
      <c r="C19" s="588"/>
      <c r="D19" s="588"/>
      <c r="E19" s="588"/>
      <c r="F19" s="588"/>
      <c r="G19" s="588"/>
      <c r="H19" s="588"/>
      <c r="I19" s="588"/>
      <c r="J19" s="589"/>
    </row>
    <row r="20" spans="1:10" hidden="1">
      <c r="A20" s="1" t="s">
        <v>35</v>
      </c>
      <c r="B20" s="43"/>
      <c r="C20" s="43"/>
      <c r="D20" s="43"/>
      <c r="E20" s="43"/>
      <c r="F20" s="43"/>
      <c r="G20" s="43"/>
      <c r="H20" s="43"/>
      <c r="I20" s="43"/>
      <c r="J20" s="2"/>
    </row>
    <row r="21" spans="1:10" hidden="1">
      <c r="A21" s="1" t="s">
        <v>34</v>
      </c>
      <c r="B21" s="43"/>
      <c r="C21" s="43"/>
      <c r="D21" s="43"/>
      <c r="E21" s="43"/>
      <c r="F21" s="43"/>
      <c r="G21" s="43"/>
      <c r="H21" s="43"/>
      <c r="I21" s="43"/>
      <c r="J21" s="2"/>
    </row>
    <row r="22" spans="1:10">
      <c r="A22" s="1" t="s">
        <v>208</v>
      </c>
      <c r="B22" s="611">
        <v>40679</v>
      </c>
      <c r="C22" s="600"/>
      <c r="D22" s="600"/>
      <c r="E22" s="600"/>
      <c r="F22" s="600"/>
      <c r="G22" s="600"/>
      <c r="H22" s="600"/>
      <c r="I22" s="600"/>
      <c r="J22" s="601"/>
    </row>
    <row r="23" spans="1:10">
      <c r="A23" s="1" t="s">
        <v>222</v>
      </c>
      <c r="B23" s="611">
        <v>41654</v>
      </c>
      <c r="C23" s="600"/>
      <c r="D23" s="600"/>
      <c r="E23" s="600"/>
      <c r="F23" s="600"/>
      <c r="G23" s="600"/>
      <c r="H23" s="600"/>
      <c r="I23" s="600"/>
      <c r="J23" s="601"/>
    </row>
    <row r="24" spans="1:10">
      <c r="A24" s="1" t="s">
        <v>38</v>
      </c>
      <c r="B24" s="585">
        <v>1.8</v>
      </c>
      <c r="C24" s="591"/>
      <c r="D24" s="591"/>
      <c r="E24" s="591"/>
      <c r="F24" s="591"/>
      <c r="G24" s="591"/>
      <c r="H24" s="591"/>
      <c r="I24" s="591"/>
      <c r="J24" s="592"/>
    </row>
    <row r="25" spans="1:10" ht="15.75" thickBot="1">
      <c r="A25" s="4" t="s">
        <v>42</v>
      </c>
      <c r="B25" s="593">
        <v>1</v>
      </c>
      <c r="C25" s="594"/>
      <c r="D25" s="594"/>
      <c r="E25" s="594"/>
      <c r="F25" s="594"/>
      <c r="G25" s="594"/>
      <c r="H25" s="594"/>
      <c r="I25" s="594"/>
      <c r="J25" s="595"/>
    </row>
    <row r="26" spans="1:10" ht="15.75" thickBot="1">
      <c r="A26" s="8" t="s">
        <v>41</v>
      </c>
      <c r="B26" s="602">
        <f>B24</f>
        <v>1.8</v>
      </c>
      <c r="C26" s="602"/>
      <c r="D26" s="602"/>
      <c r="E26" s="602"/>
      <c r="F26" s="602"/>
      <c r="G26" s="602"/>
      <c r="H26" s="602"/>
      <c r="I26" s="602"/>
      <c r="J26" s="603"/>
    </row>
    <row r="27" spans="1:10" hidden="1">
      <c r="A27" s="45"/>
      <c r="B27" s="20"/>
      <c r="C27" s="20"/>
      <c r="D27" s="20"/>
      <c r="E27" s="20"/>
      <c r="F27" s="20"/>
      <c r="G27" s="20"/>
      <c r="H27" s="20"/>
      <c r="I27" s="20"/>
      <c r="J27" s="20"/>
    </row>
    <row r="28" spans="1:10" hidden="1">
      <c r="A28" s="604" t="s">
        <v>191</v>
      </c>
      <c r="B28" s="605"/>
      <c r="C28" s="605"/>
      <c r="D28" s="605"/>
      <c r="E28" s="605"/>
      <c r="F28" s="605"/>
      <c r="G28" s="605"/>
      <c r="H28" s="605"/>
      <c r="I28" s="605"/>
      <c r="J28" s="606"/>
    </row>
    <row r="29" spans="1:10" hidden="1">
      <c r="A29" s="607" t="s">
        <v>232</v>
      </c>
      <c r="B29" s="608"/>
      <c r="C29" s="608"/>
      <c r="D29" s="608"/>
      <c r="E29" s="608"/>
      <c r="F29" s="608"/>
      <c r="G29" s="608"/>
      <c r="H29" s="608"/>
      <c r="I29" s="608"/>
      <c r="J29" s="609"/>
    </row>
    <row r="30" spans="1:10" ht="15.75" hidden="1" thickBot="1">
      <c r="A30" s="610"/>
      <c r="B30" s="594"/>
      <c r="C30" s="594"/>
      <c r="D30" s="594"/>
      <c r="E30" s="594"/>
      <c r="F30" s="594"/>
      <c r="G30" s="594"/>
      <c r="H30" s="594"/>
      <c r="I30" s="594"/>
      <c r="J30" s="595"/>
    </row>
    <row r="31" spans="1:10" ht="15.75" thickBot="1"/>
    <row r="32" spans="1:10">
      <c r="A32" s="9" t="s">
        <v>223</v>
      </c>
      <c r="B32" s="55" t="s">
        <v>28</v>
      </c>
      <c r="C32" s="55" t="s">
        <v>29</v>
      </c>
      <c r="D32" s="596" t="s">
        <v>30</v>
      </c>
      <c r="E32" s="615"/>
      <c r="F32" s="596" t="s">
        <v>31</v>
      </c>
      <c r="G32" s="597"/>
      <c r="H32" s="597"/>
      <c r="I32" s="597"/>
      <c r="J32" s="598"/>
    </row>
    <row r="33" spans="1:11">
      <c r="A33" s="1" t="s">
        <v>23</v>
      </c>
      <c r="B33" s="43" t="s">
        <v>57</v>
      </c>
      <c r="C33" s="43" t="s">
        <v>57</v>
      </c>
      <c r="D33" s="613" t="s">
        <v>475</v>
      </c>
      <c r="E33" s="614"/>
      <c r="F33" s="613" t="s">
        <v>57</v>
      </c>
      <c r="G33" s="588"/>
      <c r="H33" s="588"/>
      <c r="I33" s="588"/>
      <c r="J33" s="589"/>
      <c r="K33" s="19"/>
    </row>
    <row r="34" spans="1:11" ht="15" customHeight="1">
      <c r="A34" s="1" t="s">
        <v>24</v>
      </c>
      <c r="B34" s="43"/>
      <c r="C34" s="43"/>
      <c r="D34" s="43"/>
      <c r="E34" s="43"/>
      <c r="F34" s="2"/>
      <c r="G34" s="43"/>
      <c r="H34" s="43"/>
      <c r="I34" s="43"/>
      <c r="J34" s="2"/>
    </row>
    <row r="35" spans="1:11" ht="15" customHeight="1">
      <c r="A35" s="1" t="s">
        <v>25</v>
      </c>
      <c r="B35" s="43"/>
      <c r="C35" s="43"/>
      <c r="D35" s="43"/>
      <c r="E35" s="43"/>
      <c r="F35" s="2"/>
      <c r="G35" s="43"/>
      <c r="H35" s="43"/>
      <c r="I35" s="43"/>
      <c r="J35" s="2"/>
    </row>
    <row r="36" spans="1:11" ht="15" customHeight="1">
      <c r="A36" s="1" t="s">
        <v>26</v>
      </c>
      <c r="B36" s="43" t="s">
        <v>56</v>
      </c>
      <c r="C36" s="43" t="s">
        <v>56</v>
      </c>
      <c r="D36" s="43"/>
      <c r="E36" s="43"/>
      <c r="F36" s="43" t="s">
        <v>56</v>
      </c>
      <c r="G36" s="43"/>
      <c r="H36" s="43"/>
      <c r="I36" s="43"/>
      <c r="J36" s="2"/>
    </row>
    <row r="37" spans="1:11">
      <c r="A37" s="1" t="s">
        <v>210</v>
      </c>
      <c r="B37" s="43" t="s">
        <v>468</v>
      </c>
      <c r="C37" s="43" t="s">
        <v>213</v>
      </c>
      <c r="D37" s="613" t="s">
        <v>212</v>
      </c>
      <c r="E37" s="614"/>
      <c r="F37" s="613" t="s">
        <v>474</v>
      </c>
      <c r="G37" s="588"/>
      <c r="H37" s="588"/>
      <c r="I37" s="588"/>
      <c r="J37" s="589"/>
    </row>
    <row r="38" spans="1:11" ht="15" customHeight="1">
      <c r="A38" s="1" t="s">
        <v>35</v>
      </c>
      <c r="B38" s="43"/>
      <c r="C38" s="43"/>
      <c r="D38" s="43"/>
      <c r="E38" s="43"/>
      <c r="F38" s="43"/>
      <c r="G38" s="43"/>
      <c r="H38" s="43"/>
      <c r="I38" s="43"/>
      <c r="J38" s="2"/>
    </row>
    <row r="39" spans="1:11" ht="15" customHeight="1">
      <c r="A39" s="1" t="s">
        <v>34</v>
      </c>
      <c r="B39" s="43"/>
      <c r="C39" s="43"/>
      <c r="D39" s="43"/>
      <c r="E39" s="43"/>
      <c r="F39" s="43"/>
      <c r="G39" s="43"/>
      <c r="H39" s="43"/>
      <c r="I39" s="43"/>
      <c r="J39" s="2"/>
    </row>
    <row r="40" spans="1:11">
      <c r="A40" s="1" t="s">
        <v>208</v>
      </c>
      <c r="B40" s="44">
        <v>39479</v>
      </c>
      <c r="C40" s="44">
        <v>40452</v>
      </c>
      <c r="D40" s="611">
        <v>37581</v>
      </c>
      <c r="E40" s="612"/>
      <c r="F40" s="611">
        <v>40805</v>
      </c>
      <c r="G40" s="600"/>
      <c r="H40" s="600"/>
      <c r="I40" s="600"/>
      <c r="J40" s="601"/>
    </row>
    <row r="41" spans="1:11">
      <c r="A41" s="1" t="s">
        <v>209</v>
      </c>
      <c r="B41" s="44">
        <v>40451</v>
      </c>
      <c r="C41" s="44">
        <v>40512</v>
      </c>
      <c r="D41" s="611">
        <v>38069</v>
      </c>
      <c r="E41" s="612"/>
      <c r="F41" s="611">
        <v>41425</v>
      </c>
      <c r="G41" s="600"/>
      <c r="H41" s="600"/>
      <c r="I41" s="600"/>
      <c r="J41" s="601"/>
    </row>
    <row r="42" spans="1:11">
      <c r="A42" s="1" t="s">
        <v>38</v>
      </c>
      <c r="B42" s="63">
        <f>((B41-B40)/365)-1.42</f>
        <v>1.2430136986301372</v>
      </c>
      <c r="C42" s="14">
        <f>(C41-C40)/365</f>
        <v>0.16438356164383561</v>
      </c>
      <c r="D42" s="585">
        <f t="shared" ref="D42" si="0">(D41-D40)/365</f>
        <v>1.3369863013698631</v>
      </c>
      <c r="E42" s="586"/>
      <c r="F42" s="585">
        <f>(F41-F40)/365</f>
        <v>1.6986301369863013</v>
      </c>
      <c r="G42" s="591"/>
      <c r="H42" s="591"/>
      <c r="I42" s="591"/>
      <c r="J42" s="592"/>
    </row>
    <row r="43" spans="1:11" ht="15.75" thickBot="1">
      <c r="A43" s="4" t="s">
        <v>42</v>
      </c>
      <c r="B43" s="10">
        <v>1</v>
      </c>
      <c r="C43" s="11">
        <v>1</v>
      </c>
      <c r="D43" s="593">
        <v>1</v>
      </c>
      <c r="E43" s="618"/>
      <c r="F43" s="593">
        <v>1</v>
      </c>
      <c r="G43" s="594"/>
      <c r="H43" s="594"/>
      <c r="I43" s="594"/>
      <c r="J43" s="595"/>
    </row>
    <row r="44" spans="1:11" ht="15.75" thickBot="1">
      <c r="A44" s="8" t="s">
        <v>41</v>
      </c>
      <c r="B44" s="602">
        <f>B42+C42+D42+F42+G42+H42+I42+J42</f>
        <v>4.4430136986301374</v>
      </c>
      <c r="C44" s="602"/>
      <c r="D44" s="602"/>
      <c r="E44" s="602"/>
      <c r="F44" s="602"/>
      <c r="G44" s="602"/>
      <c r="H44" s="602"/>
      <c r="I44" s="602"/>
      <c r="J44" s="603"/>
    </row>
    <row r="45" spans="1:11" ht="15.75" thickBot="1"/>
    <row r="46" spans="1:11">
      <c r="A46" s="9" t="s">
        <v>224</v>
      </c>
      <c r="B46" s="596" t="s">
        <v>28</v>
      </c>
      <c r="C46" s="597"/>
      <c r="D46" s="597"/>
      <c r="E46" s="597"/>
      <c r="F46" s="597"/>
      <c r="G46" s="597"/>
      <c r="H46" s="597"/>
      <c r="I46" s="597"/>
      <c r="J46" s="598"/>
    </row>
    <row r="47" spans="1:11">
      <c r="A47" s="1" t="s">
        <v>23</v>
      </c>
      <c r="B47" s="587" t="s">
        <v>469</v>
      </c>
      <c r="C47" s="588"/>
      <c r="D47" s="588"/>
      <c r="E47" s="588"/>
      <c r="F47" s="588"/>
      <c r="G47" s="588"/>
      <c r="H47" s="588"/>
      <c r="I47" s="588"/>
      <c r="J47" s="589"/>
    </row>
    <row r="48" spans="1:11" hidden="1">
      <c r="A48" s="1" t="s">
        <v>24</v>
      </c>
      <c r="B48" s="1"/>
      <c r="C48" s="43"/>
      <c r="D48" s="43"/>
      <c r="E48" s="43"/>
      <c r="F48" s="43"/>
      <c r="G48" s="43"/>
      <c r="H48" s="43"/>
      <c r="I48" s="43"/>
      <c r="J48" s="2"/>
    </row>
    <row r="49" spans="1:10" hidden="1">
      <c r="A49" s="1" t="s">
        <v>25</v>
      </c>
      <c r="B49" s="1"/>
      <c r="C49" s="43"/>
      <c r="D49" s="43"/>
      <c r="E49" s="43"/>
      <c r="F49" s="43"/>
      <c r="G49" s="43"/>
      <c r="H49" s="43"/>
      <c r="I49" s="43"/>
      <c r="J49" s="2"/>
    </row>
    <row r="50" spans="1:10" hidden="1">
      <c r="A50" s="1" t="s">
        <v>26</v>
      </c>
      <c r="B50" s="1" t="s">
        <v>58</v>
      </c>
      <c r="C50" s="43"/>
      <c r="D50" s="43"/>
      <c r="E50" s="43"/>
      <c r="F50" s="43"/>
      <c r="G50" s="43"/>
      <c r="H50" s="43"/>
      <c r="I50" s="43"/>
      <c r="J50" s="2"/>
    </row>
    <row r="51" spans="1:10">
      <c r="A51" s="1" t="s">
        <v>205</v>
      </c>
      <c r="B51" s="587" t="s">
        <v>215</v>
      </c>
      <c r="C51" s="588"/>
      <c r="D51" s="588"/>
      <c r="E51" s="588"/>
      <c r="F51" s="588"/>
      <c r="G51" s="588"/>
      <c r="H51" s="588"/>
      <c r="I51" s="588"/>
      <c r="J51" s="589"/>
    </row>
    <row r="52" spans="1:10" hidden="1">
      <c r="A52" s="1" t="s">
        <v>35</v>
      </c>
      <c r="B52" s="1"/>
      <c r="C52" s="43"/>
      <c r="D52" s="43"/>
      <c r="E52" s="43"/>
      <c r="F52" s="43"/>
      <c r="G52" s="43"/>
      <c r="H52" s="43"/>
      <c r="I52" s="43"/>
      <c r="J52" s="2"/>
    </row>
    <row r="53" spans="1:10" hidden="1">
      <c r="A53" s="1" t="s">
        <v>34</v>
      </c>
      <c r="B53" s="1"/>
      <c r="C53" s="43"/>
      <c r="D53" s="43"/>
      <c r="E53" s="43"/>
      <c r="F53" s="43"/>
      <c r="G53" s="43"/>
      <c r="H53" s="43"/>
      <c r="I53" s="43"/>
      <c r="J53" s="2"/>
    </row>
    <row r="54" spans="1:10">
      <c r="A54" s="1" t="s">
        <v>206</v>
      </c>
      <c r="B54" s="599">
        <v>35902</v>
      </c>
      <c r="C54" s="600"/>
      <c r="D54" s="600"/>
      <c r="E54" s="600"/>
      <c r="F54" s="600"/>
      <c r="G54" s="600"/>
      <c r="H54" s="600"/>
      <c r="I54" s="600"/>
      <c r="J54" s="601"/>
    </row>
    <row r="55" spans="1:10">
      <c r="A55" s="1" t="s">
        <v>209</v>
      </c>
      <c r="B55" s="599">
        <v>38919</v>
      </c>
      <c r="C55" s="600"/>
      <c r="D55" s="600"/>
      <c r="E55" s="600"/>
      <c r="F55" s="600"/>
      <c r="G55" s="600"/>
      <c r="H55" s="600"/>
      <c r="I55" s="600"/>
      <c r="J55" s="601"/>
    </row>
    <row r="56" spans="1:10">
      <c r="A56" s="1" t="s">
        <v>38</v>
      </c>
      <c r="B56" s="590">
        <f>((B55-B54)/365)-4</f>
        <v>4.2657534246575342</v>
      </c>
      <c r="C56" s="591"/>
      <c r="D56" s="591"/>
      <c r="E56" s="591"/>
      <c r="F56" s="591"/>
      <c r="G56" s="591"/>
      <c r="H56" s="591"/>
      <c r="I56" s="591"/>
      <c r="J56" s="592"/>
    </row>
    <row r="57" spans="1:10" ht="15.75" thickBot="1">
      <c r="A57" s="4" t="s">
        <v>42</v>
      </c>
      <c r="B57" s="593">
        <v>1</v>
      </c>
      <c r="C57" s="594"/>
      <c r="D57" s="594"/>
      <c r="E57" s="594"/>
      <c r="F57" s="594"/>
      <c r="G57" s="594"/>
      <c r="H57" s="594"/>
      <c r="I57" s="594"/>
      <c r="J57" s="595"/>
    </row>
    <row r="58" spans="1:10" ht="15.75" thickBot="1">
      <c r="A58" s="8" t="s">
        <v>41</v>
      </c>
      <c r="B58" s="602">
        <f>B56</f>
        <v>4.2657534246575342</v>
      </c>
      <c r="C58" s="602"/>
      <c r="D58" s="602"/>
      <c r="E58" s="602"/>
      <c r="F58" s="602"/>
      <c r="G58" s="602"/>
      <c r="H58" s="602"/>
      <c r="I58" s="602"/>
      <c r="J58" s="603"/>
    </row>
    <row r="59" spans="1:10" ht="15.75" thickBot="1"/>
    <row r="60" spans="1:10">
      <c r="A60" s="9" t="s">
        <v>225</v>
      </c>
      <c r="B60" s="596" t="s">
        <v>28</v>
      </c>
      <c r="C60" s="597"/>
      <c r="D60" s="597"/>
      <c r="E60" s="597"/>
      <c r="F60" s="597"/>
      <c r="G60" s="597"/>
      <c r="H60" s="597"/>
      <c r="I60" s="597"/>
      <c r="J60" s="598"/>
    </row>
    <row r="61" spans="1:10">
      <c r="A61" s="1" t="s">
        <v>23</v>
      </c>
      <c r="B61" s="587" t="s">
        <v>59</v>
      </c>
      <c r="C61" s="588"/>
      <c r="D61" s="588"/>
      <c r="E61" s="588"/>
      <c r="F61" s="588"/>
      <c r="G61" s="588"/>
      <c r="H61" s="588"/>
      <c r="I61" s="588"/>
      <c r="J61" s="589"/>
    </row>
    <row r="62" spans="1:10" hidden="1">
      <c r="A62" s="1" t="s">
        <v>24</v>
      </c>
      <c r="B62" s="1" t="s">
        <v>60</v>
      </c>
      <c r="C62" s="43"/>
      <c r="D62" s="43"/>
      <c r="E62" s="43"/>
      <c r="F62" s="43"/>
      <c r="G62" s="43"/>
      <c r="H62" s="43"/>
      <c r="I62" s="43"/>
      <c r="J62" s="2"/>
    </row>
    <row r="63" spans="1:10" hidden="1">
      <c r="A63" s="1" t="s">
        <v>25</v>
      </c>
      <c r="B63" s="1"/>
      <c r="C63" s="43"/>
      <c r="D63" s="43"/>
      <c r="E63" s="43"/>
      <c r="F63" s="43"/>
      <c r="G63" s="43"/>
      <c r="H63" s="43"/>
      <c r="I63" s="43"/>
      <c r="J63" s="2"/>
    </row>
    <row r="64" spans="1:10" hidden="1">
      <c r="A64" s="1" t="s">
        <v>26</v>
      </c>
      <c r="B64" s="1" t="s">
        <v>61</v>
      </c>
      <c r="C64" s="43"/>
      <c r="D64" s="43"/>
      <c r="E64" s="43"/>
      <c r="F64" s="43"/>
      <c r="G64" s="43"/>
      <c r="H64" s="43"/>
      <c r="I64" s="43"/>
      <c r="J64" s="2"/>
    </row>
    <row r="65" spans="1:10">
      <c r="A65" s="1" t="s">
        <v>205</v>
      </c>
      <c r="B65" s="587" t="s">
        <v>470</v>
      </c>
      <c r="C65" s="588"/>
      <c r="D65" s="588"/>
      <c r="E65" s="588"/>
      <c r="F65" s="588"/>
      <c r="G65" s="588"/>
      <c r="H65" s="588"/>
      <c r="I65" s="588"/>
      <c r="J65" s="589"/>
    </row>
    <row r="66" spans="1:10" hidden="1">
      <c r="A66" s="1" t="s">
        <v>35</v>
      </c>
      <c r="B66" s="1"/>
      <c r="C66" s="43"/>
      <c r="D66" s="43"/>
      <c r="E66" s="43"/>
      <c r="F66" s="43"/>
      <c r="G66" s="43"/>
      <c r="H66" s="43"/>
      <c r="I66" s="43"/>
      <c r="J66" s="2"/>
    </row>
    <row r="67" spans="1:10" hidden="1">
      <c r="A67" s="1" t="s">
        <v>34</v>
      </c>
      <c r="B67" s="1"/>
      <c r="C67" s="43"/>
      <c r="D67" s="43"/>
      <c r="E67" s="43"/>
      <c r="F67" s="43"/>
      <c r="G67" s="43"/>
      <c r="H67" s="43"/>
      <c r="I67" s="43"/>
      <c r="J67" s="2"/>
    </row>
    <row r="68" spans="1:10">
      <c r="A68" s="1" t="s">
        <v>206</v>
      </c>
      <c r="B68" s="599">
        <v>39293</v>
      </c>
      <c r="C68" s="600"/>
      <c r="D68" s="600"/>
      <c r="E68" s="600"/>
      <c r="F68" s="600"/>
      <c r="G68" s="600"/>
      <c r="H68" s="600"/>
      <c r="I68" s="600"/>
      <c r="J68" s="601"/>
    </row>
    <row r="69" spans="1:10">
      <c r="A69" s="1" t="s">
        <v>209</v>
      </c>
      <c r="B69" s="599">
        <v>41647</v>
      </c>
      <c r="C69" s="600"/>
      <c r="D69" s="600"/>
      <c r="E69" s="600"/>
      <c r="F69" s="600"/>
      <c r="G69" s="600"/>
      <c r="H69" s="600"/>
      <c r="I69" s="600"/>
      <c r="J69" s="601"/>
    </row>
    <row r="70" spans="1:10">
      <c r="A70" s="1" t="s">
        <v>38</v>
      </c>
      <c r="B70" s="590">
        <f>((B69-B68)/365)-5</f>
        <v>1.4493150684931511</v>
      </c>
      <c r="C70" s="591"/>
      <c r="D70" s="591"/>
      <c r="E70" s="591"/>
      <c r="F70" s="591"/>
      <c r="G70" s="591"/>
      <c r="H70" s="591"/>
      <c r="I70" s="591"/>
      <c r="J70" s="592"/>
    </row>
    <row r="71" spans="1:10" ht="15.75" thickBot="1">
      <c r="A71" s="4" t="s">
        <v>42</v>
      </c>
      <c r="B71" s="593">
        <v>1</v>
      </c>
      <c r="C71" s="594"/>
      <c r="D71" s="594"/>
      <c r="E71" s="594"/>
      <c r="F71" s="594"/>
      <c r="G71" s="594"/>
      <c r="H71" s="594"/>
      <c r="I71" s="594"/>
      <c r="J71" s="595"/>
    </row>
    <row r="72" spans="1:10" ht="15.75" thickBot="1">
      <c r="A72" s="8" t="s">
        <v>41</v>
      </c>
      <c r="B72" s="602">
        <f>B70</f>
        <v>1.4493150684931511</v>
      </c>
      <c r="C72" s="602"/>
      <c r="D72" s="602"/>
      <c r="E72" s="602"/>
      <c r="F72" s="602"/>
      <c r="G72" s="602"/>
      <c r="H72" s="602"/>
      <c r="I72" s="602"/>
      <c r="J72" s="603"/>
    </row>
    <row r="73" spans="1:10" ht="15.75" thickBot="1">
      <c r="A73" s="45"/>
      <c r="B73" s="20"/>
      <c r="C73" s="20"/>
      <c r="D73" s="20"/>
      <c r="E73" s="20"/>
      <c r="F73" s="20"/>
      <c r="G73" s="20"/>
      <c r="H73" s="20"/>
      <c r="I73" s="20"/>
      <c r="J73" s="20"/>
    </row>
    <row r="74" spans="1:10">
      <c r="A74" s="9" t="s">
        <v>226</v>
      </c>
      <c r="B74" s="596" t="s">
        <v>28</v>
      </c>
      <c r="C74" s="597"/>
      <c r="D74" s="597"/>
      <c r="E74" s="597"/>
      <c r="F74" s="597"/>
      <c r="G74" s="597"/>
      <c r="H74" s="597"/>
      <c r="I74" s="597"/>
      <c r="J74" s="598"/>
    </row>
    <row r="75" spans="1:10">
      <c r="A75" s="1" t="s">
        <v>23</v>
      </c>
      <c r="B75" s="587" t="s">
        <v>62</v>
      </c>
      <c r="C75" s="588"/>
      <c r="D75" s="588"/>
      <c r="E75" s="588"/>
      <c r="F75" s="588"/>
      <c r="G75" s="588"/>
      <c r="H75" s="588"/>
      <c r="I75" s="588"/>
      <c r="J75" s="589"/>
    </row>
    <row r="76" spans="1:10" hidden="1">
      <c r="A76" s="1" t="s">
        <v>24</v>
      </c>
      <c r="B76" s="1"/>
      <c r="C76" s="43"/>
      <c r="D76" s="43"/>
      <c r="E76" s="43"/>
      <c r="F76" s="43"/>
      <c r="G76" s="43"/>
      <c r="H76" s="43"/>
      <c r="I76" s="43"/>
      <c r="J76" s="2"/>
    </row>
    <row r="77" spans="1:10" hidden="1">
      <c r="A77" s="1" t="s">
        <v>25</v>
      </c>
      <c r="B77" s="1" t="s">
        <v>64</v>
      </c>
      <c r="C77" s="43"/>
      <c r="D77" s="43"/>
      <c r="E77" s="43"/>
      <c r="F77" s="43"/>
      <c r="G77" s="43"/>
      <c r="H77" s="43"/>
      <c r="I77" s="43"/>
      <c r="J77" s="2"/>
    </row>
    <row r="78" spans="1:10" hidden="1">
      <c r="A78" s="1" t="s">
        <v>26</v>
      </c>
      <c r="B78" s="1" t="s">
        <v>63</v>
      </c>
      <c r="C78" s="43"/>
      <c r="D78" s="43"/>
      <c r="E78" s="43"/>
      <c r="F78" s="43"/>
      <c r="G78" s="43"/>
      <c r="H78" s="43"/>
      <c r="I78" s="43"/>
      <c r="J78" s="2"/>
    </row>
    <row r="79" spans="1:10">
      <c r="A79" s="1" t="s">
        <v>205</v>
      </c>
      <c r="B79" s="587" t="s">
        <v>65</v>
      </c>
      <c r="C79" s="588"/>
      <c r="D79" s="588"/>
      <c r="E79" s="588"/>
      <c r="F79" s="588"/>
      <c r="G79" s="588"/>
      <c r="H79" s="588"/>
      <c r="I79" s="588"/>
      <c r="J79" s="589"/>
    </row>
    <row r="80" spans="1:10" hidden="1">
      <c r="A80" s="1" t="s">
        <v>35</v>
      </c>
      <c r="B80" s="1"/>
      <c r="C80" s="43"/>
      <c r="D80" s="43"/>
      <c r="E80" s="43"/>
      <c r="F80" s="43"/>
      <c r="G80" s="43"/>
      <c r="H80" s="43"/>
      <c r="I80" s="43"/>
      <c r="J80" s="2"/>
    </row>
    <row r="81" spans="1:10" hidden="1">
      <c r="A81" s="1" t="s">
        <v>34</v>
      </c>
      <c r="B81" s="1"/>
      <c r="C81" s="43"/>
      <c r="D81" s="43"/>
      <c r="E81" s="43"/>
      <c r="F81" s="43"/>
      <c r="G81" s="43"/>
      <c r="H81" s="43"/>
      <c r="I81" s="43"/>
      <c r="J81" s="2"/>
    </row>
    <row r="82" spans="1:10">
      <c r="A82" s="1" t="s">
        <v>206</v>
      </c>
      <c r="B82" s="599">
        <v>37549</v>
      </c>
      <c r="C82" s="600"/>
      <c r="D82" s="600"/>
      <c r="E82" s="600"/>
      <c r="F82" s="600"/>
      <c r="G82" s="600"/>
      <c r="H82" s="600"/>
      <c r="I82" s="600"/>
      <c r="J82" s="601"/>
    </row>
    <row r="83" spans="1:10">
      <c r="A83" s="1" t="s">
        <v>209</v>
      </c>
      <c r="B83" s="599">
        <v>39864</v>
      </c>
      <c r="C83" s="600"/>
      <c r="D83" s="600"/>
      <c r="E83" s="600"/>
      <c r="F83" s="600"/>
      <c r="G83" s="600"/>
      <c r="H83" s="600"/>
      <c r="I83" s="600"/>
      <c r="J83" s="601"/>
    </row>
    <row r="84" spans="1:10">
      <c r="A84" s="1" t="s">
        <v>38</v>
      </c>
      <c r="B84" s="590">
        <f>((B83-B82)/365)-5</f>
        <v>1.3424657534246576</v>
      </c>
      <c r="C84" s="591"/>
      <c r="D84" s="591"/>
      <c r="E84" s="591"/>
      <c r="F84" s="591"/>
      <c r="G84" s="591"/>
      <c r="H84" s="591"/>
      <c r="I84" s="591"/>
      <c r="J84" s="592"/>
    </row>
    <row r="85" spans="1:10" ht="15.75" thickBot="1">
      <c r="A85" s="4" t="s">
        <v>42</v>
      </c>
      <c r="B85" s="593">
        <v>1</v>
      </c>
      <c r="C85" s="594"/>
      <c r="D85" s="594"/>
      <c r="E85" s="594"/>
      <c r="F85" s="594"/>
      <c r="G85" s="594"/>
      <c r="H85" s="594"/>
      <c r="I85" s="594"/>
      <c r="J85" s="595"/>
    </row>
    <row r="86" spans="1:10" ht="15.75" thickBot="1">
      <c r="A86" s="8" t="s">
        <v>41</v>
      </c>
      <c r="B86" s="602">
        <f>B84</f>
        <v>1.3424657534246576</v>
      </c>
      <c r="C86" s="602"/>
      <c r="D86" s="602"/>
      <c r="E86" s="602"/>
      <c r="F86" s="602"/>
      <c r="G86" s="602"/>
      <c r="H86" s="602"/>
      <c r="I86" s="602"/>
      <c r="J86" s="603"/>
    </row>
    <row r="87" spans="1:10" ht="15.75" thickBot="1">
      <c r="A87" s="45"/>
      <c r="B87" s="20"/>
      <c r="C87" s="20"/>
      <c r="D87" s="20"/>
      <c r="E87" s="20"/>
      <c r="F87" s="20"/>
      <c r="G87" s="20"/>
      <c r="H87" s="20"/>
      <c r="I87" s="20"/>
      <c r="J87" s="20"/>
    </row>
    <row r="88" spans="1:10">
      <c r="A88" s="9" t="s">
        <v>227</v>
      </c>
      <c r="B88" s="596" t="s">
        <v>28</v>
      </c>
      <c r="C88" s="597"/>
      <c r="D88" s="597"/>
      <c r="E88" s="597"/>
      <c r="F88" s="597"/>
      <c r="G88" s="597"/>
      <c r="H88" s="597"/>
      <c r="I88" s="597"/>
      <c r="J88" s="598"/>
    </row>
    <row r="89" spans="1:10">
      <c r="A89" s="1" t="s">
        <v>23</v>
      </c>
      <c r="B89" s="587" t="s">
        <v>66</v>
      </c>
      <c r="C89" s="588"/>
      <c r="D89" s="588"/>
      <c r="E89" s="588"/>
      <c r="F89" s="588"/>
      <c r="G89" s="588"/>
      <c r="H89" s="588"/>
      <c r="I89" s="588"/>
      <c r="J89" s="589"/>
    </row>
    <row r="90" spans="1:10" hidden="1">
      <c r="A90" s="1" t="s">
        <v>24</v>
      </c>
      <c r="B90" s="1" t="s">
        <v>67</v>
      </c>
      <c r="C90" s="43"/>
      <c r="D90" s="43"/>
      <c r="E90" s="43"/>
      <c r="F90" s="43"/>
      <c r="G90" s="43"/>
      <c r="H90" s="43"/>
      <c r="I90" s="43"/>
      <c r="J90" s="2"/>
    </row>
    <row r="91" spans="1:10" hidden="1">
      <c r="A91" s="1" t="s">
        <v>25</v>
      </c>
      <c r="B91" s="1"/>
      <c r="C91" s="43"/>
      <c r="D91" s="43"/>
      <c r="E91" s="43"/>
      <c r="F91" s="43"/>
      <c r="G91" s="43"/>
      <c r="H91" s="43"/>
      <c r="I91" s="43"/>
      <c r="J91" s="2"/>
    </row>
    <row r="92" spans="1:10" hidden="1">
      <c r="A92" s="1" t="s">
        <v>26</v>
      </c>
      <c r="B92" s="1"/>
      <c r="C92" s="43"/>
      <c r="D92" s="43"/>
      <c r="E92" s="43"/>
      <c r="F92" s="43"/>
      <c r="G92" s="43"/>
      <c r="H92" s="43"/>
      <c r="I92" s="43"/>
      <c r="J92" s="2"/>
    </row>
    <row r="93" spans="1:10">
      <c r="A93" s="1" t="s">
        <v>205</v>
      </c>
      <c r="B93" s="587"/>
      <c r="C93" s="588"/>
      <c r="D93" s="588"/>
      <c r="E93" s="588"/>
      <c r="F93" s="588"/>
      <c r="G93" s="588"/>
      <c r="H93" s="588"/>
      <c r="I93" s="588"/>
      <c r="J93" s="589"/>
    </row>
    <row r="94" spans="1:10" hidden="1">
      <c r="A94" s="1" t="s">
        <v>35</v>
      </c>
      <c r="B94" s="1"/>
      <c r="C94" s="43"/>
      <c r="D94" s="43"/>
      <c r="E94" s="43"/>
      <c r="F94" s="43"/>
      <c r="G94" s="43"/>
      <c r="H94" s="43"/>
      <c r="I94" s="43"/>
      <c r="J94" s="2"/>
    </row>
    <row r="95" spans="1:10" hidden="1">
      <c r="A95" s="1" t="s">
        <v>34</v>
      </c>
      <c r="B95" s="1"/>
      <c r="C95" s="43"/>
      <c r="D95" s="43"/>
      <c r="E95" s="43"/>
      <c r="F95" s="43"/>
      <c r="G95" s="43"/>
      <c r="H95" s="43"/>
      <c r="I95" s="43"/>
      <c r="J95" s="2"/>
    </row>
    <row r="96" spans="1:10">
      <c r="A96" s="1" t="s">
        <v>206</v>
      </c>
      <c r="B96" s="599">
        <v>38718</v>
      </c>
      <c r="C96" s="600"/>
      <c r="D96" s="600"/>
      <c r="E96" s="600"/>
      <c r="F96" s="600"/>
      <c r="G96" s="600"/>
      <c r="H96" s="600"/>
      <c r="I96" s="600"/>
      <c r="J96" s="601"/>
    </row>
    <row r="97" spans="1:10">
      <c r="A97" s="1" t="s">
        <v>207</v>
      </c>
      <c r="B97" s="599">
        <v>40625</v>
      </c>
      <c r="C97" s="600"/>
      <c r="D97" s="600"/>
      <c r="E97" s="600"/>
      <c r="F97" s="600"/>
      <c r="G97" s="600"/>
      <c r="H97" s="600"/>
      <c r="I97" s="600"/>
      <c r="J97" s="601"/>
    </row>
    <row r="98" spans="1:10">
      <c r="A98" s="1" t="s">
        <v>38</v>
      </c>
      <c r="B98" s="590">
        <f>((B97-B96)/365)-1</f>
        <v>4.2246575342465755</v>
      </c>
      <c r="C98" s="591"/>
      <c r="D98" s="591"/>
      <c r="E98" s="591"/>
      <c r="F98" s="591"/>
      <c r="G98" s="591"/>
      <c r="H98" s="591"/>
      <c r="I98" s="591"/>
      <c r="J98" s="592"/>
    </row>
    <row r="99" spans="1:10" ht="15.75" thickBot="1">
      <c r="A99" s="4" t="s">
        <v>42</v>
      </c>
      <c r="B99" s="593">
        <v>1</v>
      </c>
      <c r="C99" s="594"/>
      <c r="D99" s="594"/>
      <c r="E99" s="594"/>
      <c r="F99" s="594"/>
      <c r="G99" s="594"/>
      <c r="H99" s="594"/>
      <c r="I99" s="594"/>
      <c r="J99" s="595"/>
    </row>
    <row r="100" spans="1:10" ht="15.75" thickBot="1">
      <c r="A100" s="8" t="s">
        <v>41</v>
      </c>
      <c r="B100" s="602">
        <f>B98</f>
        <v>4.2246575342465755</v>
      </c>
      <c r="C100" s="602"/>
      <c r="D100" s="602"/>
      <c r="E100" s="602"/>
      <c r="F100" s="602"/>
      <c r="G100" s="602"/>
      <c r="H100" s="602"/>
      <c r="I100" s="602"/>
      <c r="J100" s="603"/>
    </row>
    <row r="101" spans="1:10" ht="15.75" thickBot="1"/>
    <row r="102" spans="1:10">
      <c r="A102" s="9" t="s">
        <v>228</v>
      </c>
      <c r="B102" s="596" t="s">
        <v>28</v>
      </c>
      <c r="C102" s="597"/>
      <c r="D102" s="597"/>
      <c r="E102" s="597"/>
      <c r="F102" s="597"/>
      <c r="G102" s="597"/>
      <c r="H102" s="597"/>
      <c r="I102" s="597"/>
      <c r="J102" s="598"/>
    </row>
    <row r="103" spans="1:10">
      <c r="A103" s="3" t="s">
        <v>23</v>
      </c>
      <c r="B103" s="587" t="s">
        <v>69</v>
      </c>
      <c r="C103" s="588"/>
      <c r="D103" s="588"/>
      <c r="E103" s="588"/>
      <c r="F103" s="588"/>
      <c r="G103" s="588"/>
      <c r="H103" s="588"/>
      <c r="I103" s="588"/>
      <c r="J103" s="589"/>
    </row>
    <row r="104" spans="1:10" hidden="1">
      <c r="A104" s="1" t="s">
        <v>24</v>
      </c>
      <c r="B104" s="1" t="s">
        <v>70</v>
      </c>
      <c r="C104" s="43"/>
      <c r="D104" s="43"/>
      <c r="E104" s="43"/>
      <c r="F104" s="43"/>
      <c r="G104" s="43"/>
      <c r="H104" s="43"/>
      <c r="I104" s="43"/>
      <c r="J104" s="2"/>
    </row>
    <row r="105" spans="1:10" hidden="1">
      <c r="A105" s="1" t="s">
        <v>25</v>
      </c>
      <c r="B105" s="1"/>
      <c r="C105" s="43"/>
      <c r="D105" s="43"/>
      <c r="E105" s="43"/>
      <c r="F105" s="43"/>
      <c r="G105" s="43"/>
      <c r="H105" s="43"/>
      <c r="I105" s="43"/>
      <c r="J105" s="2"/>
    </row>
    <row r="106" spans="1:10" hidden="1">
      <c r="A106" s="1" t="s">
        <v>26</v>
      </c>
      <c r="B106" s="1" t="s">
        <v>68</v>
      </c>
      <c r="C106" s="43"/>
      <c r="D106" s="43"/>
      <c r="E106" s="43"/>
      <c r="F106" s="43"/>
      <c r="G106" s="43"/>
      <c r="H106" s="43"/>
      <c r="I106" s="43"/>
      <c r="J106" s="2"/>
    </row>
    <row r="107" spans="1:10">
      <c r="A107" s="1" t="s">
        <v>205</v>
      </c>
      <c r="B107" s="587"/>
      <c r="C107" s="588"/>
      <c r="D107" s="588"/>
      <c r="E107" s="588"/>
      <c r="F107" s="588"/>
      <c r="G107" s="588"/>
      <c r="H107" s="588"/>
      <c r="I107" s="588"/>
      <c r="J107" s="589"/>
    </row>
    <row r="108" spans="1:10" hidden="1">
      <c r="A108" s="1" t="s">
        <v>35</v>
      </c>
      <c r="B108" s="1"/>
      <c r="C108" s="43"/>
      <c r="D108" s="43"/>
      <c r="E108" s="43"/>
      <c r="F108" s="43"/>
      <c r="G108" s="43"/>
      <c r="H108" s="43"/>
      <c r="I108" s="43"/>
      <c r="J108" s="2"/>
    </row>
    <row r="109" spans="1:10" hidden="1">
      <c r="A109" s="1" t="s">
        <v>34</v>
      </c>
      <c r="B109" s="1"/>
      <c r="C109" s="43"/>
      <c r="D109" s="43"/>
      <c r="E109" s="43"/>
      <c r="F109" s="43"/>
      <c r="G109" s="43"/>
      <c r="H109" s="43"/>
      <c r="I109" s="43"/>
      <c r="J109" s="2"/>
    </row>
    <row r="110" spans="1:10">
      <c r="A110" s="1" t="s">
        <v>208</v>
      </c>
      <c r="B110" s="599">
        <v>36189</v>
      </c>
      <c r="C110" s="600"/>
      <c r="D110" s="600"/>
      <c r="E110" s="600"/>
      <c r="F110" s="600"/>
      <c r="G110" s="600"/>
      <c r="H110" s="600"/>
      <c r="I110" s="600"/>
      <c r="J110" s="601"/>
    </row>
    <row r="111" spans="1:10">
      <c r="A111" s="1" t="s">
        <v>209</v>
      </c>
      <c r="B111" s="599">
        <v>40785</v>
      </c>
      <c r="C111" s="600"/>
      <c r="D111" s="600"/>
      <c r="E111" s="600"/>
      <c r="F111" s="600"/>
      <c r="G111" s="600"/>
      <c r="H111" s="600"/>
      <c r="I111" s="600"/>
      <c r="J111" s="601"/>
    </row>
    <row r="112" spans="1:10">
      <c r="A112" s="1" t="s">
        <v>38</v>
      </c>
      <c r="B112" s="590">
        <f>((B111-B110)/365)-6</f>
        <v>6.5917808219178085</v>
      </c>
      <c r="C112" s="591"/>
      <c r="D112" s="591"/>
      <c r="E112" s="591"/>
      <c r="F112" s="591"/>
      <c r="G112" s="591"/>
      <c r="H112" s="591"/>
      <c r="I112" s="591"/>
      <c r="J112" s="592"/>
    </row>
    <row r="113" spans="1:10" ht="15.75" thickBot="1">
      <c r="A113" s="4" t="s">
        <v>42</v>
      </c>
      <c r="B113" s="593">
        <v>1</v>
      </c>
      <c r="C113" s="594"/>
      <c r="D113" s="594"/>
      <c r="E113" s="594"/>
      <c r="F113" s="594"/>
      <c r="G113" s="594"/>
      <c r="H113" s="594"/>
      <c r="I113" s="594"/>
      <c r="J113" s="595"/>
    </row>
    <row r="114" spans="1:10" ht="15.75" thickBot="1">
      <c r="A114" s="8" t="s">
        <v>41</v>
      </c>
      <c r="B114" s="616">
        <f>MIN(SUMIFS(B112:J112,B113:J113,1),5)</f>
        <v>5</v>
      </c>
      <c r="C114" s="616"/>
      <c r="D114" s="616"/>
      <c r="E114" s="616"/>
      <c r="F114" s="616"/>
      <c r="G114" s="616"/>
      <c r="H114" s="616"/>
      <c r="I114" s="616"/>
      <c r="J114" s="617"/>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cols>
    <col min="1" max="1" width="39.7109375" customWidth="1"/>
    <col min="2" max="2" width="16.140625" customWidth="1"/>
    <col min="3" max="3" width="13.140625" customWidth="1"/>
  </cols>
  <sheetData>
    <row r="6" spans="1:10">
      <c r="A6" s="430" t="s">
        <v>201</v>
      </c>
      <c r="B6" s="430"/>
      <c r="C6" s="430"/>
      <c r="D6" s="430"/>
      <c r="E6" s="430"/>
      <c r="F6" s="430"/>
      <c r="G6" s="430"/>
      <c r="H6" s="430"/>
      <c r="I6" s="430"/>
      <c r="J6" s="430"/>
    </row>
    <row r="7" spans="1:10">
      <c r="A7" s="430" t="s">
        <v>202</v>
      </c>
      <c r="B7" s="430"/>
      <c r="C7" s="430"/>
      <c r="D7" s="430"/>
      <c r="E7" s="430"/>
      <c r="F7" s="430"/>
      <c r="G7" s="430"/>
      <c r="H7" s="430"/>
      <c r="I7" s="430"/>
      <c r="J7" s="430"/>
    </row>
    <row r="8" spans="1:10">
      <c r="A8" s="430" t="s">
        <v>203</v>
      </c>
      <c r="B8" s="430"/>
      <c r="C8" s="430"/>
      <c r="D8" s="430"/>
      <c r="E8" s="430"/>
      <c r="F8" s="430"/>
      <c r="G8" s="430"/>
      <c r="H8" s="430"/>
      <c r="I8" s="430"/>
      <c r="J8" s="430"/>
    </row>
    <row r="9" spans="1:10">
      <c r="A9" s="430" t="s">
        <v>473</v>
      </c>
      <c r="B9" s="430"/>
      <c r="C9" s="430"/>
      <c r="D9" s="430"/>
      <c r="E9" s="430"/>
      <c r="F9" s="430"/>
      <c r="G9" s="430"/>
      <c r="H9" s="430"/>
      <c r="I9" s="430"/>
      <c r="J9" s="430"/>
    </row>
    <row r="11" spans="1:10">
      <c r="A11" s="13" t="s">
        <v>13</v>
      </c>
      <c r="B11" s="619" t="s">
        <v>85</v>
      </c>
      <c r="C11" s="619"/>
      <c r="D11" s="619"/>
      <c r="E11" s="619"/>
      <c r="F11" s="619"/>
      <c r="G11" s="619"/>
      <c r="H11" s="619"/>
      <c r="I11" s="619"/>
      <c r="J11" s="619"/>
    </row>
    <row r="12" spans="1:10">
      <c r="A12" s="13" t="s">
        <v>43</v>
      </c>
      <c r="B12" s="64">
        <f>SUM(B26,B40,B54,B68,B82,B96,B110)</f>
        <v>27.019178082191779</v>
      </c>
      <c r="C12" s="46"/>
      <c r="D12" s="46"/>
      <c r="E12" s="46"/>
      <c r="F12" s="46"/>
      <c r="G12" s="46"/>
      <c r="H12" s="46"/>
      <c r="I12" s="46"/>
      <c r="J12" s="46"/>
    </row>
    <row r="13" spans="1:10" ht="15.75" thickBot="1"/>
    <row r="14" spans="1:10">
      <c r="A14" s="9" t="s">
        <v>221</v>
      </c>
      <c r="B14" s="55" t="s">
        <v>28</v>
      </c>
      <c r="C14" s="55" t="s">
        <v>29</v>
      </c>
      <c r="D14" s="55" t="s">
        <v>30</v>
      </c>
      <c r="E14" s="55" t="s">
        <v>31</v>
      </c>
      <c r="F14" s="55"/>
      <c r="G14" s="55"/>
      <c r="H14" s="55"/>
      <c r="I14" s="55"/>
      <c r="J14" s="56"/>
    </row>
    <row r="15" spans="1:10">
      <c r="A15" s="21" t="s">
        <v>23</v>
      </c>
      <c r="B15" s="613" t="s">
        <v>89</v>
      </c>
      <c r="C15" s="588"/>
      <c r="D15" s="588"/>
      <c r="E15" s="614"/>
      <c r="F15" s="39"/>
      <c r="G15" s="43"/>
      <c r="H15" s="43"/>
      <c r="I15" s="43"/>
      <c r="J15" s="2"/>
    </row>
    <row r="16" spans="1:10" hidden="1">
      <c r="A16" s="21" t="s">
        <v>24</v>
      </c>
      <c r="B16" s="43" t="s">
        <v>95</v>
      </c>
      <c r="C16" s="43" t="s">
        <v>95</v>
      </c>
      <c r="D16" s="43" t="s">
        <v>95</v>
      </c>
      <c r="E16" s="43" t="s">
        <v>95</v>
      </c>
      <c r="F16" s="39"/>
      <c r="G16" s="43"/>
      <c r="H16" s="43"/>
      <c r="I16" s="43"/>
      <c r="J16" s="2"/>
    </row>
    <row r="17" spans="1:10" hidden="1">
      <c r="A17" s="21" t="s">
        <v>25</v>
      </c>
      <c r="B17" s="43" t="s">
        <v>93</v>
      </c>
      <c r="C17" s="43" t="s">
        <v>87</v>
      </c>
      <c r="D17" s="43" t="s">
        <v>94</v>
      </c>
      <c r="E17" s="43" t="s">
        <v>92</v>
      </c>
      <c r="F17" s="39"/>
      <c r="G17" s="43"/>
      <c r="H17" s="43"/>
      <c r="I17" s="43"/>
      <c r="J17" s="2"/>
    </row>
    <row r="18" spans="1:10" hidden="1">
      <c r="A18" s="21" t="s">
        <v>26</v>
      </c>
      <c r="B18" s="43" t="s">
        <v>88</v>
      </c>
      <c r="C18" s="43" t="s">
        <v>88</v>
      </c>
      <c r="D18" s="43" t="s">
        <v>88</v>
      </c>
      <c r="E18" s="43" t="s">
        <v>88</v>
      </c>
      <c r="F18" s="39"/>
      <c r="G18" s="43"/>
      <c r="H18" s="43"/>
      <c r="I18" s="43"/>
      <c r="J18" s="2"/>
    </row>
    <row r="19" spans="1:10">
      <c r="A19" s="21" t="s">
        <v>205</v>
      </c>
      <c r="B19" s="43"/>
      <c r="C19" s="43"/>
      <c r="D19" s="43"/>
      <c r="E19" s="43"/>
      <c r="F19" s="39"/>
      <c r="G19" s="43"/>
      <c r="H19" s="43"/>
      <c r="I19" s="43"/>
      <c r="J19" s="2"/>
    </row>
    <row r="20" spans="1:10" hidden="1">
      <c r="A20" s="21" t="s">
        <v>35</v>
      </c>
      <c r="B20" s="43"/>
      <c r="C20" s="43"/>
      <c r="D20" s="43"/>
      <c r="E20" s="43"/>
      <c r="F20" s="39"/>
      <c r="G20" s="43"/>
      <c r="H20" s="43"/>
      <c r="I20" s="43"/>
      <c r="J20" s="2"/>
    </row>
    <row r="21" spans="1:10" hidden="1">
      <c r="A21" s="21" t="s">
        <v>34</v>
      </c>
      <c r="B21" s="43"/>
      <c r="C21" s="43"/>
      <c r="D21" s="43"/>
      <c r="E21" s="43"/>
      <c r="F21" s="39"/>
      <c r="G21" s="43"/>
      <c r="H21" s="43"/>
      <c r="I21" s="43"/>
      <c r="J21" s="2"/>
    </row>
    <row r="22" spans="1:10">
      <c r="A22" s="21" t="s">
        <v>206</v>
      </c>
      <c r="B22" s="44">
        <v>39990</v>
      </c>
      <c r="C22" s="44">
        <v>40909</v>
      </c>
      <c r="D22" s="44">
        <v>41239</v>
      </c>
      <c r="E22" s="44">
        <v>38353</v>
      </c>
      <c r="F22" s="39"/>
      <c r="G22" s="43"/>
      <c r="H22" s="43"/>
      <c r="I22" s="43"/>
      <c r="J22" s="2"/>
    </row>
    <row r="23" spans="1:10">
      <c r="A23" s="21" t="s">
        <v>209</v>
      </c>
      <c r="B23" s="44">
        <v>40908</v>
      </c>
      <c r="C23" s="44">
        <v>41229</v>
      </c>
      <c r="D23" s="44">
        <v>41656</v>
      </c>
      <c r="E23" s="44">
        <v>39989</v>
      </c>
      <c r="F23" s="39"/>
      <c r="G23" s="43"/>
      <c r="H23" s="43"/>
      <c r="I23" s="43"/>
      <c r="J23" s="2"/>
    </row>
    <row r="24" spans="1:10">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c r="A25" s="4" t="s">
        <v>42</v>
      </c>
      <c r="B25" s="10">
        <v>1</v>
      </c>
      <c r="C25" s="11">
        <v>1</v>
      </c>
      <c r="D25" s="11">
        <v>1</v>
      </c>
      <c r="E25" s="11">
        <v>1</v>
      </c>
      <c r="F25" s="10"/>
      <c r="G25" s="11"/>
      <c r="H25" s="11"/>
      <c r="I25" s="11"/>
      <c r="J25" s="12"/>
    </row>
    <row r="26" spans="1:10" ht="15.75" thickBot="1">
      <c r="A26" s="8" t="s">
        <v>41</v>
      </c>
      <c r="B26" s="616">
        <f>MIN(SUMIFS(B24:J24,B25:J25,1),5)</f>
        <v>5</v>
      </c>
      <c r="C26" s="616"/>
      <c r="D26" s="616"/>
      <c r="E26" s="616"/>
      <c r="F26" s="616"/>
      <c r="G26" s="616"/>
      <c r="H26" s="616"/>
      <c r="I26" s="616"/>
      <c r="J26" s="617"/>
    </row>
    <row r="27" spans="1:10" ht="15.75" thickBot="1"/>
    <row r="28" spans="1:10">
      <c r="A28" s="9" t="s">
        <v>223</v>
      </c>
      <c r="B28" s="596" t="s">
        <v>28</v>
      </c>
      <c r="C28" s="615"/>
      <c r="D28" s="55" t="s">
        <v>29</v>
      </c>
      <c r="E28" s="55"/>
      <c r="F28" s="55"/>
      <c r="G28" s="55"/>
      <c r="H28" s="55"/>
      <c r="I28" s="55"/>
      <c r="J28" s="56"/>
    </row>
    <row r="29" spans="1:10">
      <c r="A29" s="1" t="s">
        <v>23</v>
      </c>
      <c r="B29" s="613" t="s">
        <v>91</v>
      </c>
      <c r="C29" s="588"/>
      <c r="D29" s="614"/>
      <c r="E29" s="43"/>
      <c r="F29" s="43"/>
      <c r="G29" s="43"/>
      <c r="H29" s="43"/>
      <c r="I29" s="43"/>
      <c r="J29" s="2"/>
    </row>
    <row r="30" spans="1:10" hidden="1">
      <c r="A30" s="1" t="s">
        <v>24</v>
      </c>
      <c r="B30" s="43" t="s">
        <v>95</v>
      </c>
      <c r="C30" s="43"/>
      <c r="D30" s="43" t="s">
        <v>95</v>
      </c>
      <c r="E30" s="43"/>
      <c r="F30" s="43"/>
      <c r="G30" s="43"/>
      <c r="H30" s="43"/>
      <c r="I30" s="43"/>
      <c r="J30" s="2"/>
    </row>
    <row r="31" spans="1:10" hidden="1">
      <c r="A31" s="1" t="s">
        <v>25</v>
      </c>
      <c r="B31" s="43" t="s">
        <v>87</v>
      </c>
      <c r="C31" s="43"/>
      <c r="D31" s="43" t="s">
        <v>94</v>
      </c>
      <c r="E31" s="43"/>
      <c r="F31" s="43"/>
      <c r="G31" s="43"/>
      <c r="H31" s="43"/>
      <c r="I31" s="43"/>
      <c r="J31" s="2"/>
    </row>
    <row r="32" spans="1:10" hidden="1">
      <c r="A32" s="1" t="s">
        <v>26</v>
      </c>
      <c r="B32" s="43" t="s">
        <v>90</v>
      </c>
      <c r="C32" s="43"/>
      <c r="D32" s="43" t="s">
        <v>90</v>
      </c>
      <c r="E32" s="43"/>
      <c r="F32" s="43"/>
      <c r="G32" s="43"/>
      <c r="H32" s="43"/>
      <c r="I32" s="43"/>
      <c r="J32" s="2"/>
    </row>
    <row r="33" spans="1:10">
      <c r="A33" s="1" t="s">
        <v>205</v>
      </c>
      <c r="B33" s="613"/>
      <c r="C33" s="614"/>
      <c r="D33" s="43"/>
      <c r="E33" s="43"/>
      <c r="F33" s="43"/>
      <c r="G33" s="43"/>
      <c r="H33" s="43"/>
      <c r="I33" s="43"/>
      <c r="J33" s="2"/>
    </row>
    <row r="34" spans="1:10" hidden="1">
      <c r="A34" s="1" t="s">
        <v>35</v>
      </c>
      <c r="B34" s="43"/>
      <c r="C34" s="43"/>
      <c r="D34" s="43"/>
      <c r="E34" s="43"/>
      <c r="F34" s="43"/>
      <c r="G34" s="43"/>
      <c r="H34" s="43"/>
      <c r="I34" s="43"/>
      <c r="J34" s="2"/>
    </row>
    <row r="35" spans="1:10" hidden="1">
      <c r="A35" s="1" t="s">
        <v>34</v>
      </c>
      <c r="B35" s="43"/>
      <c r="C35" s="43"/>
      <c r="D35" s="43"/>
      <c r="E35" s="43"/>
      <c r="F35" s="43"/>
      <c r="G35" s="43"/>
      <c r="H35" s="43"/>
      <c r="I35" s="43"/>
      <c r="J35" s="2"/>
    </row>
    <row r="36" spans="1:10">
      <c r="A36" s="1" t="s">
        <v>206</v>
      </c>
      <c r="B36" s="611">
        <v>40909</v>
      </c>
      <c r="C36" s="612"/>
      <c r="D36" s="44">
        <v>41239</v>
      </c>
      <c r="E36" s="43"/>
      <c r="F36" s="43"/>
      <c r="G36" s="43"/>
      <c r="H36" s="43"/>
      <c r="I36" s="43"/>
      <c r="J36" s="2"/>
    </row>
    <row r="37" spans="1:10">
      <c r="A37" s="1" t="s">
        <v>209</v>
      </c>
      <c r="B37" s="611">
        <v>41229</v>
      </c>
      <c r="C37" s="612"/>
      <c r="D37" s="44">
        <v>41656</v>
      </c>
      <c r="E37" s="43"/>
      <c r="F37" s="43"/>
      <c r="G37" s="43"/>
      <c r="H37" s="43"/>
      <c r="I37" s="43"/>
      <c r="J37" s="2"/>
    </row>
    <row r="38" spans="1:10">
      <c r="A38" s="1" t="s">
        <v>38</v>
      </c>
      <c r="B38" s="585">
        <f>(B37-B36)/365</f>
        <v>0.87671232876712324</v>
      </c>
      <c r="C38" s="586"/>
      <c r="D38" s="15">
        <f>(D37-D36)/365</f>
        <v>1.1424657534246576</v>
      </c>
      <c r="E38" s="43"/>
      <c r="F38" s="43"/>
      <c r="G38" s="43"/>
      <c r="H38" s="43"/>
      <c r="I38" s="43"/>
      <c r="J38" s="2"/>
    </row>
    <row r="39" spans="1:10" ht="15.75" thickBot="1">
      <c r="A39" s="4" t="s">
        <v>42</v>
      </c>
      <c r="B39" s="593">
        <v>1</v>
      </c>
      <c r="C39" s="618"/>
      <c r="D39" s="11">
        <v>1</v>
      </c>
      <c r="E39" s="11"/>
      <c r="F39" s="10"/>
      <c r="G39" s="11"/>
      <c r="H39" s="11"/>
      <c r="I39" s="11"/>
      <c r="J39" s="12"/>
    </row>
    <row r="40" spans="1:10" ht="15.75" thickBot="1">
      <c r="A40" s="8" t="s">
        <v>41</v>
      </c>
      <c r="B40" s="602">
        <f>B38+D38</f>
        <v>2.0191780821917806</v>
      </c>
      <c r="C40" s="616"/>
      <c r="D40" s="616"/>
      <c r="E40" s="616"/>
      <c r="F40" s="616"/>
      <c r="G40" s="616"/>
      <c r="H40" s="616"/>
      <c r="I40" s="616"/>
      <c r="J40" s="617"/>
    </row>
    <row r="41" spans="1:10" ht="15.75" thickBot="1"/>
    <row r="42" spans="1:10">
      <c r="A42" s="9" t="s">
        <v>193</v>
      </c>
      <c r="B42" s="596" t="s">
        <v>28</v>
      </c>
      <c r="C42" s="615"/>
      <c r="D42" s="55" t="s">
        <v>29</v>
      </c>
      <c r="E42" s="55"/>
      <c r="F42" s="55"/>
      <c r="G42" s="55"/>
      <c r="H42" s="55"/>
      <c r="I42" s="55"/>
      <c r="J42" s="56"/>
    </row>
    <row r="43" spans="1:10">
      <c r="A43" s="1" t="s">
        <v>23</v>
      </c>
      <c r="B43" s="613" t="s">
        <v>91</v>
      </c>
      <c r="C43" s="588"/>
      <c r="D43" s="614"/>
      <c r="E43" s="43"/>
      <c r="F43" s="43"/>
      <c r="G43" s="43"/>
      <c r="H43" s="43"/>
      <c r="I43" s="43"/>
      <c r="J43" s="2"/>
    </row>
    <row r="44" spans="1:10" hidden="1">
      <c r="A44" s="1" t="s">
        <v>24</v>
      </c>
      <c r="B44" s="43" t="s">
        <v>95</v>
      </c>
      <c r="C44" s="43"/>
      <c r="D44" s="43" t="s">
        <v>95</v>
      </c>
      <c r="E44" s="43"/>
      <c r="F44" s="43"/>
      <c r="G44" s="43"/>
      <c r="H44" s="43"/>
      <c r="I44" s="43"/>
      <c r="J44" s="2"/>
    </row>
    <row r="45" spans="1:10" hidden="1">
      <c r="A45" s="1" t="s">
        <v>25</v>
      </c>
      <c r="B45" s="43" t="s">
        <v>93</v>
      </c>
      <c r="C45" s="43"/>
      <c r="D45" s="43" t="s">
        <v>87</v>
      </c>
      <c r="E45" s="43"/>
      <c r="F45" s="43"/>
      <c r="G45" s="43"/>
      <c r="H45" s="43"/>
      <c r="I45" s="43"/>
      <c r="J45" s="2"/>
    </row>
    <row r="46" spans="1:10" hidden="1">
      <c r="A46" s="1" t="s">
        <v>26</v>
      </c>
      <c r="B46" s="43"/>
      <c r="C46" s="43"/>
      <c r="D46" s="43"/>
      <c r="E46" s="43"/>
      <c r="F46" s="43"/>
      <c r="G46" s="43"/>
      <c r="H46" s="43"/>
      <c r="I46" s="43"/>
      <c r="J46" s="2"/>
    </row>
    <row r="47" spans="1:10">
      <c r="A47" s="1" t="s">
        <v>205</v>
      </c>
      <c r="B47" s="613" t="s">
        <v>192</v>
      </c>
      <c r="C47" s="614"/>
      <c r="D47" s="43" t="s">
        <v>192</v>
      </c>
      <c r="E47" s="43"/>
      <c r="F47" s="43"/>
      <c r="G47" s="43"/>
      <c r="H47" s="43"/>
      <c r="I47" s="43"/>
      <c r="J47" s="2"/>
    </row>
    <row r="48" spans="1:10" hidden="1">
      <c r="A48" s="1" t="s">
        <v>35</v>
      </c>
      <c r="B48" s="43"/>
      <c r="C48" s="43"/>
      <c r="D48" s="43"/>
      <c r="E48" s="43"/>
      <c r="F48" s="43"/>
      <c r="G48" s="43"/>
      <c r="H48" s="43"/>
      <c r="I48" s="43"/>
      <c r="J48" s="2"/>
    </row>
    <row r="49" spans="1:10" hidden="1">
      <c r="A49" s="1" t="s">
        <v>34</v>
      </c>
      <c r="B49" s="43"/>
      <c r="C49" s="43"/>
      <c r="D49" s="43"/>
      <c r="E49" s="43"/>
      <c r="F49" s="43"/>
      <c r="G49" s="43"/>
      <c r="H49" s="43"/>
      <c r="I49" s="43"/>
      <c r="J49" s="2"/>
    </row>
    <row r="50" spans="1:10">
      <c r="A50" s="1" t="s">
        <v>208</v>
      </c>
      <c r="B50" s="611">
        <v>39990</v>
      </c>
      <c r="C50" s="612"/>
      <c r="D50" s="44">
        <v>40700</v>
      </c>
      <c r="E50" s="43"/>
      <c r="F50" s="43"/>
      <c r="G50" s="43"/>
      <c r="H50" s="43"/>
      <c r="I50" s="43"/>
      <c r="J50" s="2"/>
    </row>
    <row r="51" spans="1:10">
      <c r="A51" s="1" t="s">
        <v>209</v>
      </c>
      <c r="B51" s="611">
        <v>40699</v>
      </c>
      <c r="C51" s="612"/>
      <c r="D51" s="44">
        <v>41229</v>
      </c>
      <c r="E51" s="43"/>
      <c r="F51" s="43"/>
      <c r="G51" s="43"/>
      <c r="H51" s="43"/>
      <c r="I51" s="43"/>
      <c r="J51" s="2"/>
    </row>
    <row r="52" spans="1:10">
      <c r="A52" s="1" t="s">
        <v>38</v>
      </c>
      <c r="B52" s="585">
        <f>(B51-B50)/365</f>
        <v>1.9424657534246574</v>
      </c>
      <c r="C52" s="586"/>
      <c r="D52" s="15">
        <f>(D51-D50)/365</f>
        <v>1.4493150684931506</v>
      </c>
      <c r="E52" s="43"/>
      <c r="F52" s="43"/>
      <c r="G52" s="43"/>
      <c r="H52" s="43"/>
      <c r="I52" s="43"/>
      <c r="J52" s="2"/>
    </row>
    <row r="53" spans="1:10" ht="15.75" thickBot="1">
      <c r="A53" s="4" t="s">
        <v>42</v>
      </c>
      <c r="B53" s="593">
        <v>0</v>
      </c>
      <c r="C53" s="618"/>
      <c r="D53" s="11">
        <v>0</v>
      </c>
      <c r="E53" s="11"/>
      <c r="F53" s="10"/>
      <c r="G53" s="11"/>
      <c r="H53" s="11"/>
      <c r="I53" s="11"/>
      <c r="J53" s="12"/>
    </row>
    <row r="54" spans="1:10" ht="15.75" thickBot="1">
      <c r="A54" s="8" t="s">
        <v>41</v>
      </c>
      <c r="B54" s="602">
        <v>0</v>
      </c>
      <c r="C54" s="616"/>
      <c r="D54" s="616"/>
      <c r="E54" s="616"/>
      <c r="F54" s="616"/>
      <c r="G54" s="616"/>
      <c r="H54" s="616"/>
      <c r="I54" s="616"/>
      <c r="J54" s="617"/>
    </row>
    <row r="55" spans="1:10" ht="15.75" thickBot="1"/>
    <row r="56" spans="1:10">
      <c r="A56" s="9" t="s">
        <v>226</v>
      </c>
      <c r="B56" s="596" t="s">
        <v>28</v>
      </c>
      <c r="C56" s="615"/>
      <c r="D56" s="55" t="s">
        <v>29</v>
      </c>
      <c r="E56" s="55"/>
      <c r="F56" s="55"/>
      <c r="G56" s="55"/>
      <c r="H56" s="55"/>
      <c r="I56" s="55"/>
      <c r="J56" s="56"/>
    </row>
    <row r="57" spans="1:10">
      <c r="A57" s="1" t="s">
        <v>23</v>
      </c>
      <c r="B57" s="613" t="s">
        <v>256</v>
      </c>
      <c r="C57" s="588"/>
      <c r="D57" s="614"/>
      <c r="E57" s="43"/>
      <c r="F57" s="43"/>
      <c r="G57" s="43"/>
      <c r="H57" s="43"/>
      <c r="I57" s="43"/>
      <c r="J57" s="2"/>
    </row>
    <row r="58" spans="1:10" hidden="1">
      <c r="A58" s="1" t="s">
        <v>24</v>
      </c>
      <c r="B58" s="43" t="s">
        <v>95</v>
      </c>
      <c r="C58" s="43"/>
      <c r="D58" s="43" t="s">
        <v>95</v>
      </c>
      <c r="E58" s="43"/>
      <c r="F58" s="43"/>
      <c r="G58" s="43"/>
      <c r="H58" s="43"/>
      <c r="I58" s="43"/>
      <c r="J58" s="2"/>
    </row>
    <row r="59" spans="1:10" hidden="1">
      <c r="A59" s="1" t="s">
        <v>25</v>
      </c>
      <c r="B59" s="43" t="s">
        <v>92</v>
      </c>
      <c r="C59" s="43"/>
      <c r="D59" s="43" t="s">
        <v>94</v>
      </c>
      <c r="E59" s="43"/>
      <c r="F59" s="43"/>
      <c r="G59" s="43"/>
      <c r="H59" s="43"/>
      <c r="I59" s="43"/>
      <c r="J59" s="2"/>
    </row>
    <row r="60" spans="1:10" hidden="1">
      <c r="A60" s="1" t="s">
        <v>26</v>
      </c>
      <c r="B60" s="43" t="s">
        <v>96</v>
      </c>
      <c r="C60" s="43"/>
      <c r="D60" s="43" t="s">
        <v>96</v>
      </c>
      <c r="E60" s="43"/>
      <c r="F60" s="43"/>
      <c r="G60" s="43"/>
      <c r="H60" s="43"/>
      <c r="I60" s="43"/>
      <c r="J60" s="2"/>
    </row>
    <row r="61" spans="1:10">
      <c r="A61" s="1" t="s">
        <v>205</v>
      </c>
      <c r="B61" s="613" t="s">
        <v>194</v>
      </c>
      <c r="C61" s="588"/>
      <c r="D61" s="614"/>
      <c r="E61" s="43"/>
      <c r="F61" s="43"/>
      <c r="G61" s="43"/>
      <c r="H61" s="43"/>
      <c r="I61" s="43"/>
      <c r="J61" s="2"/>
    </row>
    <row r="62" spans="1:10" hidden="1">
      <c r="A62" s="1" t="s">
        <v>35</v>
      </c>
      <c r="B62" s="43"/>
      <c r="C62" s="43"/>
      <c r="D62" s="43"/>
      <c r="E62" s="43"/>
      <c r="F62" s="43"/>
      <c r="G62" s="43"/>
      <c r="H62" s="43"/>
      <c r="I62" s="43"/>
      <c r="J62" s="2"/>
    </row>
    <row r="63" spans="1:10" hidden="1">
      <c r="A63" s="1" t="s">
        <v>34</v>
      </c>
      <c r="B63" s="43"/>
      <c r="C63" s="43"/>
      <c r="D63" s="43"/>
      <c r="E63" s="43"/>
      <c r="F63" s="43"/>
      <c r="G63" s="43"/>
      <c r="H63" s="43"/>
      <c r="I63" s="43"/>
      <c r="J63" s="2"/>
    </row>
    <row r="64" spans="1:10">
      <c r="A64" s="1" t="s">
        <v>206</v>
      </c>
      <c r="B64" s="611">
        <v>38993</v>
      </c>
      <c r="C64" s="612"/>
      <c r="D64" s="44">
        <v>41239</v>
      </c>
      <c r="E64" s="43"/>
      <c r="F64" s="43"/>
      <c r="G64" s="43"/>
      <c r="H64" s="43"/>
      <c r="I64" s="43"/>
      <c r="J64" s="2"/>
    </row>
    <row r="65" spans="1:10">
      <c r="A65" s="1" t="s">
        <v>207</v>
      </c>
      <c r="B65" s="611">
        <v>41639</v>
      </c>
      <c r="C65" s="612"/>
      <c r="D65" s="44">
        <v>41656</v>
      </c>
      <c r="E65" s="43"/>
      <c r="F65" s="43"/>
      <c r="G65" s="43"/>
      <c r="H65" s="43"/>
      <c r="I65" s="43"/>
      <c r="J65" s="2"/>
    </row>
    <row r="66" spans="1:10">
      <c r="A66" s="1" t="s">
        <v>38</v>
      </c>
      <c r="B66" s="585">
        <f>(B65-B64)/365</f>
        <v>7.2493150684931509</v>
      </c>
      <c r="C66" s="586"/>
      <c r="D66" s="15">
        <f>(D65-D64)/365</f>
        <v>1.1424657534246576</v>
      </c>
      <c r="E66" s="43"/>
      <c r="F66" s="43"/>
      <c r="G66" s="43"/>
      <c r="H66" s="43"/>
      <c r="I66" s="43"/>
      <c r="J66" s="2"/>
    </row>
    <row r="67" spans="1:10" ht="15.75" thickBot="1">
      <c r="A67" s="4" t="s">
        <v>42</v>
      </c>
      <c r="B67" s="593">
        <v>1</v>
      </c>
      <c r="C67" s="618"/>
      <c r="D67" s="11">
        <v>1</v>
      </c>
      <c r="E67" s="11"/>
      <c r="F67" s="10"/>
      <c r="G67" s="11"/>
      <c r="H67" s="11"/>
      <c r="I67" s="11"/>
      <c r="J67" s="12"/>
    </row>
    <row r="68" spans="1:10" ht="15.75" thickBot="1">
      <c r="A68" s="8" t="s">
        <v>41</v>
      </c>
      <c r="B68" s="616">
        <f>MIN(SUMIFS(B66:J66,B67:J67,1),5)</f>
        <v>5</v>
      </c>
      <c r="C68" s="616"/>
      <c r="D68" s="616"/>
      <c r="E68" s="616"/>
      <c r="F68" s="616"/>
      <c r="G68" s="616"/>
      <c r="H68" s="616"/>
      <c r="I68" s="616"/>
      <c r="J68" s="617"/>
    </row>
    <row r="69" spans="1:10" ht="15.75" thickBot="1">
      <c r="A69" s="7"/>
      <c r="B69" s="25"/>
      <c r="C69" s="25"/>
      <c r="D69" s="25"/>
      <c r="E69" s="25"/>
      <c r="F69" s="25"/>
      <c r="G69" s="25"/>
      <c r="H69" s="25"/>
      <c r="I69" s="25"/>
      <c r="J69" s="26"/>
    </row>
    <row r="70" spans="1:10">
      <c r="A70" s="9" t="s">
        <v>225</v>
      </c>
      <c r="B70" s="596" t="s">
        <v>28</v>
      </c>
      <c r="C70" s="615"/>
      <c r="D70" s="55" t="s">
        <v>29</v>
      </c>
      <c r="E70" s="55"/>
      <c r="F70" s="55"/>
      <c r="G70" s="55"/>
      <c r="H70" s="55"/>
      <c r="I70" s="55"/>
      <c r="J70" s="56"/>
    </row>
    <row r="71" spans="1:10">
      <c r="A71" s="1" t="s">
        <v>23</v>
      </c>
      <c r="B71" s="613" t="s">
        <v>256</v>
      </c>
      <c r="C71" s="588"/>
      <c r="D71" s="614"/>
      <c r="E71" s="43"/>
      <c r="F71" s="43"/>
      <c r="G71" s="43"/>
      <c r="H71" s="43"/>
      <c r="I71" s="43"/>
      <c r="J71" s="2"/>
    </row>
    <row r="72" spans="1:10" hidden="1">
      <c r="A72" s="1" t="s">
        <v>24</v>
      </c>
      <c r="B72" s="43" t="s">
        <v>95</v>
      </c>
      <c r="C72" s="43"/>
      <c r="D72" s="43" t="s">
        <v>95</v>
      </c>
      <c r="E72" s="43"/>
      <c r="F72" s="43"/>
      <c r="G72" s="43"/>
      <c r="H72" s="43"/>
      <c r="I72" s="43"/>
      <c r="J72" s="2"/>
    </row>
    <row r="73" spans="1:10" hidden="1">
      <c r="A73" s="1" t="s">
        <v>25</v>
      </c>
      <c r="B73" s="43" t="s">
        <v>92</v>
      </c>
      <c r="C73" s="43"/>
      <c r="D73" s="43" t="s">
        <v>94</v>
      </c>
      <c r="E73" s="43"/>
      <c r="F73" s="43"/>
      <c r="G73" s="43"/>
      <c r="H73" s="43"/>
      <c r="I73" s="43"/>
      <c r="J73" s="2"/>
    </row>
    <row r="74" spans="1:10" hidden="1">
      <c r="A74" s="1" t="s">
        <v>26</v>
      </c>
      <c r="B74" s="43" t="s">
        <v>98</v>
      </c>
      <c r="C74" s="43"/>
      <c r="D74" s="43" t="s">
        <v>98</v>
      </c>
      <c r="E74" s="43"/>
      <c r="F74" s="43"/>
      <c r="G74" s="43"/>
      <c r="H74" s="43"/>
      <c r="I74" s="43"/>
      <c r="J74" s="2"/>
    </row>
    <row r="75" spans="1:10">
      <c r="A75" s="1" t="s">
        <v>205</v>
      </c>
      <c r="B75" s="613"/>
      <c r="C75" s="614"/>
      <c r="D75" s="43"/>
      <c r="E75" s="43"/>
      <c r="F75" s="43"/>
      <c r="G75" s="43"/>
      <c r="H75" s="43"/>
      <c r="I75" s="43"/>
      <c r="J75" s="2"/>
    </row>
    <row r="76" spans="1:10" hidden="1">
      <c r="A76" s="1" t="s">
        <v>35</v>
      </c>
      <c r="B76" s="43"/>
      <c r="C76" s="43"/>
      <c r="D76" s="43"/>
      <c r="E76" s="43"/>
      <c r="F76" s="43"/>
      <c r="G76" s="43"/>
      <c r="H76" s="43"/>
      <c r="I76" s="43"/>
      <c r="J76" s="2"/>
    </row>
    <row r="77" spans="1:10" hidden="1">
      <c r="A77" s="1" t="s">
        <v>34</v>
      </c>
      <c r="B77" s="43"/>
      <c r="C77" s="43"/>
      <c r="D77" s="43"/>
      <c r="E77" s="43"/>
      <c r="F77" s="43"/>
      <c r="G77" s="43"/>
      <c r="H77" s="43"/>
      <c r="I77" s="43"/>
      <c r="J77" s="2"/>
    </row>
    <row r="78" spans="1:10">
      <c r="A78" s="1" t="s">
        <v>206</v>
      </c>
      <c r="B78" s="611">
        <v>38353</v>
      </c>
      <c r="C78" s="612"/>
      <c r="D78" s="44">
        <v>41239</v>
      </c>
      <c r="E78" s="43"/>
      <c r="F78" s="43"/>
      <c r="G78" s="43"/>
      <c r="H78" s="43"/>
      <c r="I78" s="43"/>
      <c r="J78" s="2"/>
    </row>
    <row r="79" spans="1:10">
      <c r="A79" s="1" t="s">
        <v>209</v>
      </c>
      <c r="B79" s="611">
        <v>40699</v>
      </c>
      <c r="C79" s="612"/>
      <c r="D79" s="44">
        <v>41656</v>
      </c>
      <c r="E79" s="43"/>
      <c r="F79" s="43"/>
      <c r="G79" s="43"/>
      <c r="H79" s="43"/>
      <c r="I79" s="43"/>
      <c r="J79" s="2"/>
    </row>
    <row r="80" spans="1:10">
      <c r="A80" s="1" t="s">
        <v>38</v>
      </c>
      <c r="B80" s="585">
        <f>(B79-B78)/365</f>
        <v>6.4273972602739722</v>
      </c>
      <c r="C80" s="586"/>
      <c r="D80" s="15">
        <f>(D79-D78)/365</f>
        <v>1.1424657534246576</v>
      </c>
      <c r="E80" s="43"/>
      <c r="F80" s="43"/>
      <c r="G80" s="43"/>
      <c r="H80" s="43"/>
      <c r="I80" s="43"/>
      <c r="J80" s="2"/>
    </row>
    <row r="81" spans="1:10" ht="15.75" thickBot="1">
      <c r="A81" s="4" t="s">
        <v>42</v>
      </c>
      <c r="B81" s="593">
        <v>1</v>
      </c>
      <c r="C81" s="618"/>
      <c r="D81" s="11">
        <v>1</v>
      </c>
      <c r="E81" s="11"/>
      <c r="F81" s="10"/>
      <c r="G81" s="11"/>
      <c r="H81" s="11"/>
      <c r="I81" s="11"/>
      <c r="J81" s="12"/>
    </row>
    <row r="82" spans="1:10" ht="15.75" thickBot="1">
      <c r="A82" s="8" t="s">
        <v>41</v>
      </c>
      <c r="B82" s="616">
        <f>MIN(SUMIFS(B80:J80,B81:J81,1),5)</f>
        <v>5</v>
      </c>
      <c r="C82" s="616"/>
      <c r="D82" s="616"/>
      <c r="E82" s="616"/>
      <c r="F82" s="616"/>
      <c r="G82" s="616"/>
      <c r="H82" s="616"/>
      <c r="I82" s="616"/>
      <c r="J82" s="617"/>
    </row>
    <row r="83" spans="1:10" ht="15.75" thickBot="1"/>
    <row r="84" spans="1:10">
      <c r="A84" s="9" t="s">
        <v>229</v>
      </c>
      <c r="B84" s="55" t="s">
        <v>28</v>
      </c>
      <c r="C84" s="55" t="s">
        <v>29</v>
      </c>
      <c r="D84" s="55" t="s">
        <v>30</v>
      </c>
      <c r="E84" s="55" t="s">
        <v>31</v>
      </c>
      <c r="F84" s="596" t="s">
        <v>32</v>
      </c>
      <c r="G84" s="615"/>
      <c r="H84" s="55" t="s">
        <v>33</v>
      </c>
      <c r="I84" s="55"/>
      <c r="J84" s="56"/>
    </row>
    <row r="85" spans="1:10">
      <c r="A85" s="1" t="s">
        <v>23</v>
      </c>
      <c r="B85" s="43" t="s">
        <v>102</v>
      </c>
      <c r="C85" s="43" t="s">
        <v>100</v>
      </c>
      <c r="D85" s="43" t="s">
        <v>101</v>
      </c>
      <c r="E85" s="43" t="s">
        <v>101</v>
      </c>
      <c r="F85" s="613" t="s">
        <v>256</v>
      </c>
      <c r="G85" s="588"/>
      <c r="H85" s="614"/>
      <c r="I85" s="43"/>
      <c r="J85" s="2"/>
    </row>
    <row r="86" spans="1:10" hidden="1">
      <c r="A86" s="1" t="s">
        <v>24</v>
      </c>
      <c r="B86" s="43"/>
      <c r="C86" s="43"/>
      <c r="D86" s="43"/>
      <c r="E86" s="43"/>
      <c r="F86" s="43" t="s">
        <v>95</v>
      </c>
      <c r="G86" s="43"/>
      <c r="H86" s="43" t="s">
        <v>95</v>
      </c>
      <c r="I86" s="43"/>
      <c r="J86" s="2"/>
    </row>
    <row r="87" spans="1:10" hidden="1">
      <c r="A87" s="1" t="s">
        <v>25</v>
      </c>
      <c r="B87" s="43"/>
      <c r="C87" s="43"/>
      <c r="D87" s="43"/>
      <c r="E87" s="43"/>
      <c r="F87" s="43" t="s">
        <v>87</v>
      </c>
      <c r="G87" s="43"/>
      <c r="H87" s="43" t="s">
        <v>94</v>
      </c>
      <c r="I87" s="43"/>
      <c r="J87" s="2"/>
    </row>
    <row r="88" spans="1:10" hidden="1">
      <c r="A88" s="1" t="s">
        <v>26</v>
      </c>
      <c r="B88" s="43" t="s">
        <v>99</v>
      </c>
      <c r="C88" s="43" t="s">
        <v>99</v>
      </c>
      <c r="D88" s="43" t="s">
        <v>99</v>
      </c>
      <c r="E88" s="43" t="s">
        <v>99</v>
      </c>
      <c r="F88" s="43" t="s">
        <v>99</v>
      </c>
      <c r="G88" s="43"/>
      <c r="H88" s="43" t="s">
        <v>99</v>
      </c>
      <c r="I88" s="43"/>
      <c r="J88" s="2"/>
    </row>
    <row r="89" spans="1:10">
      <c r="A89" s="1" t="s">
        <v>210</v>
      </c>
      <c r="B89" s="43"/>
      <c r="C89" s="43"/>
      <c r="D89" s="43"/>
      <c r="E89" s="43"/>
      <c r="F89" s="613"/>
      <c r="G89" s="614"/>
      <c r="H89" s="43"/>
      <c r="I89" s="43"/>
      <c r="J89" s="2"/>
    </row>
    <row r="90" spans="1:10" hidden="1">
      <c r="A90" s="1" t="s">
        <v>35</v>
      </c>
      <c r="B90" s="43"/>
      <c r="C90" s="43"/>
      <c r="D90" s="43"/>
      <c r="E90" s="43"/>
      <c r="F90" s="43"/>
      <c r="G90" s="43"/>
      <c r="H90" s="43"/>
      <c r="I90" s="43"/>
      <c r="J90" s="2"/>
    </row>
    <row r="91" spans="1:10" hidden="1">
      <c r="A91" s="1" t="s">
        <v>34</v>
      </c>
      <c r="B91" s="43"/>
      <c r="C91" s="43"/>
      <c r="D91" s="43"/>
      <c r="E91" s="43"/>
      <c r="F91" s="43"/>
      <c r="G91" s="43"/>
      <c r="H91" s="43"/>
      <c r="I91" s="43"/>
      <c r="J91" s="2"/>
    </row>
    <row r="92" spans="1:10">
      <c r="A92" s="1" t="s">
        <v>206</v>
      </c>
      <c r="B92" s="44">
        <v>35187</v>
      </c>
      <c r="C92" s="44">
        <v>37690</v>
      </c>
      <c r="D92" s="44">
        <v>37332</v>
      </c>
      <c r="E92" s="44">
        <v>37557</v>
      </c>
      <c r="F92" s="611">
        <v>40909</v>
      </c>
      <c r="G92" s="612"/>
      <c r="H92" s="44">
        <v>41239</v>
      </c>
      <c r="I92" s="43"/>
      <c r="J92" s="2"/>
    </row>
    <row r="93" spans="1:10">
      <c r="A93" s="1" t="s">
        <v>209</v>
      </c>
      <c r="B93" s="44">
        <v>36433</v>
      </c>
      <c r="C93" s="44">
        <v>37955</v>
      </c>
      <c r="D93" s="44">
        <v>37485</v>
      </c>
      <c r="E93" s="44">
        <v>37680</v>
      </c>
      <c r="F93" s="611">
        <v>41229</v>
      </c>
      <c r="G93" s="612"/>
      <c r="H93" s="44">
        <v>41656</v>
      </c>
      <c r="I93" s="43"/>
      <c r="J93" s="2"/>
    </row>
    <row r="94" spans="1:10">
      <c r="A94" s="1" t="s">
        <v>38</v>
      </c>
      <c r="B94" s="24">
        <f>(B93-B92)/365</f>
        <v>3.4136986301369863</v>
      </c>
      <c r="C94" s="24">
        <f>(C93-C92)/365</f>
        <v>0.72602739726027399</v>
      </c>
      <c r="D94" s="24">
        <f>(D93-D92)/365</f>
        <v>0.41917808219178082</v>
      </c>
      <c r="E94" s="24">
        <f>(E93-E92)/365</f>
        <v>0.33698630136986302</v>
      </c>
      <c r="F94" s="620">
        <f>(F93-F92)/365</f>
        <v>0.87671232876712324</v>
      </c>
      <c r="G94" s="621"/>
      <c r="H94" s="24">
        <f>(H93-H92)/365</f>
        <v>1.1424657534246576</v>
      </c>
      <c r="I94" s="43"/>
      <c r="J94" s="2"/>
    </row>
    <row r="95" spans="1:10" ht="15.75" thickBot="1">
      <c r="A95" s="4" t="s">
        <v>42</v>
      </c>
      <c r="B95" s="10">
        <v>1</v>
      </c>
      <c r="C95" s="11">
        <v>1</v>
      </c>
      <c r="D95" s="11">
        <v>1</v>
      </c>
      <c r="E95" s="11">
        <v>1</v>
      </c>
      <c r="F95" s="593">
        <v>1</v>
      </c>
      <c r="G95" s="618"/>
      <c r="H95" s="11">
        <v>1</v>
      </c>
      <c r="I95" s="11"/>
      <c r="J95" s="12"/>
    </row>
    <row r="96" spans="1:10" ht="15.75" thickBot="1">
      <c r="A96" s="8" t="s">
        <v>41</v>
      </c>
      <c r="B96" s="616">
        <f>MIN(SUMIFS(B94:J94,B95:J95,1),5)</f>
        <v>5</v>
      </c>
      <c r="C96" s="616"/>
      <c r="D96" s="616"/>
      <c r="E96" s="616"/>
      <c r="F96" s="616"/>
      <c r="G96" s="616"/>
      <c r="H96" s="616"/>
      <c r="I96" s="616"/>
      <c r="J96" s="617"/>
    </row>
    <row r="97" spans="1:10" ht="15.75" thickBot="1"/>
    <row r="98" spans="1:10">
      <c r="A98" s="9" t="s">
        <v>228</v>
      </c>
      <c r="B98" s="596" t="s">
        <v>28</v>
      </c>
      <c r="C98" s="597"/>
      <c r="D98" s="615"/>
      <c r="E98" s="55"/>
      <c r="F98" s="55"/>
      <c r="G98" s="55"/>
      <c r="H98" s="55"/>
      <c r="I98" s="55"/>
      <c r="J98" s="56"/>
    </row>
    <row r="99" spans="1:10">
      <c r="A99" s="3" t="s">
        <v>23</v>
      </c>
      <c r="B99" s="613" t="s">
        <v>89</v>
      </c>
      <c r="C99" s="588"/>
      <c r="D99" s="614"/>
      <c r="E99" s="43"/>
      <c r="F99" s="43"/>
      <c r="G99" s="43"/>
      <c r="H99" s="43"/>
      <c r="I99" s="43"/>
      <c r="J99" s="2"/>
    </row>
    <row r="100" spans="1:10" hidden="1">
      <c r="A100" s="1" t="s">
        <v>24</v>
      </c>
      <c r="B100" s="43" t="s">
        <v>95</v>
      </c>
      <c r="C100" s="43"/>
      <c r="D100" s="43"/>
      <c r="E100" s="43"/>
      <c r="F100" s="43"/>
      <c r="G100" s="43"/>
      <c r="H100" s="43"/>
      <c r="I100" s="43"/>
      <c r="J100" s="2"/>
    </row>
    <row r="101" spans="1:10" hidden="1">
      <c r="A101" s="1" t="s">
        <v>25</v>
      </c>
      <c r="B101" s="43" t="s">
        <v>92</v>
      </c>
      <c r="C101" s="43"/>
      <c r="D101" s="43"/>
      <c r="E101" s="43"/>
      <c r="F101" s="43"/>
      <c r="G101" s="43"/>
      <c r="H101" s="43"/>
      <c r="I101" s="43"/>
      <c r="J101" s="2"/>
    </row>
    <row r="102" spans="1:10" hidden="1">
      <c r="A102" s="21" t="s">
        <v>26</v>
      </c>
      <c r="B102" s="43" t="s">
        <v>103</v>
      </c>
      <c r="C102" s="43"/>
      <c r="D102" s="43"/>
      <c r="E102" s="43"/>
      <c r="F102" s="43"/>
      <c r="G102" s="43"/>
      <c r="H102" s="43"/>
      <c r="I102" s="43"/>
      <c r="J102" s="2"/>
    </row>
    <row r="103" spans="1:10">
      <c r="A103" s="1" t="s">
        <v>205</v>
      </c>
      <c r="B103" s="613"/>
      <c r="C103" s="588"/>
      <c r="D103" s="614"/>
      <c r="E103" s="43"/>
      <c r="F103" s="43"/>
      <c r="G103" s="43"/>
      <c r="H103" s="43"/>
      <c r="I103" s="43"/>
      <c r="J103" s="2"/>
    </row>
    <row r="104" spans="1:10" hidden="1">
      <c r="A104" s="1" t="s">
        <v>35</v>
      </c>
      <c r="B104" s="43"/>
      <c r="C104" s="43"/>
      <c r="D104" s="43"/>
      <c r="E104" s="43"/>
      <c r="F104" s="43"/>
      <c r="G104" s="43"/>
      <c r="H104" s="43"/>
      <c r="I104" s="43"/>
      <c r="J104" s="2"/>
    </row>
    <row r="105" spans="1:10" hidden="1">
      <c r="A105" s="1" t="s">
        <v>34</v>
      </c>
      <c r="B105" s="43"/>
      <c r="C105" s="43"/>
      <c r="D105" s="43"/>
      <c r="E105" s="43"/>
      <c r="F105" s="43"/>
      <c r="G105" s="43"/>
      <c r="H105" s="43"/>
      <c r="I105" s="43"/>
      <c r="J105" s="2"/>
    </row>
    <row r="106" spans="1:10">
      <c r="A106" s="1" t="s">
        <v>206</v>
      </c>
      <c r="B106" s="611">
        <v>38353</v>
      </c>
      <c r="C106" s="600"/>
      <c r="D106" s="612"/>
      <c r="E106" s="43"/>
      <c r="F106" s="43"/>
      <c r="G106" s="43"/>
      <c r="H106" s="43"/>
      <c r="I106" s="43"/>
      <c r="J106" s="2"/>
    </row>
    <row r="107" spans="1:10">
      <c r="A107" s="1" t="s">
        <v>207</v>
      </c>
      <c r="B107" s="611">
        <v>40724</v>
      </c>
      <c r="C107" s="600"/>
      <c r="D107" s="612"/>
      <c r="E107" s="43"/>
      <c r="F107" s="43"/>
      <c r="G107" s="43"/>
      <c r="H107" s="43"/>
      <c r="I107" s="43"/>
      <c r="J107" s="2"/>
    </row>
    <row r="108" spans="1:10">
      <c r="A108" s="1" t="s">
        <v>38</v>
      </c>
      <c r="B108" s="613">
        <f>(B107-B106)/365</f>
        <v>6.4958904109589044</v>
      </c>
      <c r="C108" s="588"/>
      <c r="D108" s="614"/>
      <c r="E108" s="43"/>
      <c r="F108" s="43"/>
      <c r="G108" s="43"/>
      <c r="H108" s="43"/>
      <c r="I108" s="43"/>
      <c r="J108" s="2"/>
    </row>
    <row r="109" spans="1:10" ht="15.75" thickBot="1">
      <c r="A109" s="4" t="s">
        <v>42</v>
      </c>
      <c r="B109" s="593">
        <v>1</v>
      </c>
      <c r="C109" s="594"/>
      <c r="D109" s="618"/>
      <c r="E109" s="11"/>
      <c r="F109" s="10"/>
      <c r="G109" s="11"/>
      <c r="H109" s="11"/>
      <c r="I109" s="11"/>
      <c r="J109" s="12"/>
    </row>
    <row r="110" spans="1:10" ht="15.75" thickBot="1">
      <c r="A110" s="8" t="s">
        <v>41</v>
      </c>
      <c r="B110" s="616">
        <f>MIN(SUMIFS(B108:J108,B109:J109,1),5)</f>
        <v>5</v>
      </c>
      <c r="C110" s="616"/>
      <c r="D110" s="616"/>
      <c r="E110" s="616"/>
      <c r="F110" s="616"/>
      <c r="G110" s="616"/>
      <c r="H110" s="616"/>
      <c r="I110" s="616"/>
      <c r="J110" s="617"/>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cols>
    <col min="1" max="1" width="41.140625" customWidth="1"/>
  </cols>
  <sheetData>
    <row r="6" spans="1:10">
      <c r="A6" s="430" t="s">
        <v>201</v>
      </c>
      <c r="B6" s="430"/>
      <c r="C6" s="430"/>
      <c r="D6" s="430"/>
      <c r="E6" s="430"/>
      <c r="F6" s="430"/>
      <c r="G6" s="430"/>
      <c r="H6" s="430"/>
      <c r="I6" s="430"/>
      <c r="J6" s="430"/>
    </row>
    <row r="7" spans="1:10">
      <c r="A7" s="430" t="s">
        <v>202</v>
      </c>
      <c r="B7" s="430"/>
      <c r="C7" s="430"/>
      <c r="D7" s="430"/>
      <c r="E7" s="430"/>
      <c r="F7" s="430"/>
      <c r="G7" s="430"/>
      <c r="H7" s="430"/>
      <c r="I7" s="430"/>
      <c r="J7" s="430"/>
    </row>
    <row r="8" spans="1:10">
      <c r="A8" s="430" t="s">
        <v>203</v>
      </c>
      <c r="B8" s="430"/>
      <c r="C8" s="430"/>
      <c r="D8" s="430"/>
      <c r="E8" s="430"/>
      <c r="F8" s="430"/>
      <c r="G8" s="430"/>
      <c r="H8" s="430"/>
      <c r="I8" s="430"/>
      <c r="J8" s="430"/>
    </row>
    <row r="9" spans="1:10">
      <c r="A9" s="430" t="s">
        <v>473</v>
      </c>
      <c r="B9" s="430"/>
      <c r="C9" s="430"/>
      <c r="D9" s="430"/>
      <c r="E9" s="430"/>
      <c r="F9" s="430"/>
      <c r="G9" s="430"/>
      <c r="H9" s="430"/>
      <c r="I9" s="430"/>
      <c r="J9" s="430"/>
    </row>
    <row r="11" spans="1:10">
      <c r="A11" s="13" t="s">
        <v>13</v>
      </c>
      <c r="B11" s="619" t="s">
        <v>195</v>
      </c>
      <c r="C11" s="619"/>
      <c r="D11" s="619"/>
      <c r="E11" s="619"/>
      <c r="F11" s="619"/>
      <c r="G11" s="619"/>
      <c r="H11" s="619"/>
      <c r="I11" s="619"/>
      <c r="J11" s="619"/>
    </row>
    <row r="12" spans="1:10">
      <c r="A12" s="13" t="s">
        <v>43</v>
      </c>
      <c r="B12" s="64">
        <f>SUM(B26,B40,B54,B68,B82,B96,B110)</f>
        <v>22.358904109589041</v>
      </c>
      <c r="C12" s="46"/>
      <c r="D12" s="46"/>
      <c r="E12" s="46"/>
      <c r="F12" s="46"/>
      <c r="G12" s="46"/>
      <c r="H12" s="46"/>
      <c r="I12" s="46"/>
      <c r="J12" s="46"/>
    </row>
    <row r="13" spans="1:10" ht="15.75" thickBot="1"/>
    <row r="14" spans="1:10">
      <c r="A14" s="9" t="s">
        <v>221</v>
      </c>
      <c r="B14" s="596" t="s">
        <v>28</v>
      </c>
      <c r="C14" s="597"/>
      <c r="D14" s="615"/>
      <c r="E14" s="55"/>
      <c r="F14" s="55"/>
      <c r="G14" s="55"/>
      <c r="H14" s="55"/>
      <c r="I14" s="55"/>
      <c r="J14" s="56"/>
    </row>
    <row r="15" spans="1:10">
      <c r="A15" s="1" t="s">
        <v>23</v>
      </c>
      <c r="B15" s="613" t="s">
        <v>120</v>
      </c>
      <c r="C15" s="588"/>
      <c r="D15" s="614"/>
      <c r="E15" s="43"/>
      <c r="F15" s="43"/>
      <c r="G15" s="43"/>
      <c r="H15" s="43"/>
      <c r="I15" s="43"/>
      <c r="J15" s="2"/>
    </row>
    <row r="16" spans="1:10">
      <c r="A16" s="1" t="s">
        <v>24</v>
      </c>
      <c r="B16" s="3" t="s">
        <v>121</v>
      </c>
      <c r="C16" s="43"/>
      <c r="D16" s="43"/>
      <c r="E16" s="43"/>
      <c r="F16" s="43"/>
      <c r="G16" s="43"/>
      <c r="H16" s="43"/>
      <c r="I16" s="43"/>
      <c r="J16" s="2"/>
    </row>
    <row r="17" spans="1:10">
      <c r="A17" s="1" t="s">
        <v>25</v>
      </c>
      <c r="B17" s="43" t="s">
        <v>122</v>
      </c>
      <c r="C17" s="43"/>
      <c r="D17" s="43"/>
      <c r="E17" s="43"/>
      <c r="F17" s="43"/>
      <c r="G17" s="43"/>
      <c r="H17" s="43"/>
      <c r="I17" s="43"/>
      <c r="J17" s="2"/>
    </row>
    <row r="18" spans="1:10">
      <c r="A18" s="1" t="s">
        <v>26</v>
      </c>
      <c r="B18" s="1" t="s">
        <v>123</v>
      </c>
      <c r="C18" s="43"/>
      <c r="D18" s="43"/>
      <c r="E18" s="43"/>
      <c r="F18" s="43"/>
      <c r="G18" s="43"/>
      <c r="H18" s="43"/>
      <c r="I18" s="43"/>
      <c r="J18" s="2"/>
    </row>
    <row r="19" spans="1:10">
      <c r="A19" s="1" t="s">
        <v>205</v>
      </c>
      <c r="B19" s="613" t="s">
        <v>471</v>
      </c>
      <c r="C19" s="588"/>
      <c r="D19" s="614"/>
      <c r="E19" s="43"/>
      <c r="F19" s="43"/>
      <c r="G19" s="43"/>
      <c r="H19" s="43"/>
      <c r="I19" s="43"/>
      <c r="J19" s="2"/>
    </row>
    <row r="20" spans="1:10">
      <c r="A20" s="1" t="s">
        <v>35</v>
      </c>
      <c r="B20" s="44">
        <v>37316</v>
      </c>
      <c r="C20" s="43"/>
      <c r="D20" s="43"/>
      <c r="E20" s="43"/>
      <c r="F20" s="43"/>
      <c r="G20" s="43"/>
      <c r="H20" s="43"/>
      <c r="I20" s="43"/>
      <c r="J20" s="2"/>
    </row>
    <row r="21" spans="1:10">
      <c r="A21" s="1" t="s">
        <v>34</v>
      </c>
      <c r="B21" s="44">
        <v>39445</v>
      </c>
      <c r="C21" s="43"/>
      <c r="D21" s="43"/>
      <c r="E21" s="43"/>
      <c r="F21" s="43"/>
      <c r="G21" s="43"/>
      <c r="H21" s="43"/>
      <c r="I21" s="43"/>
      <c r="J21" s="2"/>
    </row>
    <row r="22" spans="1:10">
      <c r="A22" s="1" t="s">
        <v>208</v>
      </c>
      <c r="B22" s="611">
        <v>37316</v>
      </c>
      <c r="C22" s="600"/>
      <c r="D22" s="612"/>
      <c r="E22" s="43"/>
      <c r="F22" s="43"/>
      <c r="G22" s="43"/>
      <c r="H22" s="43"/>
      <c r="I22" s="43"/>
      <c r="J22" s="2"/>
    </row>
    <row r="23" spans="1:10">
      <c r="A23" s="1" t="s">
        <v>209</v>
      </c>
      <c r="B23" s="611">
        <v>39445</v>
      </c>
      <c r="C23" s="600"/>
      <c r="D23" s="612"/>
      <c r="E23" s="43"/>
      <c r="F23" s="43"/>
      <c r="G23" s="43"/>
      <c r="H23" s="43"/>
      <c r="I23" s="43"/>
      <c r="J23" s="2"/>
    </row>
    <row r="24" spans="1:10">
      <c r="A24" s="1" t="s">
        <v>38</v>
      </c>
      <c r="B24" s="585">
        <f>((B23-B22)/365)-4</f>
        <v>1.8328767123287673</v>
      </c>
      <c r="C24" s="591"/>
      <c r="D24" s="586"/>
      <c r="E24" s="43"/>
      <c r="F24" s="43"/>
      <c r="G24" s="43"/>
      <c r="H24" s="43"/>
      <c r="I24" s="43"/>
      <c r="J24" s="2"/>
    </row>
    <row r="25" spans="1:10" ht="15.75" thickBot="1">
      <c r="A25" s="4" t="s">
        <v>42</v>
      </c>
      <c r="B25" s="593">
        <v>1</v>
      </c>
      <c r="C25" s="594"/>
      <c r="D25" s="618"/>
      <c r="E25" s="11"/>
      <c r="F25" s="10"/>
      <c r="G25" s="11"/>
      <c r="H25" s="11"/>
      <c r="I25" s="11"/>
      <c r="J25" s="12"/>
    </row>
    <row r="26" spans="1:10" ht="15.75" thickBot="1">
      <c r="A26" s="8" t="s">
        <v>41</v>
      </c>
      <c r="B26" s="602">
        <f>B24</f>
        <v>1.8328767123287673</v>
      </c>
      <c r="C26" s="616"/>
      <c r="D26" s="616"/>
      <c r="E26" s="616"/>
      <c r="F26" s="616"/>
      <c r="G26" s="616"/>
      <c r="H26" s="616"/>
      <c r="I26" s="616"/>
      <c r="J26" s="617"/>
    </row>
    <row r="27" spans="1:10" ht="15.75" thickBot="1">
      <c r="A27" s="45"/>
      <c r="B27" s="17"/>
      <c r="C27" s="17"/>
      <c r="D27" s="17"/>
      <c r="E27" s="17"/>
      <c r="F27" s="17"/>
      <c r="G27" s="17"/>
      <c r="H27" s="17"/>
      <c r="I27" s="17"/>
      <c r="J27" s="17"/>
    </row>
    <row r="28" spans="1:10">
      <c r="A28" s="9" t="s">
        <v>230</v>
      </c>
      <c r="B28" s="596" t="s">
        <v>28</v>
      </c>
      <c r="C28" s="615"/>
      <c r="D28" s="55"/>
      <c r="E28" s="55"/>
      <c r="F28" s="55"/>
      <c r="G28" s="55"/>
      <c r="H28" s="55"/>
      <c r="I28" s="55"/>
      <c r="J28" s="56"/>
    </row>
    <row r="29" spans="1:10">
      <c r="A29" s="21" t="s">
        <v>23</v>
      </c>
      <c r="B29" s="613" t="s">
        <v>126</v>
      </c>
      <c r="C29" s="614"/>
      <c r="D29" s="43"/>
      <c r="E29" s="43"/>
      <c r="F29" s="43"/>
      <c r="G29" s="43"/>
      <c r="H29" s="43"/>
      <c r="I29" s="43"/>
      <c r="J29" s="2"/>
    </row>
    <row r="30" spans="1:10">
      <c r="A30" s="21" t="s">
        <v>24</v>
      </c>
      <c r="B30" s="43" t="s">
        <v>127</v>
      </c>
      <c r="C30" s="43"/>
      <c r="D30" s="43"/>
      <c r="E30" s="43"/>
      <c r="F30" s="43"/>
      <c r="G30" s="43"/>
      <c r="H30" s="43"/>
      <c r="I30" s="43"/>
      <c r="J30" s="2"/>
    </row>
    <row r="31" spans="1:10">
      <c r="A31" s="21" t="s">
        <v>25</v>
      </c>
      <c r="B31" s="43" t="s">
        <v>128</v>
      </c>
      <c r="C31" s="43"/>
      <c r="D31" s="43"/>
      <c r="E31" s="43"/>
      <c r="F31" s="43"/>
      <c r="G31" s="43"/>
      <c r="H31" s="43"/>
      <c r="I31" s="43"/>
      <c r="J31" s="2"/>
    </row>
    <row r="32" spans="1:10">
      <c r="A32" s="21" t="s">
        <v>26</v>
      </c>
      <c r="B32" s="43" t="s">
        <v>129</v>
      </c>
      <c r="C32" s="43"/>
      <c r="D32" s="43"/>
      <c r="E32" s="43"/>
      <c r="F32" s="43"/>
      <c r="G32" s="43"/>
      <c r="H32" s="43"/>
      <c r="I32" s="43"/>
      <c r="J32" s="2"/>
    </row>
    <row r="33" spans="1:10">
      <c r="A33" s="21" t="s">
        <v>27</v>
      </c>
      <c r="B33" s="613" t="s">
        <v>124</v>
      </c>
      <c r="C33" s="614"/>
      <c r="D33" s="43"/>
      <c r="E33" s="43"/>
      <c r="F33" s="43"/>
      <c r="G33" s="43"/>
      <c r="H33" s="43"/>
      <c r="I33" s="43"/>
      <c r="J33" s="2"/>
    </row>
    <row r="34" spans="1:10">
      <c r="A34" s="21" t="s">
        <v>35</v>
      </c>
      <c r="B34" s="44">
        <v>34196</v>
      </c>
      <c r="C34" s="43"/>
      <c r="D34" s="43"/>
      <c r="E34" s="43"/>
      <c r="F34" s="43"/>
      <c r="G34" s="43"/>
      <c r="H34" s="43"/>
      <c r="I34" s="43"/>
      <c r="J34" s="2"/>
    </row>
    <row r="35" spans="1:10">
      <c r="A35" s="21" t="s">
        <v>34</v>
      </c>
      <c r="B35" s="44">
        <v>38503</v>
      </c>
      <c r="C35" s="43"/>
      <c r="D35" s="43"/>
      <c r="E35" s="43"/>
      <c r="F35" s="43"/>
      <c r="G35" s="43"/>
      <c r="H35" s="43"/>
      <c r="I35" s="43"/>
      <c r="J35" s="2"/>
    </row>
    <row r="36" spans="1:10">
      <c r="A36" s="21" t="s">
        <v>208</v>
      </c>
      <c r="B36" s="611">
        <v>34196</v>
      </c>
      <c r="C36" s="612"/>
      <c r="D36" s="43"/>
      <c r="E36" s="43"/>
      <c r="F36" s="43"/>
      <c r="G36" s="43"/>
      <c r="H36" s="43"/>
      <c r="I36" s="43"/>
      <c r="J36" s="2"/>
    </row>
    <row r="37" spans="1:10">
      <c r="A37" s="21" t="s">
        <v>209</v>
      </c>
      <c r="B37" s="611">
        <v>38503</v>
      </c>
      <c r="C37" s="612"/>
      <c r="D37" s="43"/>
      <c r="E37" s="43"/>
      <c r="F37" s="43"/>
      <c r="G37" s="43"/>
      <c r="H37" s="43"/>
      <c r="I37" s="43"/>
      <c r="J37" s="2"/>
    </row>
    <row r="38" spans="1:10">
      <c r="A38" s="1" t="s">
        <v>38</v>
      </c>
      <c r="B38" s="585">
        <f>((B37-B36)/365)-10</f>
        <v>1.8000000000000007</v>
      </c>
      <c r="C38" s="586"/>
      <c r="D38" s="43"/>
      <c r="E38" s="43"/>
      <c r="F38" s="43"/>
      <c r="G38" s="43"/>
      <c r="H38" s="43"/>
      <c r="I38" s="43"/>
      <c r="J38" s="2"/>
    </row>
    <row r="39" spans="1:10" ht="15.75" thickBot="1">
      <c r="A39" s="4" t="s">
        <v>42</v>
      </c>
      <c r="B39" s="593">
        <v>1</v>
      </c>
      <c r="C39" s="618"/>
      <c r="D39" s="11"/>
      <c r="E39" s="11"/>
      <c r="F39" s="10"/>
      <c r="G39" s="11"/>
      <c r="H39" s="11"/>
      <c r="I39" s="11"/>
      <c r="J39" s="12"/>
    </row>
    <row r="40" spans="1:10" ht="15.75" thickBot="1">
      <c r="A40" s="8" t="s">
        <v>41</v>
      </c>
      <c r="B40" s="602">
        <f>B38</f>
        <v>1.8000000000000007</v>
      </c>
      <c r="C40" s="616"/>
      <c r="D40" s="616"/>
      <c r="E40" s="616"/>
      <c r="F40" s="616"/>
      <c r="G40" s="616"/>
      <c r="H40" s="616"/>
      <c r="I40" s="616"/>
      <c r="J40" s="617"/>
    </row>
    <row r="41" spans="1:10" ht="15.75" thickBot="1"/>
    <row r="42" spans="1:10">
      <c r="A42" s="9" t="s">
        <v>193</v>
      </c>
      <c r="B42" s="596" t="s">
        <v>28</v>
      </c>
      <c r="C42" s="615"/>
      <c r="D42" s="55"/>
      <c r="E42" s="55"/>
      <c r="F42" s="55"/>
      <c r="G42" s="55"/>
      <c r="H42" s="55"/>
      <c r="I42" s="55"/>
      <c r="J42" s="56"/>
    </row>
    <row r="43" spans="1:10" ht="15" customHeight="1">
      <c r="A43" s="21" t="s">
        <v>23</v>
      </c>
      <c r="B43" s="613" t="s">
        <v>211</v>
      </c>
      <c r="C43" s="614"/>
      <c r="D43" s="39"/>
      <c r="E43" s="43"/>
      <c r="F43" s="43"/>
      <c r="G43" s="43"/>
      <c r="H43" s="43"/>
      <c r="I43" s="43"/>
      <c r="J43" s="2"/>
    </row>
    <row r="44" spans="1:10" ht="15" customHeight="1">
      <c r="A44" s="21" t="s">
        <v>24</v>
      </c>
      <c r="B44" s="43" t="s">
        <v>130</v>
      </c>
      <c r="C44" s="43"/>
      <c r="D44" s="39"/>
      <c r="E44" s="43"/>
      <c r="F44" s="43"/>
      <c r="G44" s="43"/>
      <c r="H44" s="43"/>
      <c r="I44" s="43"/>
      <c r="J44" s="2"/>
    </row>
    <row r="45" spans="1:10" ht="15" customHeight="1">
      <c r="A45" s="21" t="s">
        <v>25</v>
      </c>
      <c r="B45" s="43" t="s">
        <v>131</v>
      </c>
      <c r="C45" s="43"/>
      <c r="D45" s="39"/>
      <c r="E45" s="43"/>
      <c r="F45" s="43"/>
      <c r="G45" s="43"/>
      <c r="H45" s="43"/>
      <c r="I45" s="43"/>
      <c r="J45" s="2"/>
    </row>
    <row r="46" spans="1:10" ht="15" customHeight="1">
      <c r="A46" s="21" t="s">
        <v>26</v>
      </c>
      <c r="B46" s="43" t="s">
        <v>132</v>
      </c>
      <c r="C46" s="43"/>
      <c r="D46" s="39"/>
      <c r="E46" s="43"/>
      <c r="F46" s="43"/>
      <c r="G46" s="43"/>
      <c r="H46" s="43"/>
      <c r="I46" s="43"/>
      <c r="J46" s="2"/>
    </row>
    <row r="47" spans="1:10">
      <c r="A47" s="21" t="s">
        <v>205</v>
      </c>
      <c r="B47" s="613" t="s">
        <v>218</v>
      </c>
      <c r="C47" s="614"/>
      <c r="D47" s="39"/>
      <c r="E47" s="43"/>
      <c r="F47" s="43"/>
      <c r="G47" s="43"/>
      <c r="H47" s="43"/>
      <c r="I47" s="43"/>
      <c r="J47" s="2"/>
    </row>
    <row r="48" spans="1:10" ht="15" customHeight="1">
      <c r="A48" s="21" t="s">
        <v>35</v>
      </c>
      <c r="B48" s="44">
        <v>38429</v>
      </c>
      <c r="C48" s="43"/>
      <c r="D48" s="39"/>
      <c r="E48" s="43"/>
      <c r="F48" s="43"/>
      <c r="G48" s="43"/>
      <c r="H48" s="43"/>
      <c r="I48" s="43"/>
      <c r="J48" s="2"/>
    </row>
    <row r="49" spans="1:10" ht="15" customHeight="1">
      <c r="A49" s="21" t="s">
        <v>34</v>
      </c>
      <c r="B49" s="44">
        <v>41243</v>
      </c>
      <c r="C49" s="43"/>
      <c r="D49" s="39"/>
      <c r="E49" s="43"/>
      <c r="F49" s="43"/>
      <c r="G49" s="43"/>
      <c r="H49" s="43"/>
      <c r="I49" s="43"/>
      <c r="J49" s="2"/>
    </row>
    <row r="50" spans="1:10">
      <c r="A50" s="21" t="s">
        <v>206</v>
      </c>
      <c r="B50" s="611">
        <v>38429</v>
      </c>
      <c r="C50" s="612"/>
      <c r="D50" s="39"/>
      <c r="E50" s="43"/>
      <c r="F50" s="43"/>
      <c r="G50" s="43"/>
      <c r="H50" s="43"/>
      <c r="I50" s="43"/>
      <c r="J50" s="2"/>
    </row>
    <row r="51" spans="1:10">
      <c r="A51" s="21" t="s">
        <v>209</v>
      </c>
      <c r="B51" s="611">
        <v>41243</v>
      </c>
      <c r="C51" s="612"/>
      <c r="D51" s="39"/>
      <c r="E51" s="43"/>
      <c r="F51" s="43"/>
      <c r="G51" s="43"/>
      <c r="H51" s="43"/>
      <c r="I51" s="43"/>
      <c r="J51" s="2"/>
    </row>
    <row r="52" spans="1:10">
      <c r="A52" s="21" t="s">
        <v>38</v>
      </c>
      <c r="B52" s="585">
        <f>(B51-B50)/365-1</f>
        <v>6.7095890410958905</v>
      </c>
      <c r="C52" s="586"/>
      <c r="D52" s="39"/>
      <c r="E52" s="43"/>
      <c r="F52" s="43"/>
      <c r="G52" s="43"/>
      <c r="H52" s="43"/>
      <c r="I52" s="43"/>
      <c r="J52" s="2"/>
    </row>
    <row r="53" spans="1:10" ht="15.75" thickBot="1">
      <c r="A53" s="4" t="s">
        <v>42</v>
      </c>
      <c r="B53" s="593">
        <v>1</v>
      </c>
      <c r="C53" s="618"/>
      <c r="D53" s="11"/>
      <c r="E53" s="11"/>
      <c r="F53" s="10"/>
      <c r="G53" s="11"/>
      <c r="H53" s="11"/>
      <c r="I53" s="11"/>
      <c r="J53" s="12"/>
    </row>
    <row r="54" spans="1:10" ht="15.75" thickBot="1">
      <c r="A54" s="8" t="s">
        <v>41</v>
      </c>
      <c r="B54" s="616">
        <f>MIN(SUMIFS(B52:J52,B53:J53,1),5)</f>
        <v>5</v>
      </c>
      <c r="C54" s="616"/>
      <c r="D54" s="616"/>
      <c r="E54" s="616"/>
      <c r="F54" s="616"/>
      <c r="G54" s="616"/>
      <c r="H54" s="616"/>
      <c r="I54" s="616"/>
      <c r="J54" s="617"/>
    </row>
    <row r="55" spans="1:10" ht="15.75" thickBot="1">
      <c r="A55" s="45"/>
      <c r="B55" s="17"/>
      <c r="C55" s="17"/>
      <c r="D55" s="17"/>
      <c r="E55" s="17"/>
      <c r="F55" s="17"/>
      <c r="G55" s="17"/>
      <c r="H55" s="17"/>
      <c r="I55" s="17"/>
      <c r="J55" s="17"/>
    </row>
    <row r="56" spans="1:10">
      <c r="A56" s="9" t="s">
        <v>225</v>
      </c>
      <c r="B56" s="596" t="s">
        <v>28</v>
      </c>
      <c r="C56" s="615"/>
      <c r="D56" s="55"/>
      <c r="E56" s="55"/>
      <c r="F56" s="55"/>
      <c r="G56" s="55"/>
      <c r="H56" s="55"/>
      <c r="I56" s="55"/>
      <c r="J56" s="56"/>
    </row>
    <row r="57" spans="1:10">
      <c r="A57" s="21" t="s">
        <v>23</v>
      </c>
      <c r="B57" s="613" t="s">
        <v>133</v>
      </c>
      <c r="C57" s="614"/>
      <c r="D57" s="43"/>
      <c r="E57" s="43"/>
      <c r="F57" s="43"/>
      <c r="G57" s="43"/>
      <c r="H57" s="43"/>
      <c r="I57" s="43"/>
      <c r="J57" s="2"/>
    </row>
    <row r="58" spans="1:10">
      <c r="A58" s="21" t="s">
        <v>24</v>
      </c>
      <c r="B58" s="43" t="s">
        <v>134</v>
      </c>
      <c r="C58" s="43"/>
      <c r="D58" s="43"/>
      <c r="E58" s="43"/>
      <c r="F58" s="43"/>
      <c r="G58" s="43"/>
      <c r="H58" s="43"/>
      <c r="I58" s="43"/>
      <c r="J58" s="2"/>
    </row>
    <row r="59" spans="1:10">
      <c r="A59" s="21" t="s">
        <v>25</v>
      </c>
      <c r="B59" s="43" t="s">
        <v>135</v>
      </c>
      <c r="C59" s="43"/>
      <c r="D59" s="43"/>
      <c r="E59" s="43"/>
      <c r="F59" s="43"/>
      <c r="G59" s="43"/>
      <c r="H59" s="43"/>
      <c r="I59" s="43"/>
      <c r="J59" s="2"/>
    </row>
    <row r="60" spans="1:10">
      <c r="A60" s="21" t="s">
        <v>26</v>
      </c>
      <c r="B60" s="43" t="s">
        <v>136</v>
      </c>
      <c r="C60" s="43"/>
      <c r="D60" s="43"/>
      <c r="E60" s="43"/>
      <c r="F60" s="43"/>
      <c r="G60" s="43"/>
      <c r="H60" s="43"/>
      <c r="I60" s="43"/>
      <c r="J60" s="2"/>
    </row>
    <row r="61" spans="1:10">
      <c r="A61" s="21" t="s">
        <v>27</v>
      </c>
      <c r="B61" s="613" t="s">
        <v>137</v>
      </c>
      <c r="C61" s="614"/>
      <c r="D61" s="43"/>
      <c r="E61" s="43"/>
      <c r="F61" s="43"/>
      <c r="G61" s="43"/>
      <c r="H61" s="43"/>
      <c r="I61" s="43"/>
      <c r="J61" s="2"/>
    </row>
    <row r="62" spans="1:10">
      <c r="A62" s="21" t="s">
        <v>35</v>
      </c>
      <c r="B62" s="44">
        <v>37316</v>
      </c>
      <c r="C62" s="43"/>
      <c r="D62" s="43"/>
      <c r="E62" s="43"/>
      <c r="F62" s="43"/>
      <c r="G62" s="43"/>
      <c r="H62" s="43"/>
      <c r="I62" s="43"/>
      <c r="J62" s="2"/>
    </row>
    <row r="63" spans="1:10">
      <c r="A63" s="21" t="s">
        <v>34</v>
      </c>
      <c r="B63" s="44">
        <v>40421</v>
      </c>
      <c r="C63" s="43"/>
      <c r="D63" s="43"/>
      <c r="E63" s="43"/>
      <c r="F63" s="43"/>
      <c r="G63" s="43"/>
      <c r="H63" s="43"/>
      <c r="I63" s="43"/>
      <c r="J63" s="2"/>
    </row>
    <row r="64" spans="1:10">
      <c r="A64" s="21" t="s">
        <v>206</v>
      </c>
      <c r="B64" s="611">
        <v>37316</v>
      </c>
      <c r="C64" s="612"/>
      <c r="D64" s="43"/>
      <c r="E64" s="43"/>
      <c r="F64" s="43"/>
      <c r="G64" s="43"/>
      <c r="H64" s="43"/>
      <c r="I64" s="43"/>
      <c r="J64" s="2"/>
    </row>
    <row r="65" spans="1:10">
      <c r="A65" s="21" t="s">
        <v>209</v>
      </c>
      <c r="B65" s="611">
        <v>40421</v>
      </c>
      <c r="C65" s="612"/>
      <c r="D65" s="43"/>
      <c r="E65" s="43"/>
      <c r="F65" s="43"/>
      <c r="G65" s="43"/>
      <c r="H65" s="43"/>
      <c r="I65" s="43"/>
      <c r="J65" s="2"/>
    </row>
    <row r="66" spans="1:10">
      <c r="A66" s="21" t="s">
        <v>38</v>
      </c>
      <c r="B66" s="622">
        <f>((B65-B64)/365)-5</f>
        <v>3.506849315068493</v>
      </c>
      <c r="C66" s="623"/>
      <c r="D66" s="43"/>
      <c r="E66" s="43"/>
      <c r="F66" s="43"/>
      <c r="G66" s="43"/>
      <c r="H66" s="43"/>
      <c r="I66" s="43"/>
      <c r="J66" s="2"/>
    </row>
    <row r="67" spans="1:10" ht="15.75" thickBot="1">
      <c r="A67" s="4" t="s">
        <v>42</v>
      </c>
      <c r="B67" s="593">
        <v>1</v>
      </c>
      <c r="C67" s="618"/>
      <c r="D67" s="11"/>
      <c r="E67" s="11"/>
      <c r="F67" s="10"/>
      <c r="G67" s="11"/>
      <c r="H67" s="11"/>
      <c r="I67" s="11"/>
      <c r="J67" s="12"/>
    </row>
    <row r="68" spans="1:10" ht="15.75" thickBot="1">
      <c r="A68" s="8" t="s">
        <v>41</v>
      </c>
      <c r="B68" s="624">
        <f>B66</f>
        <v>3.506849315068493</v>
      </c>
      <c r="C68" s="616"/>
      <c r="D68" s="616"/>
      <c r="E68" s="616"/>
      <c r="F68" s="616"/>
      <c r="G68" s="616"/>
      <c r="H68" s="616"/>
      <c r="I68" s="616"/>
      <c r="J68" s="617"/>
    </row>
    <row r="69" spans="1:10" ht="15.75" thickBot="1"/>
    <row r="70" spans="1:10">
      <c r="A70" s="9" t="s">
        <v>226</v>
      </c>
      <c r="B70" s="596" t="s">
        <v>28</v>
      </c>
      <c r="C70" s="615"/>
      <c r="D70" s="55"/>
      <c r="E70" s="55"/>
      <c r="F70" s="55"/>
      <c r="G70" s="55"/>
      <c r="H70" s="55"/>
      <c r="I70" s="55"/>
      <c r="J70" s="56"/>
    </row>
    <row r="71" spans="1:10">
      <c r="A71" s="21" t="s">
        <v>23</v>
      </c>
      <c r="B71" s="613" t="s">
        <v>138</v>
      </c>
      <c r="C71" s="614"/>
      <c r="D71" s="43"/>
      <c r="E71" s="43"/>
      <c r="F71" s="43"/>
      <c r="G71" s="43"/>
      <c r="H71" s="43"/>
      <c r="I71" s="43"/>
      <c r="J71" s="2"/>
    </row>
    <row r="72" spans="1:10">
      <c r="A72" s="21" t="s">
        <v>24</v>
      </c>
      <c r="B72" s="43" t="s">
        <v>139</v>
      </c>
      <c r="C72" s="43"/>
      <c r="D72" s="43"/>
      <c r="E72" s="43"/>
      <c r="F72" s="43"/>
      <c r="G72" s="43"/>
      <c r="H72" s="43"/>
      <c r="I72" s="43"/>
      <c r="J72" s="2"/>
    </row>
    <row r="73" spans="1:10">
      <c r="A73" s="21" t="s">
        <v>25</v>
      </c>
      <c r="B73" s="43" t="s">
        <v>140</v>
      </c>
      <c r="C73" s="43"/>
      <c r="D73" s="43"/>
      <c r="E73" s="43"/>
      <c r="F73" s="43"/>
      <c r="G73" s="43"/>
      <c r="H73" s="43"/>
      <c r="I73" s="43"/>
      <c r="J73" s="2"/>
    </row>
    <row r="74" spans="1:10">
      <c r="A74" s="21" t="s">
        <v>26</v>
      </c>
      <c r="B74" s="43" t="s">
        <v>141</v>
      </c>
      <c r="C74" s="43"/>
      <c r="D74" s="43"/>
      <c r="E74" s="43"/>
      <c r="F74" s="43"/>
      <c r="G74" s="43"/>
      <c r="H74" s="43"/>
      <c r="I74" s="43"/>
      <c r="J74" s="2"/>
    </row>
    <row r="75" spans="1:10">
      <c r="A75" s="21" t="s">
        <v>205</v>
      </c>
      <c r="B75" s="613" t="s">
        <v>142</v>
      </c>
      <c r="C75" s="614"/>
      <c r="D75" s="43"/>
      <c r="E75" s="43"/>
      <c r="F75" s="43"/>
      <c r="G75" s="43"/>
      <c r="H75" s="43"/>
      <c r="I75" s="43"/>
      <c r="J75" s="2"/>
    </row>
    <row r="76" spans="1:10">
      <c r="A76" s="21" t="s">
        <v>35</v>
      </c>
      <c r="B76" s="44">
        <v>38473</v>
      </c>
      <c r="C76" s="43"/>
      <c r="D76" s="43"/>
      <c r="E76" s="43"/>
      <c r="F76" s="43"/>
      <c r="G76" s="43"/>
      <c r="H76" s="43"/>
      <c r="I76" s="43"/>
      <c r="J76" s="2"/>
    </row>
    <row r="77" spans="1:10">
      <c r="A77" s="21" t="s">
        <v>34</v>
      </c>
      <c r="B77" s="44">
        <v>41424</v>
      </c>
      <c r="C77" s="43"/>
      <c r="D77" s="43"/>
      <c r="E77" s="43"/>
      <c r="F77" s="43"/>
      <c r="G77" s="43"/>
      <c r="H77" s="43"/>
      <c r="I77" s="43"/>
      <c r="J77" s="2"/>
    </row>
    <row r="78" spans="1:10">
      <c r="A78" s="21" t="s">
        <v>206</v>
      </c>
      <c r="B78" s="611">
        <v>38473</v>
      </c>
      <c r="C78" s="612"/>
      <c r="D78" s="43"/>
      <c r="E78" s="43"/>
      <c r="F78" s="43"/>
      <c r="G78" s="43"/>
      <c r="H78" s="43"/>
      <c r="I78" s="43"/>
      <c r="J78" s="2"/>
    </row>
    <row r="79" spans="1:10">
      <c r="A79" s="21" t="s">
        <v>207</v>
      </c>
      <c r="B79" s="611">
        <v>41424</v>
      </c>
      <c r="C79" s="612"/>
      <c r="D79" s="43"/>
      <c r="E79" s="43"/>
      <c r="F79" s="43"/>
      <c r="G79" s="43"/>
      <c r="H79" s="43"/>
      <c r="I79" s="43"/>
      <c r="J79" s="2"/>
    </row>
    <row r="80" spans="1:10">
      <c r="A80" s="21" t="s">
        <v>38</v>
      </c>
      <c r="B80" s="585">
        <f>((B79-B78)/365)-5</f>
        <v>3.0849315068493155</v>
      </c>
      <c r="C80" s="586"/>
      <c r="D80" s="43"/>
      <c r="E80" s="43"/>
      <c r="F80" s="43"/>
      <c r="G80" s="43"/>
      <c r="H80" s="43"/>
      <c r="I80" s="43"/>
      <c r="J80" s="2"/>
    </row>
    <row r="81" spans="1:10" ht="15.75" thickBot="1">
      <c r="A81" s="4" t="s">
        <v>42</v>
      </c>
      <c r="B81" s="593">
        <v>1</v>
      </c>
      <c r="C81" s="618"/>
      <c r="D81" s="11"/>
      <c r="E81" s="11"/>
      <c r="F81" s="10"/>
      <c r="G81" s="11"/>
      <c r="H81" s="11"/>
      <c r="I81" s="11"/>
      <c r="J81" s="12"/>
    </row>
    <row r="82" spans="1:10" ht="15.75" thickBot="1">
      <c r="A82" s="8" t="s">
        <v>41</v>
      </c>
      <c r="B82" s="602">
        <f>B80</f>
        <v>3.0849315068493155</v>
      </c>
      <c r="C82" s="616"/>
      <c r="D82" s="616"/>
      <c r="E82" s="616"/>
      <c r="F82" s="616"/>
      <c r="G82" s="616"/>
      <c r="H82" s="616"/>
      <c r="I82" s="616"/>
      <c r="J82" s="617"/>
    </row>
    <row r="83" spans="1:10" ht="15.75" thickBot="1"/>
    <row r="84" spans="1:10">
      <c r="A84" s="9" t="s">
        <v>229</v>
      </c>
      <c r="B84" s="596" t="s">
        <v>28</v>
      </c>
      <c r="C84" s="615"/>
      <c r="D84" s="55"/>
      <c r="E84" s="55"/>
      <c r="F84" s="55"/>
      <c r="G84" s="55"/>
      <c r="H84" s="55"/>
      <c r="I84" s="55"/>
      <c r="J84" s="56"/>
    </row>
    <row r="85" spans="1:10">
      <c r="A85" s="21" t="s">
        <v>23</v>
      </c>
      <c r="B85" s="613" t="s">
        <v>133</v>
      </c>
      <c r="C85" s="614"/>
      <c r="D85" s="43"/>
      <c r="E85" s="43"/>
      <c r="F85" s="43"/>
      <c r="G85" s="43"/>
      <c r="H85" s="43"/>
      <c r="I85" s="43"/>
      <c r="J85" s="2"/>
    </row>
    <row r="86" spans="1:10">
      <c r="A86" s="21" t="s">
        <v>24</v>
      </c>
      <c r="B86" s="43" t="s">
        <v>134</v>
      </c>
      <c r="C86" s="43"/>
      <c r="D86" s="43"/>
      <c r="E86" s="43"/>
      <c r="F86" s="43"/>
      <c r="G86" s="43"/>
      <c r="H86" s="43"/>
      <c r="I86" s="43"/>
      <c r="J86" s="2"/>
    </row>
    <row r="87" spans="1:10">
      <c r="A87" s="21" t="s">
        <v>25</v>
      </c>
      <c r="B87" s="43" t="s">
        <v>143</v>
      </c>
      <c r="C87" s="43"/>
      <c r="D87" s="43"/>
      <c r="E87" s="43"/>
      <c r="F87" s="43"/>
      <c r="G87" s="43"/>
      <c r="H87" s="43"/>
      <c r="I87" s="43"/>
      <c r="J87" s="2"/>
    </row>
    <row r="88" spans="1:10">
      <c r="A88" s="21" t="s">
        <v>26</v>
      </c>
      <c r="B88" s="43" t="s">
        <v>144</v>
      </c>
      <c r="C88" s="43"/>
      <c r="D88" s="43"/>
      <c r="E88" s="43"/>
      <c r="F88" s="43"/>
      <c r="G88" s="43"/>
      <c r="H88" s="43"/>
      <c r="I88" s="43"/>
      <c r="J88" s="2"/>
    </row>
    <row r="89" spans="1:10">
      <c r="A89" s="21" t="s">
        <v>27</v>
      </c>
      <c r="B89" s="613" t="s">
        <v>145</v>
      </c>
      <c r="C89" s="614"/>
      <c r="D89" s="43"/>
      <c r="E89" s="43"/>
      <c r="F89" s="43"/>
      <c r="G89" s="43"/>
      <c r="H89" s="43"/>
      <c r="I89" s="43"/>
      <c r="J89" s="2"/>
    </row>
    <row r="90" spans="1:10">
      <c r="A90" s="21" t="s">
        <v>35</v>
      </c>
      <c r="B90" s="44">
        <v>37316</v>
      </c>
      <c r="C90" s="43"/>
      <c r="D90" s="43"/>
      <c r="E90" s="43"/>
      <c r="F90" s="43"/>
      <c r="G90" s="43"/>
      <c r="H90" s="43"/>
      <c r="I90" s="43"/>
      <c r="J90" s="2"/>
    </row>
    <row r="91" spans="1:10">
      <c r="A91" s="21" t="s">
        <v>34</v>
      </c>
      <c r="B91" s="44">
        <v>40421</v>
      </c>
      <c r="C91" s="43"/>
      <c r="D91" s="43"/>
      <c r="E91" s="43"/>
      <c r="F91" s="43"/>
      <c r="G91" s="43"/>
      <c r="H91" s="43"/>
      <c r="I91" s="43"/>
      <c r="J91" s="2"/>
    </row>
    <row r="92" spans="1:10">
      <c r="A92" s="21" t="s">
        <v>206</v>
      </c>
      <c r="B92" s="611">
        <v>37316</v>
      </c>
      <c r="C92" s="612"/>
      <c r="D92" s="43"/>
      <c r="E92" s="43"/>
      <c r="F92" s="43"/>
      <c r="G92" s="43"/>
      <c r="H92" s="43"/>
      <c r="I92" s="43"/>
      <c r="J92" s="2"/>
    </row>
    <row r="93" spans="1:10">
      <c r="A93" s="21" t="s">
        <v>209</v>
      </c>
      <c r="B93" s="611">
        <v>40421</v>
      </c>
      <c r="C93" s="612"/>
      <c r="D93" s="43"/>
      <c r="E93" s="43"/>
      <c r="F93" s="43"/>
      <c r="G93" s="43"/>
      <c r="H93" s="43"/>
      <c r="I93" s="43"/>
      <c r="J93" s="2"/>
    </row>
    <row r="94" spans="1:10">
      <c r="A94" s="21" t="s">
        <v>38</v>
      </c>
      <c r="B94" s="613">
        <f>((B93-B92)/365)-5</f>
        <v>3.506849315068493</v>
      </c>
      <c r="C94" s="614"/>
      <c r="D94" s="43"/>
      <c r="E94" s="43"/>
      <c r="F94" s="43"/>
      <c r="G94" s="43"/>
      <c r="H94" s="43"/>
      <c r="I94" s="43"/>
      <c r="J94" s="2"/>
    </row>
    <row r="95" spans="1:10" ht="15.75" thickBot="1">
      <c r="A95" s="4" t="s">
        <v>42</v>
      </c>
      <c r="B95" s="593">
        <v>1</v>
      </c>
      <c r="C95" s="618"/>
      <c r="D95" s="11"/>
      <c r="E95" s="11"/>
      <c r="F95" s="10"/>
      <c r="G95" s="11"/>
      <c r="H95" s="11"/>
      <c r="I95" s="11"/>
      <c r="J95" s="12"/>
    </row>
    <row r="96" spans="1:10" ht="15.75" thickBot="1">
      <c r="A96" s="8" t="s">
        <v>41</v>
      </c>
      <c r="B96" s="616">
        <f>B94</f>
        <v>3.506849315068493</v>
      </c>
      <c r="C96" s="616"/>
      <c r="D96" s="616"/>
      <c r="E96" s="616"/>
      <c r="F96" s="616"/>
      <c r="G96" s="616"/>
      <c r="H96" s="616"/>
      <c r="I96" s="616"/>
      <c r="J96" s="617"/>
    </row>
    <row r="97" spans="1:10" ht="15.75" thickBot="1"/>
    <row r="98" spans="1:10">
      <c r="A98" s="9" t="s">
        <v>228</v>
      </c>
      <c r="B98" s="596" t="s">
        <v>28</v>
      </c>
      <c r="C98" s="615"/>
      <c r="D98" s="55"/>
      <c r="E98" s="55"/>
      <c r="F98" s="55"/>
      <c r="G98" s="55"/>
      <c r="H98" s="55"/>
      <c r="I98" s="55"/>
      <c r="J98" s="56"/>
    </row>
    <row r="99" spans="1:10">
      <c r="A99" s="22" t="s">
        <v>23</v>
      </c>
      <c r="B99" s="613" t="s">
        <v>146</v>
      </c>
      <c r="C99" s="614"/>
      <c r="D99" s="43"/>
      <c r="E99" s="43"/>
      <c r="F99" s="43"/>
      <c r="G99" s="43"/>
      <c r="H99" s="43"/>
      <c r="I99" s="43"/>
      <c r="J99" s="2"/>
    </row>
    <row r="100" spans="1:10">
      <c r="A100" s="21" t="s">
        <v>24</v>
      </c>
      <c r="B100" s="43" t="s">
        <v>147</v>
      </c>
      <c r="C100" s="43"/>
      <c r="D100" s="43"/>
      <c r="E100" s="43"/>
      <c r="F100" s="43"/>
      <c r="G100" s="43"/>
      <c r="H100" s="43"/>
      <c r="I100" s="43"/>
      <c r="J100" s="2"/>
    </row>
    <row r="101" spans="1:10">
      <c r="A101" s="21" t="s">
        <v>25</v>
      </c>
      <c r="B101" s="43" t="s">
        <v>148</v>
      </c>
      <c r="C101" s="43"/>
      <c r="D101" s="43"/>
      <c r="E101" s="43"/>
      <c r="F101" s="43"/>
      <c r="G101" s="43"/>
      <c r="H101" s="43"/>
      <c r="I101" s="43"/>
      <c r="J101" s="2"/>
    </row>
    <row r="102" spans="1:10">
      <c r="A102" s="21" t="s">
        <v>26</v>
      </c>
      <c r="B102" s="43" t="s">
        <v>149</v>
      </c>
      <c r="C102" s="43"/>
      <c r="D102" s="43"/>
      <c r="E102" s="43"/>
      <c r="F102" s="43"/>
      <c r="G102" s="43"/>
      <c r="H102" s="43"/>
      <c r="I102" s="43"/>
      <c r="J102" s="2"/>
    </row>
    <row r="103" spans="1:10">
      <c r="A103" s="21" t="s">
        <v>27</v>
      </c>
      <c r="B103" s="613" t="s">
        <v>125</v>
      </c>
      <c r="C103" s="614"/>
      <c r="D103" s="43"/>
      <c r="E103" s="43"/>
      <c r="F103" s="43"/>
      <c r="G103" s="43"/>
      <c r="H103" s="43"/>
      <c r="I103" s="43"/>
      <c r="J103" s="2"/>
    </row>
    <row r="104" spans="1:10">
      <c r="A104" s="21" t="s">
        <v>35</v>
      </c>
      <c r="B104" s="44">
        <v>35081</v>
      </c>
      <c r="C104" s="43"/>
      <c r="D104" s="43"/>
      <c r="E104" s="43"/>
      <c r="F104" s="43"/>
      <c r="G104" s="43"/>
      <c r="H104" s="43"/>
      <c r="I104" s="43"/>
      <c r="J104" s="2"/>
    </row>
    <row r="105" spans="1:10">
      <c r="A105" s="21" t="s">
        <v>34</v>
      </c>
      <c r="B105" s="44">
        <v>38230</v>
      </c>
      <c r="C105" s="43"/>
      <c r="D105" s="43"/>
      <c r="E105" s="43"/>
      <c r="F105" s="43"/>
      <c r="G105" s="43"/>
      <c r="H105" s="43"/>
      <c r="I105" s="43"/>
      <c r="J105" s="2"/>
    </row>
    <row r="106" spans="1:10">
      <c r="A106" s="21" t="s">
        <v>208</v>
      </c>
      <c r="B106" s="611">
        <v>35081</v>
      </c>
      <c r="C106" s="612"/>
      <c r="D106" s="43"/>
      <c r="E106" s="43"/>
      <c r="F106" s="43"/>
      <c r="G106" s="43"/>
      <c r="H106" s="43"/>
      <c r="I106" s="43"/>
      <c r="J106" s="2"/>
    </row>
    <row r="107" spans="1:10">
      <c r="A107" s="21" t="s">
        <v>207</v>
      </c>
      <c r="B107" s="611">
        <v>38230</v>
      </c>
      <c r="C107" s="612"/>
      <c r="D107" s="43"/>
      <c r="E107" s="43"/>
      <c r="F107" s="43"/>
      <c r="G107" s="43"/>
      <c r="H107" s="43"/>
      <c r="I107" s="43"/>
      <c r="J107" s="2"/>
    </row>
    <row r="108" spans="1:10">
      <c r="A108" s="21" t="s">
        <v>38</v>
      </c>
      <c r="B108" s="585">
        <f>((B107-B106)/365)-5</f>
        <v>3.6273972602739732</v>
      </c>
      <c r="C108" s="586"/>
      <c r="D108" s="43"/>
      <c r="E108" s="43"/>
      <c r="F108" s="43"/>
      <c r="G108" s="43"/>
      <c r="H108" s="43"/>
      <c r="I108" s="43"/>
      <c r="J108" s="2"/>
    </row>
    <row r="109" spans="1:10" ht="15.75" thickBot="1">
      <c r="A109" s="4" t="s">
        <v>42</v>
      </c>
      <c r="B109" s="593">
        <v>1</v>
      </c>
      <c r="C109" s="618"/>
      <c r="D109" s="11"/>
      <c r="E109" s="11"/>
      <c r="F109" s="10"/>
      <c r="G109" s="11"/>
      <c r="H109" s="11"/>
      <c r="I109" s="11"/>
      <c r="J109" s="12"/>
    </row>
    <row r="110" spans="1:10" ht="15.75" thickBot="1">
      <c r="A110" s="8" t="s">
        <v>41</v>
      </c>
      <c r="B110" s="602">
        <f>B108</f>
        <v>3.6273972602739732</v>
      </c>
      <c r="C110" s="616"/>
      <c r="D110" s="616"/>
      <c r="E110" s="616"/>
      <c r="F110" s="616"/>
      <c r="G110" s="616"/>
      <c r="H110" s="616"/>
      <c r="I110" s="616"/>
      <c r="J110" s="617"/>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c r="A6" s="430" t="s">
        <v>201</v>
      </c>
      <c r="B6" s="430"/>
      <c r="C6" s="430"/>
      <c r="D6" s="430"/>
      <c r="E6" s="430"/>
      <c r="F6" s="430"/>
      <c r="G6" s="430"/>
      <c r="H6" s="430"/>
      <c r="I6" s="430"/>
      <c r="J6" s="430"/>
      <c r="K6" s="430"/>
      <c r="L6" s="430"/>
      <c r="M6" s="430"/>
      <c r="N6" s="430"/>
      <c r="O6" s="430"/>
      <c r="P6" s="430"/>
      <c r="Q6" s="430"/>
      <c r="R6" s="430"/>
      <c r="S6" s="430"/>
      <c r="T6" s="430"/>
      <c r="U6" s="430"/>
      <c r="V6" s="430"/>
      <c r="W6" s="430"/>
    </row>
    <row r="7" spans="1:23">
      <c r="A7" s="430" t="s">
        <v>202</v>
      </c>
      <c r="B7" s="430"/>
      <c r="C7" s="430"/>
      <c r="D7" s="430"/>
      <c r="E7" s="430"/>
      <c r="F7" s="430"/>
      <c r="G7" s="430"/>
      <c r="H7" s="430"/>
      <c r="I7" s="430"/>
      <c r="J7" s="430"/>
      <c r="K7" s="430"/>
      <c r="L7" s="430"/>
      <c r="M7" s="430"/>
      <c r="N7" s="430"/>
      <c r="O7" s="430"/>
      <c r="P7" s="430"/>
      <c r="Q7" s="430"/>
      <c r="R7" s="430"/>
      <c r="S7" s="430"/>
      <c r="T7" s="430"/>
      <c r="U7" s="430"/>
      <c r="V7" s="430"/>
      <c r="W7" s="430"/>
    </row>
    <row r="8" spans="1:23">
      <c r="A8" s="430" t="s">
        <v>203</v>
      </c>
      <c r="B8" s="430"/>
      <c r="C8" s="430"/>
      <c r="D8" s="430"/>
      <c r="E8" s="430"/>
      <c r="F8" s="430"/>
      <c r="G8" s="430"/>
      <c r="H8" s="430"/>
      <c r="I8" s="430"/>
      <c r="J8" s="430"/>
      <c r="K8" s="430"/>
      <c r="L8" s="430"/>
      <c r="M8" s="430"/>
      <c r="N8" s="430"/>
      <c r="O8" s="430"/>
      <c r="P8" s="430"/>
      <c r="Q8" s="430"/>
      <c r="R8" s="430"/>
      <c r="S8" s="430"/>
      <c r="T8" s="430"/>
      <c r="U8" s="430"/>
      <c r="V8" s="430"/>
      <c r="W8" s="430"/>
    </row>
    <row r="9" spans="1:23">
      <c r="A9" s="430" t="s">
        <v>473</v>
      </c>
      <c r="B9" s="430"/>
      <c r="C9" s="430"/>
      <c r="D9" s="430"/>
      <c r="E9" s="430"/>
      <c r="F9" s="430"/>
      <c r="G9" s="430"/>
      <c r="H9" s="430"/>
      <c r="I9" s="430"/>
      <c r="J9" s="430"/>
      <c r="K9" s="430"/>
      <c r="L9" s="430"/>
      <c r="M9" s="430"/>
      <c r="N9" s="430"/>
      <c r="O9" s="430"/>
      <c r="P9" s="430"/>
      <c r="Q9" s="430"/>
      <c r="R9" s="430"/>
      <c r="S9" s="430"/>
      <c r="T9" s="430"/>
      <c r="U9" s="430"/>
      <c r="V9" s="430"/>
      <c r="W9" s="430"/>
    </row>
    <row r="11" spans="1:23">
      <c r="A11" s="13" t="s">
        <v>13</v>
      </c>
      <c r="B11" s="619" t="s">
        <v>197</v>
      </c>
      <c r="C11" s="619"/>
      <c r="D11" s="619"/>
      <c r="E11" s="619"/>
      <c r="F11" s="619"/>
      <c r="G11" s="619"/>
      <c r="H11" s="619"/>
      <c r="I11" s="619"/>
      <c r="J11" s="619"/>
      <c r="K11" s="619"/>
      <c r="L11" s="619"/>
      <c r="M11" s="619"/>
      <c r="N11" s="619"/>
      <c r="O11" s="619"/>
      <c r="P11" s="619"/>
      <c r="Q11" s="619"/>
      <c r="R11" s="619"/>
      <c r="S11" s="619"/>
      <c r="T11" s="619"/>
      <c r="U11" s="619"/>
      <c r="V11" s="619"/>
      <c r="W11" s="619"/>
    </row>
    <row r="12" spans="1:23">
      <c r="A12" s="13" t="s">
        <v>43</v>
      </c>
      <c r="B12" s="96">
        <f>SUM(B26,B40,B54,B68,B82,B96,B110)</f>
        <v>31.345205479452055</v>
      </c>
      <c r="C12" s="46"/>
      <c r="D12" s="46"/>
      <c r="E12" s="46"/>
      <c r="F12" s="46"/>
      <c r="G12" s="46"/>
      <c r="H12" s="46"/>
      <c r="I12" s="46"/>
      <c r="J12" s="46"/>
    </row>
    <row r="13" spans="1:23" ht="15.75" thickBot="1"/>
    <row r="14" spans="1:23">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c r="A19" s="1" t="s">
        <v>27</v>
      </c>
      <c r="B19" s="43" t="s">
        <v>413</v>
      </c>
      <c r="C19" s="43" t="s">
        <v>420</v>
      </c>
      <c r="D19" s="43" t="s">
        <v>421</v>
      </c>
      <c r="E19" s="43" t="s">
        <v>213</v>
      </c>
      <c r="F19" s="43" t="s">
        <v>213</v>
      </c>
      <c r="G19" s="43" t="s">
        <v>213</v>
      </c>
      <c r="H19" s="43" t="s">
        <v>213</v>
      </c>
      <c r="I19" s="43" t="s">
        <v>213</v>
      </c>
      <c r="J19" s="613" t="s">
        <v>422</v>
      </c>
      <c r="K19" s="588"/>
      <c r="L19" s="588"/>
      <c r="M19" s="588"/>
      <c r="N19" s="588"/>
      <c r="O19" s="588"/>
      <c r="P19" s="614"/>
      <c r="Q19" s="43" t="s">
        <v>423</v>
      </c>
      <c r="R19" s="613" t="s">
        <v>422</v>
      </c>
      <c r="S19" s="588"/>
      <c r="T19" s="589"/>
    </row>
    <row r="20" spans="1:23">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c r="A26" s="8" t="s">
        <v>41</v>
      </c>
      <c r="B26" s="634">
        <f>MIN(SUMIFS(B24:J24,B25:J25,1),5)</f>
        <v>5</v>
      </c>
      <c r="C26" s="631"/>
      <c r="D26" s="631"/>
      <c r="E26" s="631"/>
      <c r="F26" s="631"/>
      <c r="G26" s="631"/>
      <c r="H26" s="631"/>
      <c r="I26" s="631"/>
      <c r="J26" s="631"/>
      <c r="K26" s="631"/>
      <c r="L26" s="631"/>
      <c r="M26" s="631"/>
      <c r="N26" s="631"/>
      <c r="O26" s="631"/>
      <c r="P26" s="631"/>
      <c r="Q26" s="631"/>
      <c r="R26" s="631"/>
      <c r="S26" s="631"/>
      <c r="T26" s="632"/>
    </row>
    <row r="27" spans="1:23" ht="17.25" customHeight="1" thickBot="1">
      <c r="A27" s="45"/>
      <c r="B27" s="17"/>
      <c r="C27" s="17"/>
      <c r="D27" s="17"/>
      <c r="E27" s="17"/>
      <c r="F27" s="17"/>
      <c r="G27" s="17"/>
      <c r="H27" s="17"/>
      <c r="I27" s="17"/>
      <c r="J27" s="17"/>
    </row>
    <row r="28" spans="1:23">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c r="A33" s="1" t="s">
        <v>27</v>
      </c>
      <c r="B33" s="611" t="s">
        <v>429</v>
      </c>
      <c r="C33" s="600"/>
      <c r="D33" s="600"/>
      <c r="E33" s="612"/>
      <c r="F33" s="613" t="s">
        <v>430</v>
      </c>
      <c r="G33" s="588"/>
      <c r="H33" s="588"/>
      <c r="I33" s="588"/>
      <c r="J33" s="588"/>
      <c r="K33" s="588"/>
      <c r="L33" s="588"/>
      <c r="M33" s="588"/>
      <c r="N33" s="588"/>
      <c r="O33" s="588"/>
      <c r="P33" s="588"/>
      <c r="Q33" s="588"/>
      <c r="R33" s="588"/>
      <c r="S33" s="588"/>
      <c r="T33" s="588"/>
      <c r="U33" s="614"/>
      <c r="V33" s="43" t="s">
        <v>212</v>
      </c>
      <c r="W33" s="2" t="s">
        <v>431</v>
      </c>
    </row>
    <row r="34" spans="1:23">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c r="A40" s="85" t="s">
        <v>41</v>
      </c>
      <c r="B40" s="630">
        <v>5</v>
      </c>
      <c r="C40" s="631"/>
      <c r="D40" s="631"/>
      <c r="E40" s="631"/>
      <c r="F40" s="631"/>
      <c r="G40" s="631"/>
      <c r="H40" s="631"/>
      <c r="I40" s="631"/>
      <c r="J40" s="631"/>
      <c r="K40" s="631"/>
      <c r="L40" s="631"/>
      <c r="M40" s="631"/>
      <c r="N40" s="631"/>
      <c r="O40" s="631"/>
      <c r="P40" s="631"/>
      <c r="Q40" s="631"/>
      <c r="R40" s="631"/>
      <c r="S40" s="631"/>
      <c r="T40" s="631"/>
      <c r="U40" s="631"/>
      <c r="V40" s="631"/>
      <c r="W40" s="632"/>
    </row>
    <row r="41" spans="1:23" ht="15.75" thickBot="1"/>
    <row r="42" spans="1:23">
      <c r="A42" s="9" t="s">
        <v>224</v>
      </c>
      <c r="B42" s="23" t="s">
        <v>28</v>
      </c>
      <c r="C42" s="23" t="s">
        <v>29</v>
      </c>
      <c r="D42" s="23" t="s">
        <v>30</v>
      </c>
      <c r="E42" s="23" t="s">
        <v>31</v>
      </c>
      <c r="F42" s="23" t="s">
        <v>32</v>
      </c>
      <c r="G42" s="23" t="s">
        <v>33</v>
      </c>
      <c r="H42" s="23" t="s">
        <v>261</v>
      </c>
      <c r="I42" s="23" t="s">
        <v>260</v>
      </c>
      <c r="J42" s="77" t="s">
        <v>259</v>
      </c>
      <c r="K42" s="77" t="s">
        <v>293</v>
      </c>
    </row>
    <row r="43" spans="1:23">
      <c r="A43" s="21" t="s">
        <v>23</v>
      </c>
      <c r="B43" s="613" t="s">
        <v>414</v>
      </c>
      <c r="C43" s="588"/>
      <c r="D43" s="588"/>
      <c r="E43" s="588"/>
      <c r="F43" s="614"/>
      <c r="G43" s="43" t="s">
        <v>433</v>
      </c>
      <c r="H43" s="43" t="s">
        <v>55</v>
      </c>
      <c r="I43" s="43" t="s">
        <v>434</v>
      </c>
      <c r="J43" s="43" t="s">
        <v>435</v>
      </c>
      <c r="K43" s="2" t="s">
        <v>436</v>
      </c>
    </row>
    <row r="44" spans="1:23">
      <c r="A44" s="21" t="s">
        <v>24</v>
      </c>
      <c r="B44" s="43" t="s">
        <v>325</v>
      </c>
      <c r="C44" s="43" t="s">
        <v>325</v>
      </c>
      <c r="D44" s="43" t="s">
        <v>325</v>
      </c>
      <c r="E44" s="43" t="s">
        <v>325</v>
      </c>
      <c r="F44" s="43" t="s">
        <v>325</v>
      </c>
      <c r="G44" s="43" t="s">
        <v>324</v>
      </c>
      <c r="H44" s="43" t="s">
        <v>55</v>
      </c>
      <c r="I44" s="43" t="s">
        <v>323</v>
      </c>
      <c r="J44" s="43" t="s">
        <v>322</v>
      </c>
      <c r="K44" s="2" t="s">
        <v>321</v>
      </c>
    </row>
    <row r="45" spans="1:23">
      <c r="A45" s="21" t="s">
        <v>25</v>
      </c>
      <c r="B45" s="43" t="s">
        <v>153</v>
      </c>
      <c r="C45" s="43" t="s">
        <v>315</v>
      </c>
      <c r="D45" s="43" t="s">
        <v>153</v>
      </c>
      <c r="E45" s="43" t="s">
        <v>315</v>
      </c>
      <c r="F45" s="43" t="s">
        <v>153</v>
      </c>
      <c r="G45" s="43" t="s">
        <v>320</v>
      </c>
      <c r="H45" s="43" t="s">
        <v>319</v>
      </c>
      <c r="I45" s="43" t="s">
        <v>318</v>
      </c>
      <c r="J45" s="43" t="s">
        <v>317</v>
      </c>
      <c r="K45" s="2" t="s">
        <v>316</v>
      </c>
    </row>
    <row r="46" spans="1:23">
      <c r="A46" s="21" t="s">
        <v>26</v>
      </c>
      <c r="B46" s="43" t="s">
        <v>152</v>
      </c>
      <c r="C46" s="43" t="s">
        <v>152</v>
      </c>
      <c r="D46" s="43" t="s">
        <v>152</v>
      </c>
      <c r="E46" s="43" t="s">
        <v>152</v>
      </c>
      <c r="F46" s="43" t="s">
        <v>152</v>
      </c>
      <c r="G46" s="43" t="s">
        <v>152</v>
      </c>
      <c r="H46" s="43" t="s">
        <v>152</v>
      </c>
      <c r="I46" s="43" t="s">
        <v>152</v>
      </c>
      <c r="J46" s="43" t="s">
        <v>152</v>
      </c>
      <c r="K46" s="2" t="s">
        <v>152</v>
      </c>
    </row>
    <row r="47" spans="1:23">
      <c r="A47" s="21" t="s">
        <v>27</v>
      </c>
      <c r="B47" s="613" t="s">
        <v>432</v>
      </c>
      <c r="C47" s="588"/>
      <c r="D47" s="588"/>
      <c r="E47" s="588"/>
      <c r="F47" s="588"/>
      <c r="G47" s="588"/>
      <c r="H47" s="588"/>
      <c r="I47" s="588"/>
      <c r="J47" s="588"/>
      <c r="K47" s="589"/>
    </row>
    <row r="48" spans="1:23">
      <c r="A48" s="21" t="s">
        <v>35</v>
      </c>
      <c r="B48" s="44">
        <v>35989</v>
      </c>
      <c r="C48" s="44">
        <v>36487</v>
      </c>
      <c r="D48" s="44">
        <v>36492</v>
      </c>
      <c r="E48" s="44">
        <v>36542</v>
      </c>
      <c r="F48" s="44">
        <v>36706</v>
      </c>
      <c r="G48" s="44">
        <v>36794</v>
      </c>
      <c r="H48" s="44">
        <v>37330</v>
      </c>
      <c r="I48" s="44">
        <v>37895</v>
      </c>
      <c r="J48" s="44">
        <v>41187</v>
      </c>
      <c r="K48" s="16">
        <v>40974</v>
      </c>
    </row>
    <row r="49" spans="1:21">
      <c r="A49" s="21" t="s">
        <v>34</v>
      </c>
      <c r="B49" s="44">
        <v>36486</v>
      </c>
      <c r="C49" s="44">
        <v>36491</v>
      </c>
      <c r="D49" s="44">
        <v>36541</v>
      </c>
      <c r="E49" s="44">
        <v>36705</v>
      </c>
      <c r="F49" s="44">
        <v>36768</v>
      </c>
      <c r="G49" s="44">
        <v>36977</v>
      </c>
      <c r="H49" s="44">
        <v>37694</v>
      </c>
      <c r="I49" s="44">
        <v>40948</v>
      </c>
      <c r="J49" s="44">
        <v>41395</v>
      </c>
      <c r="K49" s="16">
        <v>41271</v>
      </c>
    </row>
    <row r="50" spans="1:21">
      <c r="A50" s="21" t="s">
        <v>206</v>
      </c>
      <c r="B50" s="44">
        <v>35989</v>
      </c>
      <c r="C50" s="44">
        <v>36487</v>
      </c>
      <c r="D50" s="44">
        <v>36492</v>
      </c>
      <c r="E50" s="44">
        <v>36542</v>
      </c>
      <c r="F50" s="44">
        <v>36706</v>
      </c>
      <c r="G50" s="44">
        <v>36794</v>
      </c>
      <c r="H50" s="44">
        <v>37330</v>
      </c>
      <c r="I50" s="44">
        <v>37895</v>
      </c>
      <c r="J50" s="44">
        <v>41187</v>
      </c>
      <c r="K50" s="16">
        <v>40974</v>
      </c>
    </row>
    <row r="51" spans="1:21">
      <c r="A51" s="21" t="s">
        <v>207</v>
      </c>
      <c r="B51" s="44">
        <v>36486</v>
      </c>
      <c r="C51" s="44">
        <v>36491</v>
      </c>
      <c r="D51" s="44">
        <v>36541</v>
      </c>
      <c r="E51" s="44">
        <v>36705</v>
      </c>
      <c r="F51" s="44">
        <v>36768</v>
      </c>
      <c r="G51" s="44">
        <v>36977</v>
      </c>
      <c r="H51" s="44">
        <v>37694</v>
      </c>
      <c r="I51" s="44">
        <v>40948</v>
      </c>
      <c r="J51" s="44">
        <v>41395</v>
      </c>
      <c r="K51" s="16">
        <v>41271</v>
      </c>
    </row>
    <row r="52" spans="1:21">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c r="A53" s="32" t="s">
        <v>42</v>
      </c>
      <c r="B53" s="86">
        <v>1</v>
      </c>
      <c r="C53" s="87">
        <v>1</v>
      </c>
      <c r="D53" s="87">
        <v>1</v>
      </c>
      <c r="E53" s="87">
        <v>1</v>
      </c>
      <c r="F53" s="86">
        <v>1</v>
      </c>
      <c r="G53" s="87">
        <v>0</v>
      </c>
      <c r="H53" s="87">
        <v>0</v>
      </c>
      <c r="I53" s="87">
        <v>0</v>
      </c>
      <c r="J53" s="87">
        <v>0</v>
      </c>
      <c r="K53" s="92">
        <v>0</v>
      </c>
    </row>
    <row r="54" spans="1:21" ht="15.75" thickBot="1">
      <c r="A54" s="85" t="s">
        <v>41</v>
      </c>
      <c r="B54" s="630">
        <f>MIN(SUMIFS(B52:J52,B53:J53,1),5)</f>
        <v>2.1232876712328768</v>
      </c>
      <c r="C54" s="631"/>
      <c r="D54" s="631"/>
      <c r="E54" s="631"/>
      <c r="F54" s="631"/>
      <c r="G54" s="631"/>
      <c r="H54" s="631"/>
      <c r="I54" s="631"/>
      <c r="J54" s="631"/>
      <c r="K54" s="632"/>
    </row>
    <row r="55" spans="1:21" ht="15.75" thickBot="1"/>
    <row r="56" spans="1:21">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c r="A68" s="8" t="s">
        <v>41</v>
      </c>
      <c r="B68" s="633">
        <f>MIN(SUMIFS(B66:U66,B67:U67,1),5)</f>
        <v>5</v>
      </c>
      <c r="C68" s="628"/>
      <c r="D68" s="628"/>
      <c r="E68" s="628"/>
      <c r="F68" s="628"/>
      <c r="G68" s="628"/>
      <c r="H68" s="628"/>
      <c r="I68" s="628"/>
      <c r="J68" s="628"/>
      <c r="K68" s="628"/>
      <c r="L68" s="628"/>
      <c r="M68" s="628"/>
      <c r="N68" s="628"/>
      <c r="O68" s="628"/>
      <c r="P68" s="628"/>
      <c r="Q68" s="628"/>
      <c r="R68" s="628"/>
      <c r="S68" s="628"/>
      <c r="T68" s="628"/>
      <c r="U68" s="629"/>
    </row>
    <row r="69" spans="1:22" ht="15.75" thickBot="1">
      <c r="A69" s="45"/>
      <c r="B69" s="17"/>
      <c r="C69" s="17"/>
      <c r="D69" s="17"/>
      <c r="E69" s="17"/>
      <c r="F69" s="17"/>
      <c r="G69" s="17"/>
      <c r="H69" s="17"/>
      <c r="I69" s="17"/>
      <c r="J69" s="17"/>
      <c r="K69" s="62"/>
    </row>
    <row r="70" spans="1:22">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c r="A71" s="1" t="s">
        <v>23</v>
      </c>
      <c r="B71" s="39" t="s">
        <v>417</v>
      </c>
      <c r="C71" s="613" t="s">
        <v>446</v>
      </c>
      <c r="D71" s="614"/>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c r="A75" s="1" t="s">
        <v>27</v>
      </c>
      <c r="B75" s="39" t="s">
        <v>212</v>
      </c>
      <c r="C75" s="43" t="s">
        <v>447</v>
      </c>
      <c r="D75" s="43" t="s">
        <v>445</v>
      </c>
      <c r="E75" s="613" t="s">
        <v>192</v>
      </c>
      <c r="F75" s="588"/>
      <c r="G75" s="588"/>
      <c r="H75" s="614"/>
      <c r="I75" s="43" t="s">
        <v>445</v>
      </c>
      <c r="J75" s="613" t="s">
        <v>192</v>
      </c>
      <c r="K75" s="588"/>
      <c r="L75" s="588"/>
      <c r="M75" s="614"/>
      <c r="N75" s="613" t="s">
        <v>448</v>
      </c>
      <c r="O75" s="614"/>
      <c r="P75" s="625" t="s">
        <v>192</v>
      </c>
      <c r="Q75" s="625"/>
      <c r="R75" s="625"/>
      <c r="S75" s="625"/>
      <c r="T75" s="625"/>
      <c r="U75" s="625"/>
      <c r="V75" s="626"/>
    </row>
    <row r="76" spans="1:22">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c r="A82" s="85" t="s">
        <v>41</v>
      </c>
      <c r="B82" s="627">
        <f>MIN(SUMIFS(C80:T80,C81:T81,1),5)</f>
        <v>4.2219178082191782</v>
      </c>
      <c r="C82" s="628"/>
      <c r="D82" s="628"/>
      <c r="E82" s="628"/>
      <c r="F82" s="628"/>
      <c r="G82" s="628"/>
      <c r="H82" s="628"/>
      <c r="I82" s="628"/>
      <c r="J82" s="628"/>
      <c r="K82" s="628"/>
      <c r="L82" s="628"/>
      <c r="M82" s="628"/>
      <c r="N82" s="628"/>
      <c r="O82" s="628"/>
      <c r="P82" s="628"/>
      <c r="Q82" s="628"/>
      <c r="R82" s="628"/>
      <c r="S82" s="628"/>
      <c r="T82" s="628"/>
      <c r="U82" s="628"/>
      <c r="V82" s="629"/>
    </row>
    <row r="83" spans="1:22" ht="15.75" thickBot="1"/>
    <row r="84" spans="1:22">
      <c r="A84" s="9" t="s">
        <v>227</v>
      </c>
      <c r="B84" s="107" t="s">
        <v>28</v>
      </c>
      <c r="C84" s="107" t="s">
        <v>29</v>
      </c>
      <c r="D84" s="106"/>
      <c r="E84" s="107"/>
      <c r="F84" s="101"/>
      <c r="G84" s="101"/>
      <c r="H84" s="101"/>
      <c r="I84" s="101"/>
      <c r="J84" s="102"/>
    </row>
    <row r="85" spans="1:22">
      <c r="A85" s="1" t="s">
        <v>23</v>
      </c>
      <c r="B85" s="99" t="s">
        <v>449</v>
      </c>
      <c r="C85" s="41" t="s">
        <v>264</v>
      </c>
      <c r="D85" s="43"/>
      <c r="E85" s="41"/>
      <c r="F85" s="42"/>
      <c r="G85" s="42"/>
      <c r="H85" s="42"/>
      <c r="I85" s="42"/>
      <c r="J85" s="48"/>
    </row>
    <row r="86" spans="1:22">
      <c r="A86" s="1" t="s">
        <v>24</v>
      </c>
      <c r="B86" s="99" t="s">
        <v>156</v>
      </c>
      <c r="C86" s="99" t="s">
        <v>263</v>
      </c>
      <c r="D86" s="43"/>
      <c r="E86" s="99"/>
      <c r="F86" s="43"/>
      <c r="G86" s="43"/>
      <c r="H86" s="43"/>
      <c r="I86" s="43"/>
      <c r="J86" s="2"/>
    </row>
    <row r="87" spans="1:22">
      <c r="A87" s="1" t="s">
        <v>25</v>
      </c>
      <c r="B87" s="99" t="s">
        <v>158</v>
      </c>
      <c r="C87" s="99" t="s">
        <v>158</v>
      </c>
      <c r="D87" s="43"/>
      <c r="E87" s="99"/>
      <c r="F87" s="43"/>
      <c r="G87" s="43"/>
      <c r="H87" s="43"/>
      <c r="I87" s="43"/>
      <c r="J87" s="2"/>
    </row>
    <row r="88" spans="1:22">
      <c r="A88" s="1" t="s">
        <v>26</v>
      </c>
      <c r="B88" s="99" t="s">
        <v>157</v>
      </c>
      <c r="C88" s="99" t="s">
        <v>157</v>
      </c>
      <c r="D88" s="43"/>
      <c r="E88" s="99"/>
      <c r="F88" s="43"/>
      <c r="G88" s="43"/>
      <c r="H88" s="43"/>
      <c r="I88" s="43"/>
      <c r="J88" s="2"/>
    </row>
    <row r="89" spans="1:22">
      <c r="A89" s="1" t="s">
        <v>27</v>
      </c>
      <c r="B89" s="41" t="s">
        <v>450</v>
      </c>
      <c r="C89" s="41" t="s">
        <v>450</v>
      </c>
      <c r="D89" s="47"/>
      <c r="E89" s="41"/>
      <c r="F89" s="42"/>
      <c r="G89" s="42"/>
      <c r="H89" s="42"/>
      <c r="I89" s="42"/>
      <c r="J89" s="48"/>
    </row>
    <row r="90" spans="1:22">
      <c r="A90" s="1" t="s">
        <v>35</v>
      </c>
      <c r="B90" s="100">
        <v>38333</v>
      </c>
      <c r="C90" s="100">
        <v>40391</v>
      </c>
      <c r="D90" s="43"/>
      <c r="E90" s="100"/>
      <c r="F90" s="43"/>
      <c r="G90" s="43"/>
      <c r="H90" s="43"/>
      <c r="I90" s="43"/>
      <c r="J90" s="2"/>
    </row>
    <row r="91" spans="1:22">
      <c r="A91" s="1" t="s">
        <v>34</v>
      </c>
      <c r="B91" s="100">
        <v>41657</v>
      </c>
      <c r="C91" s="100">
        <v>41656</v>
      </c>
      <c r="D91" s="43"/>
      <c r="E91" s="100"/>
      <c r="F91" s="43"/>
      <c r="G91" s="43"/>
      <c r="H91" s="43"/>
      <c r="I91" s="43"/>
      <c r="J91" s="2"/>
    </row>
    <row r="92" spans="1:22">
      <c r="A92" s="1" t="s">
        <v>208</v>
      </c>
      <c r="B92" s="93">
        <v>38333</v>
      </c>
      <c r="C92" s="93">
        <v>40391</v>
      </c>
      <c r="D92" s="105"/>
      <c r="E92" s="93"/>
      <c r="F92" s="94"/>
      <c r="G92" s="94"/>
      <c r="H92" s="94"/>
      <c r="I92" s="94"/>
      <c r="J92" s="95"/>
    </row>
    <row r="93" spans="1:22">
      <c r="A93" s="1" t="s">
        <v>207</v>
      </c>
      <c r="B93" s="93">
        <v>41655</v>
      </c>
      <c r="C93" s="93">
        <v>41656</v>
      </c>
      <c r="D93" s="105"/>
      <c r="E93" s="93"/>
      <c r="F93" s="94"/>
      <c r="G93" s="94"/>
      <c r="H93" s="94"/>
      <c r="I93" s="94"/>
      <c r="J93" s="95"/>
    </row>
    <row r="94" spans="1:22">
      <c r="A94" s="1" t="s">
        <v>38</v>
      </c>
      <c r="B94" s="108">
        <f t="shared" ref="B94:E94" si="5">(B93-B92)/365</f>
        <v>9.1013698630136979</v>
      </c>
      <c r="C94" s="109"/>
      <c r="D94" s="110"/>
      <c r="E94" s="108">
        <f t="shared" si="5"/>
        <v>0</v>
      </c>
      <c r="F94" s="109"/>
      <c r="G94" s="109"/>
      <c r="H94" s="109"/>
      <c r="I94" s="109"/>
      <c r="J94" s="111"/>
    </row>
    <row r="95" spans="1:22" ht="15.75" thickBot="1">
      <c r="A95" s="4" t="s">
        <v>42</v>
      </c>
      <c r="B95" s="593">
        <v>1</v>
      </c>
      <c r="C95" s="594"/>
      <c r="D95" s="618"/>
      <c r="E95" s="593">
        <v>1</v>
      </c>
      <c r="F95" s="594"/>
      <c r="G95" s="594"/>
      <c r="H95" s="594"/>
      <c r="I95" s="594"/>
      <c r="J95" s="595"/>
    </row>
    <row r="96" spans="1:22" ht="15.75" thickBot="1">
      <c r="A96" s="8" t="s">
        <v>41</v>
      </c>
      <c r="B96" s="616">
        <f>MIN(SUMIFS(B94:J94,B95:J95,1),5)</f>
        <v>5</v>
      </c>
      <c r="C96" s="616"/>
      <c r="D96" s="616"/>
      <c r="E96" s="616"/>
      <c r="F96" s="616"/>
      <c r="G96" s="616"/>
      <c r="H96" s="616"/>
      <c r="I96" s="616"/>
      <c r="J96" s="617"/>
    </row>
    <row r="97" spans="1:10" ht="15.75" thickBot="1"/>
    <row r="98" spans="1:10">
      <c r="A98" s="9" t="s">
        <v>262</v>
      </c>
      <c r="B98" s="107" t="s">
        <v>28</v>
      </c>
      <c r="C98" s="101"/>
      <c r="D98" s="101"/>
      <c r="E98" s="101"/>
      <c r="F98" s="101"/>
      <c r="G98" s="101"/>
      <c r="H98" s="101"/>
      <c r="I98" s="101"/>
      <c r="J98" s="102"/>
    </row>
    <row r="99" spans="1:10">
      <c r="A99" s="3" t="s">
        <v>23</v>
      </c>
      <c r="B99" s="41" t="s">
        <v>451</v>
      </c>
      <c r="C99" s="42"/>
      <c r="D99" s="42"/>
      <c r="E99" s="42"/>
      <c r="F99" s="42"/>
      <c r="G99" s="42"/>
      <c r="H99" s="42"/>
      <c r="I99" s="42"/>
      <c r="J99" s="48"/>
    </row>
    <row r="100" spans="1:10">
      <c r="A100" s="1" t="s">
        <v>24</v>
      </c>
      <c r="B100" s="99" t="s">
        <v>258</v>
      </c>
      <c r="C100" s="43"/>
      <c r="D100" s="43"/>
      <c r="E100" s="43"/>
      <c r="F100" s="43"/>
      <c r="G100" s="43"/>
      <c r="H100" s="43"/>
      <c r="I100" s="43"/>
      <c r="J100" s="2"/>
    </row>
    <row r="101" spans="1:10">
      <c r="A101" s="1" t="s">
        <v>25</v>
      </c>
      <c r="B101" s="99" t="s">
        <v>257</v>
      </c>
      <c r="C101" s="43"/>
      <c r="D101" s="43"/>
      <c r="E101" s="43"/>
      <c r="F101" s="43"/>
      <c r="G101" s="43"/>
      <c r="H101" s="43"/>
      <c r="I101" s="43"/>
      <c r="J101" s="2"/>
    </row>
    <row r="102" spans="1:10">
      <c r="A102" s="1" t="s">
        <v>26</v>
      </c>
      <c r="B102" s="99" t="s">
        <v>159</v>
      </c>
      <c r="C102" s="43"/>
      <c r="D102" s="43"/>
      <c r="E102" s="43"/>
      <c r="F102" s="43"/>
      <c r="G102" s="43"/>
      <c r="H102" s="43"/>
      <c r="I102" s="43"/>
      <c r="J102" s="2"/>
    </row>
    <row r="103" spans="1:10">
      <c r="A103" s="1" t="s">
        <v>27</v>
      </c>
      <c r="B103" s="41" t="s">
        <v>216</v>
      </c>
      <c r="C103" s="42"/>
      <c r="D103" s="42"/>
      <c r="E103" s="42"/>
      <c r="F103" s="42"/>
      <c r="G103" s="42"/>
      <c r="H103" s="42"/>
      <c r="I103" s="42"/>
      <c r="J103" s="48"/>
    </row>
    <row r="104" spans="1:10" ht="18" customHeight="1">
      <c r="A104" s="1" t="s">
        <v>35</v>
      </c>
      <c r="B104" s="100">
        <v>37773</v>
      </c>
      <c r="C104" s="43"/>
      <c r="D104" s="43"/>
      <c r="E104" s="43"/>
      <c r="F104" s="43"/>
      <c r="G104" s="43"/>
      <c r="H104" s="43"/>
      <c r="I104" s="43"/>
      <c r="J104" s="2"/>
    </row>
    <row r="105" spans="1:10">
      <c r="A105" s="1" t="s">
        <v>34</v>
      </c>
      <c r="B105" s="100">
        <v>40907</v>
      </c>
      <c r="C105" s="43"/>
      <c r="D105" s="43"/>
      <c r="E105" s="43"/>
      <c r="F105" s="43"/>
      <c r="G105" s="43"/>
      <c r="H105" s="43"/>
      <c r="I105" s="43"/>
      <c r="J105" s="2"/>
    </row>
    <row r="106" spans="1:10">
      <c r="A106" s="1" t="s">
        <v>206</v>
      </c>
      <c r="B106" s="93">
        <v>37773</v>
      </c>
      <c r="C106" s="94"/>
      <c r="D106" s="94"/>
      <c r="E106" s="94"/>
      <c r="F106" s="94"/>
      <c r="G106" s="94"/>
      <c r="H106" s="94"/>
      <c r="I106" s="94"/>
      <c r="J106" s="95"/>
    </row>
    <row r="107" spans="1:10">
      <c r="A107" s="1" t="s">
        <v>209</v>
      </c>
      <c r="B107" s="93">
        <v>40907</v>
      </c>
      <c r="C107" s="94"/>
      <c r="D107" s="94"/>
      <c r="E107" s="94"/>
      <c r="F107" s="94"/>
      <c r="G107" s="94"/>
      <c r="H107" s="94"/>
      <c r="I107" s="94"/>
      <c r="J107" s="95"/>
    </row>
    <row r="108" spans="1:10">
      <c r="A108" s="1" t="s">
        <v>38</v>
      </c>
      <c r="B108" s="108">
        <f t="shared" ref="B108" si="6">(B107-B106)/365</f>
        <v>8.5863013698630137</v>
      </c>
      <c r="C108" s="109"/>
      <c r="D108" s="109"/>
      <c r="E108" s="109"/>
      <c r="F108" s="109"/>
      <c r="G108" s="109"/>
      <c r="H108" s="109"/>
      <c r="I108" s="109"/>
      <c r="J108" s="111"/>
    </row>
    <row r="109" spans="1:10" ht="15.75" thickBot="1">
      <c r="A109" s="4" t="s">
        <v>42</v>
      </c>
      <c r="B109" s="593">
        <v>1</v>
      </c>
      <c r="C109" s="594"/>
      <c r="D109" s="594"/>
      <c r="E109" s="594"/>
      <c r="F109" s="594"/>
      <c r="G109" s="594"/>
      <c r="H109" s="594"/>
      <c r="I109" s="594"/>
      <c r="J109" s="595"/>
    </row>
    <row r="110" spans="1:10" ht="15.75" thickBot="1">
      <c r="A110" s="8" t="s">
        <v>41</v>
      </c>
      <c r="B110" s="616">
        <f>MIN(SUMIFS(B108:J108,B109:J109,1),5)</f>
        <v>5</v>
      </c>
      <c r="C110" s="616"/>
      <c r="D110" s="616"/>
      <c r="E110" s="616"/>
      <c r="F110" s="616"/>
      <c r="G110" s="616"/>
      <c r="H110" s="616"/>
      <c r="I110" s="616"/>
      <c r="J110" s="617"/>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c r="A6" s="430" t="s">
        <v>201</v>
      </c>
      <c r="B6" s="430"/>
      <c r="C6" s="430"/>
      <c r="D6" s="430"/>
      <c r="E6" s="430"/>
      <c r="F6" s="430"/>
      <c r="G6" s="430"/>
      <c r="H6" s="430"/>
      <c r="I6" s="430"/>
      <c r="J6" s="430"/>
      <c r="K6" s="430"/>
      <c r="L6" s="430"/>
      <c r="M6" s="430"/>
      <c r="N6" s="430"/>
      <c r="O6" s="430"/>
      <c r="P6" s="40"/>
      <c r="Q6" s="40"/>
      <c r="R6" s="40"/>
      <c r="S6" s="40"/>
      <c r="T6" s="40"/>
      <c r="U6" s="40"/>
      <c r="V6" s="40"/>
      <c r="W6" s="40"/>
    </row>
    <row r="7" spans="1:23">
      <c r="A7" s="430" t="s">
        <v>202</v>
      </c>
      <c r="B7" s="430"/>
      <c r="C7" s="430"/>
      <c r="D7" s="430"/>
      <c r="E7" s="430"/>
      <c r="F7" s="430"/>
      <c r="G7" s="430"/>
      <c r="H7" s="430"/>
      <c r="I7" s="430"/>
      <c r="J7" s="430"/>
      <c r="K7" s="430"/>
      <c r="L7" s="430"/>
      <c r="M7" s="430"/>
      <c r="N7" s="430"/>
      <c r="O7" s="430"/>
      <c r="P7" s="40"/>
      <c r="Q7" s="40"/>
      <c r="R7" s="40"/>
      <c r="S7" s="40"/>
      <c r="T7" s="40"/>
      <c r="U7" s="40"/>
      <c r="V7" s="40"/>
      <c r="W7" s="40"/>
    </row>
    <row r="8" spans="1:23">
      <c r="A8" s="430" t="s">
        <v>203</v>
      </c>
      <c r="B8" s="430"/>
      <c r="C8" s="430"/>
      <c r="D8" s="430"/>
      <c r="E8" s="430"/>
      <c r="F8" s="430"/>
      <c r="G8" s="430"/>
      <c r="H8" s="430"/>
      <c r="I8" s="430"/>
      <c r="J8" s="430"/>
      <c r="K8" s="430"/>
      <c r="L8" s="430"/>
      <c r="M8" s="430"/>
      <c r="N8" s="430"/>
      <c r="O8" s="430"/>
      <c r="P8" s="40"/>
      <c r="Q8" s="40"/>
      <c r="R8" s="40"/>
      <c r="S8" s="40"/>
      <c r="T8" s="40"/>
      <c r="U8" s="40"/>
      <c r="V8" s="40"/>
      <c r="W8" s="40"/>
    </row>
    <row r="9" spans="1:23">
      <c r="A9" s="430" t="s">
        <v>473</v>
      </c>
      <c r="B9" s="430"/>
      <c r="C9" s="430"/>
      <c r="D9" s="430"/>
      <c r="E9" s="430"/>
      <c r="F9" s="430"/>
      <c r="G9" s="430"/>
      <c r="H9" s="430"/>
      <c r="I9" s="430"/>
      <c r="J9" s="430"/>
      <c r="K9" s="430"/>
      <c r="L9" s="430"/>
      <c r="M9" s="430"/>
      <c r="N9" s="430"/>
      <c r="O9" s="430"/>
      <c r="P9" s="40"/>
      <c r="Q9" s="40"/>
      <c r="R9" s="40"/>
      <c r="S9" s="40"/>
      <c r="T9" s="40"/>
      <c r="U9" s="40"/>
      <c r="V9" s="40"/>
      <c r="W9" s="40"/>
    </row>
    <row r="11" spans="1:23">
      <c r="A11" s="13" t="s">
        <v>13</v>
      </c>
      <c r="B11" s="619" t="s">
        <v>198</v>
      </c>
      <c r="C11" s="619"/>
      <c r="D11" s="619"/>
      <c r="E11" s="619"/>
      <c r="F11" s="619"/>
      <c r="G11" s="619"/>
      <c r="H11" s="619"/>
      <c r="I11" s="619"/>
      <c r="J11" s="619"/>
      <c r="K11" s="619"/>
      <c r="L11" s="619"/>
      <c r="M11" s="619"/>
      <c r="N11" s="619"/>
      <c r="O11" s="619"/>
    </row>
    <row r="12" spans="1:23">
      <c r="A12" s="13" t="s">
        <v>43</v>
      </c>
      <c r="B12" s="96">
        <f>SUM(B26,B40,B54,B68,B96,B82,B110)</f>
        <v>30.265753424657536</v>
      </c>
      <c r="C12" s="46"/>
      <c r="D12" s="46"/>
      <c r="E12" s="46"/>
      <c r="F12" s="46"/>
      <c r="G12" s="46"/>
      <c r="H12" s="46"/>
      <c r="I12" s="46"/>
      <c r="J12" s="46"/>
    </row>
    <row r="13" spans="1:23" ht="15.75" thickBot="1"/>
    <row r="14" spans="1:23">
      <c r="A14" s="9" t="s">
        <v>411</v>
      </c>
      <c r="B14" s="596" t="s">
        <v>28</v>
      </c>
      <c r="C14" s="597"/>
      <c r="D14" s="597"/>
      <c r="E14" s="597"/>
      <c r="F14" s="598"/>
    </row>
    <row r="15" spans="1:23">
      <c r="A15" s="21" t="s">
        <v>23</v>
      </c>
      <c r="B15" s="41" t="s">
        <v>372</v>
      </c>
      <c r="C15" s="42"/>
      <c r="D15" s="42"/>
      <c r="E15" s="42"/>
      <c r="F15" s="48"/>
    </row>
    <row r="16" spans="1:23">
      <c r="A16" s="21" t="s">
        <v>24</v>
      </c>
      <c r="B16" s="43" t="s">
        <v>410</v>
      </c>
      <c r="C16" s="43"/>
      <c r="D16" s="43"/>
      <c r="E16" s="43"/>
      <c r="F16" s="2"/>
    </row>
    <row r="17" spans="1:15">
      <c r="A17" s="21" t="s">
        <v>25</v>
      </c>
      <c r="B17" s="43"/>
      <c r="C17" s="43"/>
      <c r="D17" s="43"/>
      <c r="E17" s="43"/>
      <c r="F17" s="2"/>
    </row>
    <row r="18" spans="1:15">
      <c r="A18" s="21" t="s">
        <v>26</v>
      </c>
      <c r="B18" s="43"/>
      <c r="C18" s="43"/>
      <c r="D18" s="43"/>
      <c r="E18" s="43"/>
      <c r="F18" s="2"/>
    </row>
    <row r="19" spans="1:15">
      <c r="A19" s="21" t="s">
        <v>27</v>
      </c>
      <c r="B19" s="41" t="s">
        <v>467</v>
      </c>
      <c r="C19" s="42"/>
      <c r="D19" s="42"/>
      <c r="E19" s="42"/>
      <c r="F19" s="48"/>
    </row>
    <row r="20" spans="1:15">
      <c r="A20" s="21" t="s">
        <v>35</v>
      </c>
      <c r="B20" s="43"/>
      <c r="C20" s="43"/>
      <c r="D20" s="43"/>
      <c r="E20" s="43"/>
      <c r="F20" s="2"/>
    </row>
    <row r="21" spans="1:15">
      <c r="A21" s="21" t="s">
        <v>34</v>
      </c>
      <c r="B21" s="43"/>
      <c r="C21" s="43"/>
      <c r="D21" s="43"/>
      <c r="E21" s="43"/>
      <c r="F21" s="2"/>
    </row>
    <row r="22" spans="1:15">
      <c r="A22" s="21" t="s">
        <v>36</v>
      </c>
      <c r="B22" s="93">
        <v>37654</v>
      </c>
      <c r="C22" s="94">
        <v>39353</v>
      </c>
      <c r="D22" s="94">
        <v>37888</v>
      </c>
      <c r="E22" s="94">
        <v>39815</v>
      </c>
      <c r="F22" s="95">
        <v>41134</v>
      </c>
    </row>
    <row r="23" spans="1:15">
      <c r="A23" s="21" t="s">
        <v>37</v>
      </c>
      <c r="B23" s="93">
        <v>38352</v>
      </c>
      <c r="C23" s="94">
        <v>39937</v>
      </c>
      <c r="D23" s="94">
        <v>38383</v>
      </c>
      <c r="E23" s="94">
        <v>40556</v>
      </c>
      <c r="F23" s="95">
        <v>41305</v>
      </c>
    </row>
    <row r="24" spans="1:15">
      <c r="A24" s="21" t="s">
        <v>38</v>
      </c>
      <c r="B24" s="41">
        <f>(B23-B22)/365</f>
        <v>1.9123287671232876</v>
      </c>
      <c r="C24" s="42">
        <f>(C23-C22)/365</f>
        <v>1.6</v>
      </c>
      <c r="D24" s="42">
        <f>(D23-D22)/365</f>
        <v>1.3561643835616439</v>
      </c>
      <c r="E24" s="42">
        <f>(E23-E22)/365</f>
        <v>2.0301369863013701</v>
      </c>
      <c r="F24" s="48">
        <f>(F23-F22)/365</f>
        <v>0.46849315068493153</v>
      </c>
    </row>
    <row r="25" spans="1:15" ht="15.75" thickBot="1">
      <c r="A25" s="32" t="s">
        <v>42</v>
      </c>
      <c r="B25" s="88">
        <v>1</v>
      </c>
      <c r="C25" s="89">
        <v>1</v>
      </c>
      <c r="D25" s="89">
        <v>1</v>
      </c>
      <c r="E25" s="89">
        <v>0</v>
      </c>
      <c r="F25" s="90">
        <v>0</v>
      </c>
    </row>
    <row r="26" spans="1:15" ht="15.75" thickBot="1">
      <c r="A26" s="85" t="s">
        <v>41</v>
      </c>
      <c r="B26" s="627">
        <f>B24+C24+D24</f>
        <v>4.868493150684932</v>
      </c>
      <c r="C26" s="628"/>
      <c r="D26" s="628"/>
      <c r="E26" s="628"/>
      <c r="F26" s="629"/>
    </row>
    <row r="27" spans="1:15" ht="15.75" thickBot="1"/>
    <row r="28" spans="1:1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c r="A30" s="1" t="s">
        <v>24</v>
      </c>
      <c r="B30" s="38" t="s">
        <v>405</v>
      </c>
      <c r="C30" s="38"/>
      <c r="D30" s="38"/>
      <c r="E30" s="38"/>
      <c r="F30" s="43"/>
      <c r="G30" s="43"/>
      <c r="H30" s="43"/>
      <c r="I30" s="43"/>
      <c r="J30" s="43"/>
      <c r="K30" s="43"/>
      <c r="L30" s="43"/>
      <c r="M30" s="43"/>
      <c r="N30" s="43"/>
      <c r="O30" s="2"/>
    </row>
    <row r="31" spans="1:1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c r="A32" s="21" t="s">
        <v>26</v>
      </c>
      <c r="B32" s="43" t="s">
        <v>395</v>
      </c>
      <c r="C32" s="43"/>
      <c r="D32" s="43"/>
      <c r="E32" s="43"/>
      <c r="F32" s="43"/>
      <c r="G32" s="43"/>
      <c r="H32" s="43"/>
      <c r="I32" s="43"/>
      <c r="J32" s="43"/>
      <c r="K32" s="43"/>
      <c r="L32" s="43"/>
      <c r="M32" s="43"/>
      <c r="N32" s="43"/>
      <c r="O32" s="2"/>
    </row>
    <row r="33" spans="1:15" ht="105">
      <c r="A33" s="97" t="s">
        <v>27</v>
      </c>
      <c r="B33" s="98" t="s">
        <v>453</v>
      </c>
      <c r="C33" s="635" t="s">
        <v>454</v>
      </c>
      <c r="D33" s="636"/>
      <c r="E33" s="98" t="s">
        <v>456</v>
      </c>
      <c r="F33" s="37" t="s">
        <v>457</v>
      </c>
      <c r="G33" s="37" t="s">
        <v>458</v>
      </c>
      <c r="H33" s="37" t="s">
        <v>459</v>
      </c>
      <c r="I33" s="37" t="s">
        <v>460</v>
      </c>
      <c r="J33" s="635" t="s">
        <v>461</v>
      </c>
      <c r="K33" s="637"/>
      <c r="L33" s="636"/>
      <c r="M33" s="37" t="s">
        <v>462</v>
      </c>
      <c r="N33" s="37" t="s">
        <v>463</v>
      </c>
      <c r="O33" s="49" t="s">
        <v>464</v>
      </c>
    </row>
    <row r="34" spans="1:15">
      <c r="A34" s="1" t="s">
        <v>35</v>
      </c>
      <c r="B34" s="38"/>
      <c r="C34" s="38"/>
      <c r="D34" s="38"/>
      <c r="E34" s="38"/>
      <c r="F34" s="43"/>
      <c r="G34" s="43"/>
      <c r="H34" s="43"/>
      <c r="I34" s="43"/>
      <c r="J34" s="43"/>
      <c r="K34" s="43"/>
      <c r="L34" s="43"/>
      <c r="M34" s="43"/>
      <c r="N34" s="43"/>
      <c r="O34" s="2"/>
    </row>
    <row r="35" spans="1:15">
      <c r="A35" s="1" t="s">
        <v>34</v>
      </c>
      <c r="B35" s="38"/>
      <c r="C35" s="38"/>
      <c r="D35" s="38"/>
      <c r="E35" s="38"/>
      <c r="F35" s="43"/>
      <c r="G35" s="43"/>
      <c r="H35" s="43"/>
      <c r="I35" s="43"/>
      <c r="J35" s="43"/>
      <c r="K35" s="43"/>
      <c r="L35" s="43"/>
      <c r="M35" s="43"/>
      <c r="N35" s="43"/>
      <c r="O35" s="2"/>
    </row>
    <row r="36" spans="1:1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c r="A40" s="8" t="s">
        <v>41</v>
      </c>
      <c r="B40" s="602">
        <f>B38+C38+D38+E38+F38+G38+H38+I38+J38+K38+L38+M38+N38+O38</f>
        <v>4.0904109589041102</v>
      </c>
      <c r="C40" s="616"/>
      <c r="D40" s="616"/>
      <c r="E40" s="616"/>
      <c r="F40" s="616"/>
      <c r="G40" s="616"/>
      <c r="H40" s="616"/>
      <c r="I40" s="616"/>
      <c r="J40" s="617"/>
    </row>
    <row r="41" spans="1:15" ht="15.75" thickBot="1"/>
    <row r="42" spans="1:15">
      <c r="A42" s="9" t="s">
        <v>394</v>
      </c>
      <c r="B42" s="596" t="s">
        <v>28</v>
      </c>
      <c r="C42" s="597"/>
      <c r="D42" s="597"/>
      <c r="E42" s="597"/>
      <c r="F42" s="597"/>
      <c r="G42" s="597"/>
      <c r="H42" s="597"/>
      <c r="I42" s="597"/>
      <c r="J42" s="598"/>
    </row>
    <row r="43" spans="1:15">
      <c r="A43" s="21" t="s">
        <v>23</v>
      </c>
      <c r="B43" s="41" t="s">
        <v>393</v>
      </c>
      <c r="C43" s="42"/>
      <c r="D43" s="42"/>
      <c r="E43" s="42"/>
      <c r="F43" s="42"/>
      <c r="G43" s="42"/>
      <c r="H43" s="42"/>
      <c r="I43" s="42"/>
      <c r="J43" s="48"/>
    </row>
    <row r="44" spans="1:15">
      <c r="A44" s="21" t="s">
        <v>24</v>
      </c>
      <c r="B44" s="43" t="s">
        <v>392</v>
      </c>
      <c r="C44" s="43"/>
      <c r="D44" s="43"/>
      <c r="E44" s="43"/>
      <c r="F44" s="43"/>
      <c r="G44" s="43"/>
      <c r="H44" s="43"/>
      <c r="I44" s="43"/>
      <c r="J44" s="2"/>
    </row>
    <row r="45" spans="1:15">
      <c r="A45" s="21" t="s">
        <v>25</v>
      </c>
      <c r="B45" s="43"/>
      <c r="C45" s="43"/>
      <c r="D45" s="43"/>
      <c r="E45" s="43"/>
      <c r="F45" s="43"/>
      <c r="G45" s="43"/>
      <c r="H45" s="43"/>
      <c r="I45" s="43"/>
      <c r="J45" s="2"/>
    </row>
    <row r="46" spans="1:15">
      <c r="A46" s="21" t="s">
        <v>26</v>
      </c>
      <c r="B46" s="43" t="s">
        <v>391</v>
      </c>
      <c r="C46" s="43"/>
      <c r="D46" s="43"/>
      <c r="E46" s="43"/>
      <c r="F46" s="43"/>
      <c r="G46" s="43"/>
      <c r="H46" s="43"/>
      <c r="I46" s="43"/>
      <c r="J46" s="2"/>
    </row>
    <row r="47" spans="1:15">
      <c r="A47" s="21" t="s">
        <v>27</v>
      </c>
      <c r="B47" s="41" t="s">
        <v>466</v>
      </c>
      <c r="C47" s="42"/>
      <c r="D47" s="42"/>
      <c r="E47" s="42"/>
      <c r="F47" s="42"/>
      <c r="G47" s="42"/>
      <c r="H47" s="42"/>
      <c r="I47" s="42"/>
      <c r="J47" s="48"/>
    </row>
    <row r="48" spans="1:15">
      <c r="A48" s="21" t="s">
        <v>35</v>
      </c>
      <c r="B48" s="43"/>
      <c r="C48" s="43"/>
      <c r="D48" s="43"/>
      <c r="E48" s="43"/>
      <c r="F48" s="43"/>
      <c r="G48" s="43"/>
      <c r="H48" s="43" t="s">
        <v>390</v>
      </c>
      <c r="I48" s="43"/>
      <c r="J48" s="2"/>
    </row>
    <row r="49" spans="1:10">
      <c r="A49" s="21" t="s">
        <v>34</v>
      </c>
      <c r="B49" s="43"/>
      <c r="C49" s="43"/>
      <c r="D49" s="43"/>
      <c r="E49" s="43"/>
      <c r="F49" s="43"/>
      <c r="G49" s="43"/>
      <c r="H49" s="43"/>
      <c r="I49" s="43"/>
      <c r="J49" s="2"/>
    </row>
    <row r="50" spans="1:10">
      <c r="A50" s="21" t="s">
        <v>36</v>
      </c>
      <c r="B50" s="112">
        <v>36404</v>
      </c>
      <c r="C50" s="113"/>
      <c r="D50" s="113"/>
      <c r="E50" s="113"/>
      <c r="F50" s="113"/>
      <c r="G50" s="113"/>
      <c r="H50" s="113"/>
      <c r="I50" s="113"/>
      <c r="J50" s="114"/>
    </row>
    <row r="51" spans="1:10">
      <c r="A51" s="21" t="s">
        <v>37</v>
      </c>
      <c r="B51" s="93">
        <v>38383</v>
      </c>
      <c r="C51" s="94"/>
      <c r="D51" s="94"/>
      <c r="E51" s="94"/>
      <c r="F51" s="94"/>
      <c r="G51" s="94"/>
      <c r="H51" s="94"/>
      <c r="I51" s="94"/>
      <c r="J51" s="95"/>
    </row>
    <row r="52" spans="1:10">
      <c r="A52" s="21" t="s">
        <v>38</v>
      </c>
      <c r="B52" s="108">
        <f t="shared" ref="B52" si="1">(B51-B50)/365</f>
        <v>5.4219178082191783</v>
      </c>
      <c r="C52" s="109"/>
      <c r="D52" s="109"/>
      <c r="E52" s="109"/>
      <c r="F52" s="109"/>
      <c r="G52" s="109"/>
      <c r="H52" s="109"/>
      <c r="I52" s="109"/>
      <c r="J52" s="111"/>
    </row>
    <row r="53" spans="1:10" ht="15.75" thickBot="1">
      <c r="A53" s="32" t="s">
        <v>42</v>
      </c>
      <c r="B53" s="88">
        <v>1</v>
      </c>
      <c r="C53" s="89"/>
      <c r="D53" s="89"/>
      <c r="E53" s="89"/>
      <c r="F53" s="89"/>
      <c r="G53" s="89"/>
      <c r="H53" s="89"/>
      <c r="I53" s="89"/>
      <c r="J53" s="90"/>
    </row>
    <row r="54" spans="1:10" ht="15.75" thickBot="1">
      <c r="A54" s="8" t="s">
        <v>41</v>
      </c>
      <c r="B54" s="115">
        <v>5</v>
      </c>
      <c r="C54" s="116"/>
      <c r="D54" s="116"/>
      <c r="E54" s="116"/>
      <c r="F54" s="116"/>
      <c r="G54" s="116"/>
      <c r="H54" s="116"/>
      <c r="I54" s="116"/>
      <c r="J54" s="117"/>
    </row>
    <row r="55" spans="1:10" ht="15.75" thickBot="1"/>
    <row r="56" spans="1:10">
      <c r="A56" s="9" t="s">
        <v>385</v>
      </c>
      <c r="B56" s="596" t="s">
        <v>28</v>
      </c>
      <c r="C56" s="597"/>
      <c r="D56" s="597"/>
      <c r="E56" s="597"/>
      <c r="F56" s="597"/>
      <c r="G56" s="597"/>
      <c r="H56" s="597"/>
      <c r="I56" s="597"/>
      <c r="J56" s="598"/>
    </row>
    <row r="57" spans="1:10">
      <c r="A57" s="1" t="s">
        <v>23</v>
      </c>
      <c r="B57" s="41" t="s">
        <v>389</v>
      </c>
      <c r="C57" s="42"/>
      <c r="D57" s="42"/>
      <c r="E57" s="42"/>
      <c r="F57" s="42"/>
      <c r="G57" s="42"/>
      <c r="H57" s="42"/>
      <c r="I57" s="42"/>
      <c r="J57" s="48"/>
    </row>
    <row r="58" spans="1:10">
      <c r="A58" s="1" t="s">
        <v>24</v>
      </c>
      <c r="B58" s="43" t="s">
        <v>388</v>
      </c>
      <c r="C58" s="43"/>
      <c r="D58" s="43"/>
      <c r="E58" s="43"/>
      <c r="F58" s="43"/>
      <c r="G58" s="43"/>
      <c r="H58" s="43"/>
      <c r="I58" s="43"/>
      <c r="J58" s="2"/>
    </row>
    <row r="59" spans="1:10">
      <c r="A59" s="1" t="s">
        <v>25</v>
      </c>
      <c r="B59" s="43"/>
      <c r="C59" s="43"/>
      <c r="D59" s="43"/>
      <c r="E59" s="43"/>
      <c r="F59" s="43"/>
      <c r="G59" s="43"/>
      <c r="H59" s="43"/>
      <c r="I59" s="43"/>
      <c r="J59" s="2"/>
    </row>
    <row r="60" spans="1:10">
      <c r="A60" s="1" t="s">
        <v>26</v>
      </c>
      <c r="B60" s="43" t="s">
        <v>387</v>
      </c>
      <c r="C60" s="43"/>
      <c r="D60" s="43"/>
      <c r="E60" s="43"/>
      <c r="F60" s="43"/>
      <c r="G60" s="43"/>
      <c r="H60" s="43"/>
      <c r="I60" s="43"/>
      <c r="J60" s="2"/>
    </row>
    <row r="61" spans="1:10">
      <c r="A61" s="1" t="s">
        <v>27</v>
      </c>
      <c r="B61" s="41" t="s">
        <v>386</v>
      </c>
      <c r="C61" s="42"/>
      <c r="D61" s="42"/>
      <c r="E61" s="42"/>
      <c r="F61" s="42"/>
      <c r="G61" s="42"/>
      <c r="H61" s="42"/>
      <c r="I61" s="42"/>
      <c r="J61" s="48"/>
    </row>
    <row r="62" spans="1:10">
      <c r="A62" s="1" t="s">
        <v>35</v>
      </c>
      <c r="B62" s="103"/>
      <c r="C62" s="43"/>
      <c r="D62" s="43"/>
      <c r="E62" s="43"/>
      <c r="F62" s="43"/>
      <c r="G62" s="43"/>
      <c r="H62" s="43"/>
      <c r="I62" s="43"/>
      <c r="J62" s="2"/>
    </row>
    <row r="63" spans="1:10">
      <c r="A63" s="1" t="s">
        <v>34</v>
      </c>
      <c r="B63" s="103"/>
      <c r="C63" s="43"/>
      <c r="D63" s="43"/>
      <c r="E63" s="43"/>
      <c r="F63" s="43"/>
      <c r="G63" s="43"/>
      <c r="H63" s="43"/>
      <c r="I63" s="43"/>
      <c r="J63" s="2"/>
    </row>
    <row r="64" spans="1:10">
      <c r="A64" s="1" t="s">
        <v>36</v>
      </c>
      <c r="B64" s="112">
        <v>40058</v>
      </c>
      <c r="C64" s="113"/>
      <c r="D64" s="113"/>
      <c r="E64" s="113"/>
      <c r="F64" s="113"/>
      <c r="G64" s="113"/>
      <c r="H64" s="113"/>
      <c r="I64" s="113"/>
      <c r="J64" s="114"/>
    </row>
    <row r="65" spans="1:10">
      <c r="A65" s="1" t="s">
        <v>37</v>
      </c>
      <c r="B65" s="93">
        <v>41660</v>
      </c>
      <c r="C65" s="94"/>
      <c r="D65" s="94"/>
      <c r="E65" s="94"/>
      <c r="F65" s="94"/>
      <c r="G65" s="94"/>
      <c r="H65" s="94"/>
      <c r="I65" s="94"/>
      <c r="J65" s="95"/>
    </row>
    <row r="66" spans="1:10">
      <c r="A66" s="1" t="s">
        <v>38</v>
      </c>
      <c r="B66" s="108">
        <f t="shared" ref="B66" si="2">(B65-B64)/365</f>
        <v>4.3890410958904109</v>
      </c>
      <c r="C66" s="109"/>
      <c r="D66" s="109"/>
      <c r="E66" s="109"/>
      <c r="F66" s="109"/>
      <c r="G66" s="109"/>
      <c r="H66" s="109"/>
      <c r="I66" s="109"/>
      <c r="J66" s="111"/>
    </row>
    <row r="67" spans="1:10" ht="15.75" thickBot="1">
      <c r="A67" s="4" t="s">
        <v>42</v>
      </c>
      <c r="B67" s="88">
        <v>1</v>
      </c>
      <c r="C67" s="89"/>
      <c r="D67" s="89"/>
      <c r="E67" s="89"/>
      <c r="F67" s="89"/>
      <c r="G67" s="89"/>
      <c r="H67" s="89"/>
      <c r="I67" s="89"/>
      <c r="J67" s="90"/>
    </row>
    <row r="68" spans="1:10" ht="15.75" thickBot="1">
      <c r="A68" s="8" t="s">
        <v>41</v>
      </c>
      <c r="B68" s="602">
        <f>B66</f>
        <v>4.3890410958904109</v>
      </c>
      <c r="C68" s="616"/>
      <c r="D68" s="616"/>
      <c r="E68" s="616"/>
      <c r="F68" s="616"/>
      <c r="G68" s="616"/>
      <c r="H68" s="616"/>
      <c r="I68" s="616"/>
      <c r="J68" s="617"/>
    </row>
    <row r="69" spans="1:10" ht="15.75" thickBot="1">
      <c r="A69" s="45"/>
      <c r="B69" s="17"/>
      <c r="C69" s="17"/>
      <c r="D69" s="17"/>
      <c r="E69" s="17"/>
      <c r="F69" s="17"/>
      <c r="G69" s="17"/>
      <c r="H69" s="17"/>
      <c r="I69" s="17"/>
      <c r="J69" s="17"/>
    </row>
    <row r="70" spans="1:10">
      <c r="A70" s="9" t="s">
        <v>385</v>
      </c>
      <c r="B70" s="596" t="s">
        <v>28</v>
      </c>
      <c r="C70" s="597"/>
      <c r="D70" s="597"/>
      <c r="E70" s="615"/>
      <c r="F70" s="596" t="s">
        <v>29</v>
      </c>
      <c r="G70" s="597"/>
      <c r="H70" s="597"/>
      <c r="I70" s="597"/>
      <c r="J70" s="598"/>
    </row>
    <row r="71" spans="1:10">
      <c r="A71" s="1" t="s">
        <v>23</v>
      </c>
      <c r="B71" s="41" t="s">
        <v>384</v>
      </c>
      <c r="C71" s="41" t="s">
        <v>383</v>
      </c>
      <c r="D71" s="42"/>
      <c r="E71" s="47"/>
      <c r="F71" s="41" t="s">
        <v>383</v>
      </c>
      <c r="G71" s="42"/>
      <c r="H71" s="42"/>
      <c r="I71" s="42"/>
      <c r="J71" s="48"/>
    </row>
    <row r="72" spans="1:10">
      <c r="A72" s="1" t="s">
        <v>24</v>
      </c>
      <c r="B72" s="43"/>
      <c r="C72" s="103"/>
      <c r="D72" s="43"/>
      <c r="E72" s="43"/>
      <c r="F72" s="103"/>
      <c r="G72" s="43"/>
      <c r="H72" s="43"/>
      <c r="I72" s="43"/>
      <c r="J72" s="2"/>
    </row>
    <row r="73" spans="1:10">
      <c r="A73" s="1" t="s">
        <v>25</v>
      </c>
      <c r="B73" s="43"/>
      <c r="C73" s="43"/>
      <c r="D73" s="43"/>
      <c r="E73" s="43"/>
      <c r="F73" s="43"/>
      <c r="G73" s="43"/>
      <c r="H73" s="43"/>
      <c r="I73" s="43"/>
      <c r="J73" s="2"/>
    </row>
    <row r="74" spans="1:10">
      <c r="A74" s="21" t="s">
        <v>26</v>
      </c>
      <c r="B74" s="43" t="s">
        <v>382</v>
      </c>
      <c r="C74" s="43"/>
      <c r="D74" s="43"/>
      <c r="E74" s="43"/>
      <c r="F74" s="43"/>
      <c r="G74" s="43"/>
      <c r="H74" s="43"/>
      <c r="I74" s="43"/>
      <c r="J74" s="2"/>
    </row>
    <row r="75" spans="1:10">
      <c r="A75" s="1" t="s">
        <v>27</v>
      </c>
      <c r="B75" s="41" t="s">
        <v>381</v>
      </c>
      <c r="C75" s="41" t="s">
        <v>217</v>
      </c>
      <c r="D75" s="47"/>
      <c r="E75" s="43"/>
      <c r="F75" s="41" t="s">
        <v>217</v>
      </c>
      <c r="G75" s="42"/>
      <c r="H75" s="42"/>
      <c r="I75" s="42"/>
      <c r="J75" s="48"/>
    </row>
    <row r="76" spans="1:10">
      <c r="A76" s="1" t="s">
        <v>35</v>
      </c>
      <c r="B76" s="103"/>
      <c r="C76" s="43"/>
      <c r="D76" s="43"/>
      <c r="E76" s="43"/>
      <c r="F76" s="43"/>
      <c r="G76" s="43"/>
      <c r="H76" s="43"/>
      <c r="I76" s="43"/>
      <c r="J76" s="2"/>
    </row>
    <row r="77" spans="1:10">
      <c r="A77" s="1" t="s">
        <v>34</v>
      </c>
      <c r="B77" s="103"/>
      <c r="C77" s="43"/>
      <c r="D77" s="43"/>
      <c r="E77" s="43"/>
      <c r="F77" s="43"/>
      <c r="G77" s="43"/>
      <c r="H77" s="43"/>
      <c r="I77" s="43"/>
      <c r="J77" s="2"/>
    </row>
    <row r="78" spans="1:10">
      <c r="A78" s="1" t="s">
        <v>36</v>
      </c>
      <c r="B78" s="112">
        <v>38169</v>
      </c>
      <c r="C78" s="104">
        <v>40452</v>
      </c>
      <c r="D78" s="113"/>
      <c r="E78" s="118"/>
      <c r="F78" s="104">
        <v>40452</v>
      </c>
      <c r="G78" s="94"/>
      <c r="H78" s="94"/>
      <c r="I78" s="94"/>
      <c r="J78" s="95"/>
    </row>
    <row r="79" spans="1:10">
      <c r="A79" s="1" t="s">
        <v>37</v>
      </c>
      <c r="B79" s="93">
        <v>39446</v>
      </c>
      <c r="C79" s="104">
        <v>40717</v>
      </c>
      <c r="D79" s="94"/>
      <c r="E79" s="105"/>
      <c r="F79" s="104">
        <v>40717</v>
      </c>
      <c r="G79" s="94"/>
      <c r="H79" s="94"/>
      <c r="I79" s="94"/>
      <c r="J79" s="95"/>
    </row>
    <row r="80" spans="1:10">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c r="A81" s="4" t="s">
        <v>42</v>
      </c>
      <c r="B81" s="593">
        <v>1</v>
      </c>
      <c r="C81" s="594"/>
      <c r="D81" s="594"/>
      <c r="E81" s="618"/>
      <c r="F81" s="593">
        <v>0</v>
      </c>
      <c r="G81" s="594"/>
      <c r="H81" s="594"/>
      <c r="I81" s="594"/>
      <c r="J81" s="595"/>
    </row>
    <row r="82" spans="1:10" ht="15.75" thickBot="1">
      <c r="A82" s="8" t="s">
        <v>41</v>
      </c>
      <c r="B82" s="602">
        <f>B80</f>
        <v>3.4986301369863013</v>
      </c>
      <c r="C82" s="616"/>
      <c r="D82" s="616"/>
      <c r="E82" s="616"/>
      <c r="F82" s="616"/>
      <c r="G82" s="616"/>
      <c r="H82" s="616"/>
      <c r="I82" s="616"/>
      <c r="J82" s="617"/>
    </row>
    <row r="83" spans="1:10" ht="15.75" thickBot="1">
      <c r="A83" s="45"/>
      <c r="B83" s="17"/>
      <c r="C83" s="17"/>
      <c r="D83" s="17"/>
      <c r="E83" s="17"/>
      <c r="F83" s="17"/>
      <c r="G83" s="17"/>
      <c r="H83" s="17"/>
      <c r="I83" s="17"/>
      <c r="J83" s="17"/>
    </row>
    <row r="84" spans="1:10">
      <c r="A84" s="9" t="s">
        <v>380</v>
      </c>
      <c r="B84" s="59" t="s">
        <v>28</v>
      </c>
      <c r="C84" s="59" t="s">
        <v>29</v>
      </c>
      <c r="D84" s="596" t="s">
        <v>30</v>
      </c>
      <c r="E84" s="597"/>
      <c r="F84" s="615"/>
      <c r="G84" s="70" t="s">
        <v>31</v>
      </c>
      <c r="H84" s="70" t="s">
        <v>32</v>
      </c>
      <c r="I84" s="70" t="s">
        <v>33</v>
      </c>
      <c r="J84" s="70" t="s">
        <v>261</v>
      </c>
    </row>
    <row r="85" spans="1:10">
      <c r="A85" s="21" t="s">
        <v>23</v>
      </c>
      <c r="B85" s="41" t="s">
        <v>372</v>
      </c>
      <c r="C85" s="42"/>
      <c r="D85" s="42"/>
      <c r="E85" s="42"/>
      <c r="F85" s="47"/>
      <c r="G85" s="43"/>
      <c r="H85" s="43"/>
      <c r="I85" s="43"/>
      <c r="J85" s="2"/>
    </row>
    <row r="86" spans="1:10">
      <c r="A86" s="21" t="s">
        <v>24</v>
      </c>
      <c r="B86" s="43"/>
      <c r="C86" s="43"/>
      <c r="D86" s="43"/>
      <c r="E86" s="43"/>
      <c r="F86" s="39"/>
      <c r="G86" s="43"/>
      <c r="H86" s="43"/>
      <c r="I86" s="43"/>
      <c r="J86" s="2"/>
    </row>
    <row r="87" spans="1:10">
      <c r="A87" s="21" t="s">
        <v>25</v>
      </c>
      <c r="B87" s="43" t="s">
        <v>379</v>
      </c>
      <c r="C87" s="43" t="s">
        <v>378</v>
      </c>
      <c r="D87" s="43" t="s">
        <v>377</v>
      </c>
      <c r="E87" s="43"/>
      <c r="F87" s="39"/>
      <c r="G87" s="43"/>
      <c r="H87" s="43"/>
      <c r="I87" s="43"/>
      <c r="J87" s="2"/>
    </row>
    <row r="88" spans="1:10">
      <c r="A88" s="21" t="s">
        <v>26</v>
      </c>
      <c r="B88" s="43" t="s">
        <v>376</v>
      </c>
      <c r="C88" s="43"/>
      <c r="D88" s="43"/>
      <c r="E88" s="43"/>
      <c r="F88" s="39"/>
      <c r="G88" s="43"/>
      <c r="H88" s="43"/>
      <c r="I88" s="43"/>
      <c r="J88" s="2"/>
    </row>
    <row r="89" spans="1:10">
      <c r="A89" s="21" t="s">
        <v>27</v>
      </c>
      <c r="B89" s="41" t="s">
        <v>375</v>
      </c>
      <c r="C89" s="42"/>
      <c r="D89" s="42"/>
      <c r="E89" s="42"/>
      <c r="F89" s="47"/>
      <c r="G89" s="43"/>
      <c r="H89" s="43"/>
      <c r="I89" s="43"/>
      <c r="J89" s="2"/>
    </row>
    <row r="90" spans="1:10">
      <c r="A90" s="21" t="s">
        <v>35</v>
      </c>
      <c r="B90" s="43"/>
      <c r="C90" s="43"/>
      <c r="D90" s="43"/>
      <c r="E90" s="43"/>
      <c r="F90" s="39"/>
      <c r="G90" s="43"/>
      <c r="H90" s="43"/>
      <c r="I90" s="43"/>
      <c r="J90" s="2"/>
    </row>
    <row r="91" spans="1:10">
      <c r="A91" s="21" t="s">
        <v>34</v>
      </c>
      <c r="B91" s="43"/>
      <c r="C91" s="43"/>
      <c r="D91" s="43"/>
      <c r="E91" s="43"/>
      <c r="F91" s="39"/>
      <c r="G91" s="43"/>
      <c r="H91" s="43"/>
      <c r="I91" s="43"/>
      <c r="J91" s="2"/>
    </row>
    <row r="92" spans="1:10">
      <c r="A92" s="21" t="s">
        <v>36</v>
      </c>
      <c r="B92" s="61">
        <v>39815</v>
      </c>
      <c r="C92" s="61">
        <v>41133</v>
      </c>
      <c r="D92" s="112">
        <v>40753</v>
      </c>
      <c r="E92" s="113"/>
      <c r="F92" s="118"/>
      <c r="G92" s="43"/>
      <c r="H92" s="43"/>
      <c r="I92" s="43"/>
      <c r="J92" s="2"/>
    </row>
    <row r="93" spans="1:10">
      <c r="A93" s="21" t="s">
        <v>37</v>
      </c>
      <c r="B93" s="61">
        <v>40556</v>
      </c>
      <c r="C93" s="61">
        <v>41305</v>
      </c>
      <c r="D93" s="112">
        <v>41088</v>
      </c>
      <c r="E93" s="113"/>
      <c r="F93" s="118"/>
      <c r="G93" s="43"/>
      <c r="H93" s="43"/>
      <c r="I93" s="43"/>
      <c r="J93" s="2"/>
    </row>
    <row r="94" spans="1:10">
      <c r="A94" s="21" t="s">
        <v>38</v>
      </c>
      <c r="B94" s="15">
        <f>(B93-B92)/365</f>
        <v>2.0301369863013701</v>
      </c>
      <c r="C94" s="15">
        <f>(C93-C92)/365</f>
        <v>0.47123287671232877</v>
      </c>
      <c r="D94" s="108">
        <f>(D93-D92)/365</f>
        <v>0.9178082191780822</v>
      </c>
      <c r="E94" s="109"/>
      <c r="F94" s="110"/>
      <c r="G94" s="43"/>
      <c r="H94" s="43"/>
      <c r="I94" s="43"/>
      <c r="J94" s="2"/>
    </row>
    <row r="95" spans="1:10" ht="15.75" thickBot="1">
      <c r="A95" s="4" t="s">
        <v>42</v>
      </c>
      <c r="B95" s="10">
        <v>1</v>
      </c>
      <c r="C95" s="11">
        <v>1</v>
      </c>
      <c r="D95" s="593">
        <v>1</v>
      </c>
      <c r="E95" s="594"/>
      <c r="F95" s="618"/>
      <c r="G95" s="11"/>
      <c r="H95" s="11"/>
      <c r="I95" s="11"/>
      <c r="J95" s="12"/>
    </row>
    <row r="96" spans="1:10" ht="15.75" thickBot="1">
      <c r="A96" s="8" t="s">
        <v>41</v>
      </c>
      <c r="B96" s="602">
        <f>B94+C94+D94</f>
        <v>3.419178082191781</v>
      </c>
      <c r="C96" s="616"/>
      <c r="D96" s="616"/>
      <c r="E96" s="616"/>
      <c r="F96" s="616"/>
      <c r="G96" s="616"/>
      <c r="H96" s="616"/>
      <c r="I96" s="616"/>
      <c r="J96" s="617"/>
    </row>
    <row r="97" spans="1:10" ht="15.75" thickBot="1"/>
    <row r="98" spans="1:10">
      <c r="A98" s="9" t="s">
        <v>374</v>
      </c>
      <c r="B98" s="72" t="s">
        <v>28</v>
      </c>
      <c r="C98" s="70" t="s">
        <v>29</v>
      </c>
      <c r="D98" s="70" t="s">
        <v>30</v>
      </c>
      <c r="E98" s="70" t="s">
        <v>31</v>
      </c>
      <c r="F98" s="70" t="s">
        <v>32</v>
      </c>
      <c r="G98" s="596" t="s">
        <v>33</v>
      </c>
      <c r="H98" s="615"/>
      <c r="I98" s="596" t="s">
        <v>261</v>
      </c>
      <c r="J98" s="598"/>
    </row>
    <row r="99" spans="1:10">
      <c r="A99" s="3" t="s">
        <v>23</v>
      </c>
      <c r="B99" s="41" t="s">
        <v>373</v>
      </c>
      <c r="C99" s="42"/>
      <c r="D99" s="42"/>
      <c r="E99" s="42"/>
      <c r="F99" s="47"/>
      <c r="G99" s="103" t="s">
        <v>372</v>
      </c>
      <c r="H99" s="43"/>
      <c r="I99" s="41" t="s">
        <v>371</v>
      </c>
      <c r="J99" s="48"/>
    </row>
    <row r="100" spans="1:10">
      <c r="A100" s="1" t="s">
        <v>24</v>
      </c>
      <c r="B100" s="43"/>
      <c r="C100" s="43"/>
      <c r="D100" s="43"/>
      <c r="E100" s="43"/>
      <c r="F100" s="43"/>
      <c r="G100" s="43"/>
      <c r="H100" s="43"/>
      <c r="I100" s="43"/>
      <c r="J100" s="2"/>
    </row>
    <row r="101" spans="1:10">
      <c r="A101" s="1" t="s">
        <v>25</v>
      </c>
      <c r="B101" s="43" t="s">
        <v>370</v>
      </c>
      <c r="C101" s="43"/>
      <c r="D101" s="43"/>
      <c r="E101" s="43"/>
      <c r="F101" s="43"/>
      <c r="G101" s="43" t="s">
        <v>369</v>
      </c>
      <c r="H101" s="43"/>
      <c r="I101" s="43"/>
      <c r="J101" s="2"/>
    </row>
    <row r="102" spans="1:10">
      <c r="A102" s="1" t="s">
        <v>26</v>
      </c>
      <c r="B102" s="43" t="s">
        <v>368</v>
      </c>
      <c r="C102" s="43"/>
      <c r="D102" s="43"/>
      <c r="E102" s="43"/>
      <c r="F102" s="43"/>
      <c r="G102" s="43"/>
      <c r="H102" s="43"/>
      <c r="I102" s="43"/>
      <c r="J102" s="2"/>
    </row>
    <row r="103" spans="1:10" ht="14.25" customHeight="1">
      <c r="A103" s="1" t="s">
        <v>27</v>
      </c>
      <c r="B103" s="41" t="s">
        <v>367</v>
      </c>
      <c r="C103" s="42"/>
      <c r="D103" s="42"/>
      <c r="E103" s="42"/>
      <c r="F103" s="47"/>
      <c r="G103" s="103" t="s">
        <v>366</v>
      </c>
      <c r="H103" s="43"/>
      <c r="I103" s="41" t="s">
        <v>365</v>
      </c>
      <c r="J103" s="48"/>
    </row>
    <row r="104" spans="1:10">
      <c r="A104" s="1" t="s">
        <v>35</v>
      </c>
      <c r="B104" s="43"/>
      <c r="C104" s="43"/>
      <c r="D104" s="43"/>
      <c r="E104" s="43"/>
      <c r="F104" s="43"/>
      <c r="G104" s="43"/>
      <c r="H104" s="43"/>
      <c r="I104" s="43"/>
      <c r="J104" s="2"/>
    </row>
    <row r="105" spans="1:10">
      <c r="A105" s="1" t="s">
        <v>34</v>
      </c>
      <c r="B105" s="103"/>
      <c r="C105" s="43"/>
      <c r="D105" s="43"/>
      <c r="E105" s="43"/>
      <c r="F105" s="43"/>
      <c r="G105" s="43"/>
      <c r="H105" s="43"/>
      <c r="I105" s="43"/>
      <c r="J105" s="2"/>
    </row>
    <row r="106" spans="1:10">
      <c r="A106" s="1" t="s">
        <v>36</v>
      </c>
      <c r="B106" s="44">
        <v>40074</v>
      </c>
      <c r="C106" s="44">
        <v>39748</v>
      </c>
      <c r="D106" s="44">
        <v>39249</v>
      </c>
      <c r="E106" s="44">
        <v>38919</v>
      </c>
      <c r="F106" s="44">
        <v>38295</v>
      </c>
      <c r="G106" s="93">
        <v>37654</v>
      </c>
      <c r="H106" s="105"/>
      <c r="I106" s="93">
        <v>31700</v>
      </c>
      <c r="J106" s="95"/>
    </row>
    <row r="107" spans="1:10">
      <c r="A107" s="1" t="s">
        <v>37</v>
      </c>
      <c r="B107" s="44">
        <v>40673</v>
      </c>
      <c r="C107" s="44">
        <v>40043</v>
      </c>
      <c r="D107" s="44">
        <v>39583</v>
      </c>
      <c r="E107" s="44">
        <v>39248</v>
      </c>
      <c r="F107" s="44">
        <v>38689</v>
      </c>
      <c r="G107" s="93">
        <v>38352</v>
      </c>
      <c r="H107" s="105"/>
      <c r="I107" s="93">
        <v>36028</v>
      </c>
      <c r="J107" s="95"/>
    </row>
    <row r="108" spans="1:10">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c r="A109" s="4" t="s">
        <v>42</v>
      </c>
      <c r="B109" s="10">
        <v>1</v>
      </c>
      <c r="C109" s="10">
        <v>1</v>
      </c>
      <c r="D109" s="10">
        <v>1</v>
      </c>
      <c r="E109" s="10">
        <v>1</v>
      </c>
      <c r="F109" s="10">
        <v>1</v>
      </c>
      <c r="G109" s="593">
        <v>1</v>
      </c>
      <c r="H109" s="618"/>
      <c r="I109" s="593">
        <v>1</v>
      </c>
      <c r="J109" s="595"/>
    </row>
    <row r="110" spans="1:10" ht="15.75" thickBot="1">
      <c r="A110" s="8" t="s">
        <v>41</v>
      </c>
      <c r="B110" s="616">
        <f>MIN(SUMIFS(B108:J108,B109:J109,1),5)</f>
        <v>5</v>
      </c>
      <c r="C110" s="616"/>
      <c r="D110" s="616"/>
      <c r="E110" s="616"/>
      <c r="F110" s="616"/>
      <c r="G110" s="616"/>
      <c r="H110" s="616"/>
      <c r="I110" s="616"/>
      <c r="J110" s="617"/>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sheetPr codeName="Hoja14">
    <tabColor theme="4" tint="-0.249977111117893"/>
  </sheetPr>
  <dimension ref="A1:CD86"/>
  <sheetViews>
    <sheetView zoomScale="60" zoomScaleNormal="60" zoomScaleSheetLayoutView="50" zoomScalePageLayoutView="70" workbookViewId="0">
      <pane xSplit="1" topLeftCell="B1" activePane="topRight" state="frozen"/>
      <selection activeCell="C48" sqref="C48"/>
      <selection pane="topRight" activeCell="D17" sqref="D17"/>
    </sheetView>
  </sheetViews>
  <sheetFormatPr baseColWidth="10" defaultColWidth="10.85546875" defaultRowHeight="15"/>
  <cols>
    <col min="1" max="1" width="77.5703125" style="263" customWidth="1"/>
    <col min="2" max="2" width="53.42578125" style="334" customWidth="1"/>
    <col min="3" max="6" width="30.7109375" style="334" customWidth="1"/>
    <col min="7" max="7" width="48.140625" style="334" customWidth="1"/>
    <col min="8" max="8" width="44.42578125" style="334" customWidth="1"/>
    <col min="9" max="14" width="30.7109375" style="334" customWidth="1"/>
    <col min="15" max="34" width="30.7109375" style="263" customWidth="1"/>
    <col min="35" max="38" width="28.7109375" style="263" customWidth="1"/>
    <col min="39" max="46" width="30.7109375" style="263" customWidth="1"/>
    <col min="47" max="16384" width="10.85546875" style="263"/>
  </cols>
  <sheetData>
    <row r="1" spans="1:82" s="261" customFormat="1" ht="19.5">
      <c r="B1" s="640" t="s">
        <v>543</v>
      </c>
      <c r="C1" s="640"/>
      <c r="D1" s="640"/>
      <c r="E1" s="640"/>
      <c r="F1" s="640"/>
      <c r="G1" s="640"/>
      <c r="H1" s="640"/>
      <c r="I1" s="640"/>
      <c r="J1" s="640"/>
      <c r="K1" s="640"/>
      <c r="L1" s="640"/>
      <c r="M1" s="640"/>
      <c r="N1" s="640"/>
      <c r="O1" s="640"/>
      <c r="P1" s="640"/>
      <c r="Q1" s="640"/>
      <c r="R1" s="262"/>
      <c r="S1" s="262"/>
      <c r="T1" s="262"/>
    </row>
    <row r="2" spans="1:82" s="261" customFormat="1" ht="19.5">
      <c r="B2" s="640" t="s">
        <v>518</v>
      </c>
      <c r="C2" s="640"/>
      <c r="D2" s="640"/>
      <c r="E2" s="640"/>
      <c r="F2" s="640"/>
      <c r="G2" s="640"/>
      <c r="H2" s="640"/>
      <c r="I2" s="640"/>
      <c r="J2" s="640"/>
      <c r="K2" s="640"/>
      <c r="L2" s="640"/>
      <c r="M2" s="640"/>
      <c r="N2" s="640"/>
      <c r="O2" s="640"/>
      <c r="P2" s="640"/>
      <c r="Q2" s="640"/>
      <c r="R2" s="262"/>
      <c r="S2" s="262"/>
      <c r="T2" s="262"/>
    </row>
    <row r="3" spans="1:82" s="261" customFormat="1" ht="19.5">
      <c r="B3" s="640" t="s">
        <v>544</v>
      </c>
      <c r="C3" s="640"/>
      <c r="D3" s="640"/>
      <c r="E3" s="640"/>
      <c r="F3" s="640"/>
      <c r="G3" s="640"/>
      <c r="H3" s="640"/>
      <c r="I3" s="640"/>
      <c r="J3" s="640"/>
      <c r="K3" s="640"/>
      <c r="L3" s="640"/>
      <c r="M3" s="640"/>
      <c r="N3" s="640"/>
      <c r="O3" s="640"/>
      <c r="P3" s="640"/>
      <c r="Q3" s="640"/>
      <c r="R3" s="262"/>
      <c r="S3" s="262"/>
      <c r="T3" s="262"/>
    </row>
    <row r="4" spans="1:82" s="261" customFormat="1" ht="19.5">
      <c r="B4" s="640" t="s">
        <v>639</v>
      </c>
      <c r="C4" s="640"/>
      <c r="D4" s="640"/>
      <c r="E4" s="640"/>
      <c r="F4" s="640"/>
      <c r="G4" s="640"/>
      <c r="H4" s="640"/>
      <c r="I4" s="640"/>
      <c r="J4" s="640"/>
      <c r="K4" s="640"/>
      <c r="L4" s="640"/>
      <c r="M4" s="640"/>
      <c r="N4" s="640"/>
      <c r="O4" s="640"/>
      <c r="P4" s="640"/>
      <c r="Q4" s="640"/>
      <c r="R4" s="262"/>
      <c r="S4" s="262"/>
      <c r="T4" s="262"/>
    </row>
    <row r="5" spans="1:82" s="261" customFormat="1" ht="19.5">
      <c r="B5" s="640" t="s">
        <v>545</v>
      </c>
      <c r="C5" s="640"/>
      <c r="D5" s="640"/>
      <c r="E5" s="640"/>
      <c r="F5" s="640"/>
      <c r="G5" s="640"/>
      <c r="H5" s="640"/>
      <c r="I5" s="640"/>
      <c r="J5" s="640"/>
      <c r="K5" s="640"/>
      <c r="L5" s="640"/>
      <c r="M5" s="640"/>
      <c r="N5" s="640"/>
      <c r="O5" s="640"/>
      <c r="P5" s="640"/>
      <c r="Q5" s="640"/>
      <c r="R5" s="262"/>
      <c r="S5" s="262"/>
      <c r="T5" s="262"/>
    </row>
    <row r="6" spans="1:82" ht="15.75" thickBot="1">
      <c r="A6" s="639"/>
      <c r="B6" s="639"/>
      <c r="C6" s="639"/>
      <c r="D6" s="639"/>
      <c r="E6" s="639"/>
      <c r="F6" s="639"/>
      <c r="G6" s="639"/>
      <c r="H6" s="639"/>
      <c r="I6" s="639"/>
      <c r="J6" s="639"/>
      <c r="K6" s="639"/>
      <c r="L6" s="639"/>
      <c r="M6" s="639"/>
      <c r="N6" s="639"/>
    </row>
    <row r="7" spans="1:82" s="265" customFormat="1" ht="30" customHeight="1" thickBot="1">
      <c r="A7" s="647" t="s">
        <v>519</v>
      </c>
      <c r="B7" s="648"/>
      <c r="C7" s="649" t="s">
        <v>579</v>
      </c>
      <c r="D7" s="651" t="s">
        <v>593</v>
      </c>
      <c r="E7" s="652" t="s">
        <v>651</v>
      </c>
      <c r="F7" s="652" t="s">
        <v>652</v>
      </c>
      <c r="G7" s="652" t="s">
        <v>653</v>
      </c>
      <c r="H7" s="658" t="s">
        <v>654</v>
      </c>
      <c r="I7" s="638"/>
      <c r="J7" s="638"/>
      <c r="K7" s="638"/>
      <c r="L7" s="366"/>
      <c r="M7" s="187"/>
      <c r="N7" s="187"/>
      <c r="O7" s="646"/>
      <c r="P7" s="646"/>
      <c r="Q7" s="646"/>
      <c r="R7" s="264"/>
      <c r="S7" s="264"/>
      <c r="T7" s="264"/>
      <c r="U7" s="264" t="s">
        <v>524</v>
      </c>
      <c r="V7" s="264"/>
      <c r="W7" s="264"/>
      <c r="X7" s="264"/>
      <c r="Y7" s="264"/>
      <c r="Z7" s="264"/>
      <c r="AA7" s="264"/>
      <c r="AB7" s="264"/>
      <c r="AC7" s="264"/>
      <c r="AD7" s="264"/>
      <c r="AE7" s="264"/>
      <c r="AF7" s="264"/>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row>
    <row r="8" spans="1:82" s="266" customFormat="1" ht="28.5" customHeight="1" thickBot="1">
      <c r="A8" s="654" t="str">
        <f>+'[3]EXPERIENCIA PROPONENTE'!$A$9</f>
        <v>CONSORCIO AUDITORIA TRAESCOL</v>
      </c>
      <c r="B8" s="655"/>
      <c r="C8" s="650"/>
      <c r="D8" s="651"/>
      <c r="E8" s="653"/>
      <c r="F8" s="653"/>
      <c r="G8" s="653"/>
      <c r="H8" s="659"/>
      <c r="I8" s="638"/>
      <c r="J8" s="638"/>
      <c r="K8" s="638"/>
      <c r="L8" s="187"/>
      <c r="M8" s="187">
        <v>0.49</v>
      </c>
      <c r="N8" s="187">
        <v>1</v>
      </c>
      <c r="O8" s="187">
        <v>2</v>
      </c>
      <c r="P8" s="187"/>
      <c r="Q8" s="188"/>
      <c r="R8" s="187"/>
      <c r="S8" s="187"/>
      <c r="T8" s="188"/>
      <c r="U8" s="187" t="s">
        <v>521</v>
      </c>
      <c r="V8" s="187" t="s">
        <v>522</v>
      </c>
      <c r="W8" s="188" t="s">
        <v>476</v>
      </c>
      <c r="X8" s="187"/>
      <c r="Y8" s="187"/>
      <c r="Z8" s="188"/>
      <c r="AA8" s="187"/>
      <c r="AB8" s="187"/>
      <c r="AC8" s="188"/>
      <c r="AD8" s="187"/>
      <c r="AE8" s="187"/>
      <c r="AF8" s="188"/>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row>
    <row r="9" spans="1:82" s="189" customFormat="1" ht="40.5" customHeight="1" thickBot="1">
      <c r="A9" s="656"/>
      <c r="B9" s="657"/>
      <c r="C9" s="267">
        <f>+'[3]EXPERIENCIA PROPONENTE'!B9</f>
        <v>3</v>
      </c>
      <c r="D9" s="156" t="str">
        <f>IF(COUNTIF(E9:G9,"HABILITADO")=3,"HABILITADO","NO HABILITADO")</f>
        <v>HABILITADO</v>
      </c>
      <c r="E9" s="157" t="str">
        <f>IF(COUNTIF(I13:J13,"CUMPLE")=2,"HABILITADO","NO HABILITADO")</f>
        <v>HABILITADO</v>
      </c>
      <c r="F9" s="157" t="str">
        <f>IF(I38="CUMPLE","HABILITADO","NO HABILITADO")</f>
        <v>HABILITADO</v>
      </c>
      <c r="G9" s="157" t="str">
        <f>IF(I63="CUMPLE","HABILITADO","NO HABILITADO")</f>
        <v>HABILITADO</v>
      </c>
      <c r="H9" s="268">
        <f>K13+K38+J63</f>
        <v>35</v>
      </c>
      <c r="I9" s="190"/>
      <c r="J9" s="190"/>
      <c r="K9" s="190"/>
      <c r="L9" s="660" t="s">
        <v>631</v>
      </c>
      <c r="M9" s="661"/>
      <c r="O9" s="188"/>
      <c r="P9" s="188"/>
      <c r="Q9" s="188"/>
      <c r="R9" s="188"/>
      <c r="S9" s="188"/>
      <c r="T9" s="188"/>
      <c r="U9" s="188"/>
      <c r="V9" s="188"/>
      <c r="W9" s="188"/>
      <c r="X9" s="188"/>
      <c r="Y9" s="188"/>
      <c r="Z9" s="188"/>
      <c r="AA9" s="188"/>
      <c r="AB9" s="188"/>
      <c r="AC9" s="188"/>
      <c r="AD9" s="188"/>
      <c r="AE9" s="188"/>
      <c r="AF9" s="188"/>
      <c r="AG9" s="269"/>
      <c r="AH9" s="269"/>
      <c r="AI9" s="269"/>
      <c r="AJ9" s="269"/>
      <c r="AK9" s="269"/>
      <c r="AL9" s="269"/>
      <c r="AM9" s="269"/>
      <c r="AN9" s="269"/>
      <c r="AO9" s="269"/>
      <c r="AP9" s="269"/>
      <c r="AQ9" s="269"/>
      <c r="AR9" s="269"/>
      <c r="AS9" s="269"/>
      <c r="AT9" s="269"/>
      <c r="AU9" s="269"/>
      <c r="AV9" s="269"/>
      <c r="AW9" s="269"/>
      <c r="AX9" s="269"/>
      <c r="AY9" s="269"/>
      <c r="AZ9" s="269"/>
      <c r="BA9" s="269"/>
      <c r="BB9" s="269"/>
      <c r="BC9" s="269"/>
      <c r="BD9" s="269"/>
      <c r="BE9" s="269"/>
      <c r="BF9" s="269"/>
      <c r="BG9" s="269"/>
      <c r="BH9" s="269"/>
      <c r="BI9" s="269"/>
      <c r="BJ9" s="269"/>
      <c r="BK9" s="269"/>
      <c r="BL9" s="269"/>
      <c r="BM9" s="269"/>
      <c r="BN9" s="269"/>
      <c r="BO9" s="269"/>
      <c r="BP9" s="269"/>
      <c r="BQ9" s="269"/>
      <c r="BR9" s="269"/>
      <c r="BS9" s="269"/>
      <c r="BT9" s="269"/>
      <c r="BU9" s="269"/>
      <c r="BV9" s="269"/>
      <c r="BW9" s="269"/>
      <c r="BX9" s="269"/>
      <c r="BY9" s="269"/>
      <c r="BZ9" s="269"/>
      <c r="CA9" s="269"/>
      <c r="CB9" s="269"/>
      <c r="CC9" s="269"/>
      <c r="CD9" s="269"/>
    </row>
    <row r="10" spans="1:82" s="273" customFormat="1" ht="16.5" thickBot="1">
      <c r="A10" s="367"/>
      <c r="B10" s="367"/>
      <c r="C10" s="367"/>
      <c r="D10" s="367"/>
      <c r="E10" s="367"/>
      <c r="F10" s="367"/>
      <c r="G10" s="367"/>
      <c r="H10" s="367"/>
      <c r="I10" s="367"/>
      <c r="J10" s="367"/>
      <c r="K10" s="367"/>
      <c r="L10" s="662"/>
      <c r="M10" s="663"/>
      <c r="N10" s="367"/>
      <c r="O10" s="271"/>
      <c r="P10" s="271"/>
      <c r="Q10" s="271"/>
      <c r="R10" s="272"/>
      <c r="S10" s="272"/>
      <c r="T10" s="272"/>
    </row>
    <row r="11" spans="1:82" s="275" customFormat="1" ht="111.75" customHeight="1" thickBot="1">
      <c r="A11" s="365" t="s">
        <v>651</v>
      </c>
      <c r="B11" s="365" t="s">
        <v>592</v>
      </c>
      <c r="C11" s="365" t="s">
        <v>477</v>
      </c>
      <c r="D11" s="365" t="s">
        <v>547</v>
      </c>
      <c r="E11" s="365" t="s">
        <v>478</v>
      </c>
      <c r="F11" s="365" t="s">
        <v>551</v>
      </c>
      <c r="G11" s="365" t="s">
        <v>479</v>
      </c>
      <c r="H11" s="365" t="s">
        <v>498</v>
      </c>
      <c r="I11" s="365" t="s">
        <v>632</v>
      </c>
      <c r="J11" s="365" t="s">
        <v>655</v>
      </c>
      <c r="K11" s="365" t="s">
        <v>554</v>
      </c>
      <c r="L11" s="643" t="s">
        <v>191</v>
      </c>
      <c r="M11" s="643"/>
      <c r="N11" s="643"/>
      <c r="O11" s="274"/>
    </row>
    <row r="12" spans="1:82" s="278" customFormat="1" ht="40.5" customHeight="1">
      <c r="A12" s="641" t="s">
        <v>703</v>
      </c>
      <c r="B12" s="641" t="s">
        <v>704</v>
      </c>
      <c r="C12" s="666">
        <v>38960</v>
      </c>
      <c r="D12" s="668" t="s">
        <v>706</v>
      </c>
      <c r="E12" s="670">
        <v>39149</v>
      </c>
      <c r="F12" s="670" t="s">
        <v>596</v>
      </c>
      <c r="G12" s="671" t="s">
        <v>705</v>
      </c>
      <c r="H12" s="670">
        <v>43074</v>
      </c>
      <c r="I12" s="276">
        <f>+SUM(B33:K33)</f>
        <v>8.0383561643835613</v>
      </c>
      <c r="J12" s="276">
        <f>+SUM(G33:K33)</f>
        <v>8.0383561643835613</v>
      </c>
      <c r="K12" s="276">
        <f>SUM(L33:T33)</f>
        <v>3.9232876712328766</v>
      </c>
      <c r="L12" s="644"/>
      <c r="M12" s="644"/>
      <c r="N12" s="644"/>
      <c r="O12" s="277"/>
    </row>
    <row r="13" spans="1:82" s="282" customFormat="1" ht="40.5" customHeight="1" thickBot="1">
      <c r="A13" s="642"/>
      <c r="B13" s="642"/>
      <c r="C13" s="667"/>
      <c r="D13" s="669"/>
      <c r="E13" s="642"/>
      <c r="F13" s="642"/>
      <c r="G13" s="672"/>
      <c r="H13" s="642"/>
      <c r="I13" s="279" t="str">
        <f>IF(I12&gt;=8,"CUMPLE","NO CUMPLE")</f>
        <v>CUMPLE</v>
      </c>
      <c r="J13" s="279" t="str">
        <f>IF(J12&gt;=6,"CUMPLE","NO CUMPLE")</f>
        <v>CUMPLE</v>
      </c>
      <c r="K13" s="280">
        <f>IF(AND(K12&gt;=M8,K12&lt;=N8),5,IF(AND(K12&gt;=N8,K12&lt;=O8),10,IF(K12&gt;O8,20,0)))</f>
        <v>20</v>
      </c>
      <c r="L13" s="645"/>
      <c r="M13" s="645"/>
      <c r="N13" s="645"/>
      <c r="O13" s="281"/>
    </row>
    <row r="14" spans="1:82" s="273" customFormat="1" ht="16.5" thickBot="1">
      <c r="A14" s="283"/>
      <c r="B14" s="283"/>
      <c r="C14" s="283"/>
      <c r="D14" s="277"/>
      <c r="E14" s="277"/>
      <c r="F14" s="277"/>
      <c r="G14" s="277"/>
      <c r="H14" s="284"/>
      <c r="I14" s="277"/>
      <c r="J14" s="367"/>
      <c r="K14" s="367"/>
      <c r="L14" s="367"/>
      <c r="M14" s="367"/>
      <c r="N14" s="284"/>
      <c r="O14" s="284"/>
      <c r="P14" s="285"/>
      <c r="Q14" s="272"/>
      <c r="R14" s="272"/>
      <c r="S14" s="272"/>
      <c r="T14" s="271"/>
    </row>
    <row r="15" spans="1:82" ht="34.5" customHeight="1" thickBot="1">
      <c r="A15" s="286" t="s">
        <v>480</v>
      </c>
      <c r="B15" s="287" t="s">
        <v>481</v>
      </c>
      <c r="C15" s="287" t="s">
        <v>483</v>
      </c>
      <c r="D15" s="287" t="s">
        <v>485</v>
      </c>
      <c r="E15" s="287" t="s">
        <v>486</v>
      </c>
      <c r="F15" s="287" t="s">
        <v>487</v>
      </c>
      <c r="G15" s="288" t="s">
        <v>505</v>
      </c>
      <c r="H15" s="288" t="s">
        <v>552</v>
      </c>
      <c r="I15" s="288" t="s">
        <v>553</v>
      </c>
      <c r="J15" s="288" t="s">
        <v>590</v>
      </c>
      <c r="K15" s="289" t="s">
        <v>591</v>
      </c>
      <c r="L15" s="290" t="s">
        <v>506</v>
      </c>
      <c r="M15" s="291" t="s">
        <v>507</v>
      </c>
      <c r="N15" s="290" t="s">
        <v>508</v>
      </c>
      <c r="O15" s="291" t="s">
        <v>509</v>
      </c>
      <c r="P15" s="290" t="s">
        <v>510</v>
      </c>
      <c r="Q15" s="291" t="s">
        <v>511</v>
      </c>
      <c r="R15" s="290" t="s">
        <v>599</v>
      </c>
      <c r="S15" s="291" t="s">
        <v>600</v>
      </c>
      <c r="T15" s="290" t="s">
        <v>601</v>
      </c>
      <c r="V15" s="272"/>
    </row>
    <row r="16" spans="1:82" ht="89.25" customHeight="1">
      <c r="A16" s="292" t="s">
        <v>23</v>
      </c>
      <c r="B16" s="293"/>
      <c r="C16" s="294"/>
      <c r="D16" s="294"/>
      <c r="E16" s="294"/>
      <c r="F16" s="294"/>
      <c r="G16" s="293" t="s">
        <v>694</v>
      </c>
      <c r="H16" s="294"/>
      <c r="I16" s="294"/>
      <c r="J16" s="294"/>
      <c r="K16" s="295"/>
      <c r="L16" s="293" t="s">
        <v>694</v>
      </c>
      <c r="M16" s="296"/>
      <c r="N16" s="297"/>
      <c r="O16" s="296"/>
      <c r="P16" s="297"/>
      <c r="Q16" s="296"/>
      <c r="R16" s="297"/>
      <c r="S16" s="296"/>
      <c r="T16" s="297"/>
      <c r="V16" s="272"/>
    </row>
    <row r="17" spans="1:22" ht="105.75" customHeight="1">
      <c r="A17" s="292" t="s">
        <v>205</v>
      </c>
      <c r="B17" s="298"/>
      <c r="C17" s="299"/>
      <c r="D17" s="299"/>
      <c r="E17" s="299"/>
      <c r="F17" s="299"/>
      <c r="G17" s="298" t="s">
        <v>707</v>
      </c>
      <c r="H17" s="299"/>
      <c r="I17" s="299"/>
      <c r="J17" s="299"/>
      <c r="K17" s="300"/>
      <c r="L17" s="298" t="s">
        <v>707</v>
      </c>
      <c r="M17" s="301"/>
      <c r="N17" s="302"/>
      <c r="O17" s="301"/>
      <c r="P17" s="302"/>
      <c r="Q17" s="301"/>
      <c r="R17" s="303"/>
      <c r="S17" s="301"/>
      <c r="T17" s="304"/>
      <c r="V17" s="272"/>
    </row>
    <row r="18" spans="1:22" ht="21.95" customHeight="1">
      <c r="A18" s="292" t="s">
        <v>490</v>
      </c>
      <c r="B18" s="373"/>
      <c r="C18" s="374"/>
      <c r="D18" s="305"/>
      <c r="E18" s="305"/>
      <c r="F18" s="305"/>
      <c r="G18" s="373" t="s">
        <v>727</v>
      </c>
      <c r="H18" s="299"/>
      <c r="I18" s="299"/>
      <c r="J18" s="299"/>
      <c r="K18" s="300"/>
      <c r="L18" s="373" t="s">
        <v>727</v>
      </c>
      <c r="M18" s="306"/>
      <c r="N18" s="307"/>
      <c r="O18" s="306"/>
      <c r="P18" s="307"/>
      <c r="Q18" s="306"/>
      <c r="R18" s="307"/>
      <c r="S18" s="306"/>
      <c r="T18" s="307"/>
      <c r="V18" s="272"/>
    </row>
    <row r="19" spans="1:22" ht="15.75">
      <c r="A19" s="292" t="s">
        <v>499</v>
      </c>
      <c r="B19" s="375"/>
      <c r="C19" s="308"/>
      <c r="D19" s="308"/>
      <c r="E19" s="308"/>
      <c r="F19" s="308"/>
      <c r="G19" s="375">
        <v>39149</v>
      </c>
      <c r="H19" s="308"/>
      <c r="I19" s="308"/>
      <c r="J19" s="308"/>
      <c r="K19" s="309"/>
      <c r="L19" s="375">
        <v>42084</v>
      </c>
      <c r="M19" s="301"/>
      <c r="N19" s="302"/>
      <c r="O19" s="301"/>
      <c r="P19" s="302"/>
      <c r="Q19" s="301"/>
      <c r="R19" s="303"/>
      <c r="S19" s="301"/>
      <c r="T19" s="304"/>
      <c r="V19" s="272"/>
    </row>
    <row r="20" spans="1:22" ht="15.75">
      <c r="A20" s="292" t="s">
        <v>555</v>
      </c>
      <c r="B20" s="375"/>
      <c r="C20" s="308"/>
      <c r="D20" s="308"/>
      <c r="E20" s="308"/>
      <c r="F20" s="308"/>
      <c r="G20" s="375">
        <v>42083</v>
      </c>
      <c r="H20" s="308"/>
      <c r="I20" s="308"/>
      <c r="J20" s="308"/>
      <c r="K20" s="309"/>
      <c r="L20" s="375">
        <v>43516</v>
      </c>
      <c r="M20" s="301"/>
      <c r="N20" s="302"/>
      <c r="O20" s="301"/>
      <c r="P20" s="302"/>
      <c r="Q20" s="301"/>
      <c r="R20" s="303"/>
      <c r="S20" s="301"/>
      <c r="T20" s="304"/>
      <c r="V20" s="272"/>
    </row>
    <row r="21" spans="1:22" ht="15.75">
      <c r="A21" s="292" t="s">
        <v>500</v>
      </c>
      <c r="B21" s="308"/>
      <c r="C21" s="308"/>
      <c r="D21" s="308"/>
      <c r="E21" s="308"/>
      <c r="F21" s="308"/>
      <c r="G21" s="308"/>
      <c r="H21" s="308"/>
      <c r="I21" s="308"/>
      <c r="J21" s="308"/>
      <c r="K21" s="309"/>
      <c r="L21" s="302"/>
      <c r="M21" s="301"/>
      <c r="N21" s="302"/>
      <c r="O21" s="301"/>
      <c r="P21" s="310"/>
      <c r="Q21" s="311"/>
      <c r="R21" s="303"/>
      <c r="S21" s="311"/>
      <c r="T21" s="310"/>
      <c r="V21" s="272"/>
    </row>
    <row r="22" spans="1:22" ht="15.75">
      <c r="A22" s="292" t="s">
        <v>556</v>
      </c>
      <c r="B22" s="308"/>
      <c r="C22" s="308"/>
      <c r="D22" s="308"/>
      <c r="E22" s="308"/>
      <c r="F22" s="308"/>
      <c r="G22" s="308"/>
      <c r="H22" s="308"/>
      <c r="I22" s="308"/>
      <c r="J22" s="308"/>
      <c r="K22" s="309"/>
      <c r="L22" s="302"/>
      <c r="M22" s="301"/>
      <c r="N22" s="302"/>
      <c r="O22" s="301"/>
      <c r="P22" s="304"/>
      <c r="Q22" s="312"/>
      <c r="R22" s="303"/>
      <c r="S22" s="312"/>
      <c r="T22" s="304"/>
      <c r="V22" s="272"/>
    </row>
    <row r="23" spans="1:22" ht="15.75">
      <c r="A23" s="292" t="s">
        <v>501</v>
      </c>
      <c r="B23" s="308"/>
      <c r="C23" s="308"/>
      <c r="D23" s="308"/>
      <c r="E23" s="308"/>
      <c r="F23" s="308"/>
      <c r="G23" s="308"/>
      <c r="H23" s="308"/>
      <c r="I23" s="308"/>
      <c r="J23" s="308"/>
      <c r="K23" s="309"/>
      <c r="L23" s="302"/>
      <c r="M23" s="301"/>
      <c r="N23" s="302"/>
      <c r="O23" s="301"/>
      <c r="P23" s="304"/>
      <c r="Q23" s="312"/>
      <c r="R23" s="303"/>
      <c r="S23" s="312"/>
      <c r="T23" s="304"/>
      <c r="V23" s="272"/>
    </row>
    <row r="24" spans="1:22" ht="15.75">
      <c r="A24" s="292" t="s">
        <v>557</v>
      </c>
      <c r="B24" s="308"/>
      <c r="C24" s="308"/>
      <c r="D24" s="308"/>
      <c r="E24" s="308"/>
      <c r="F24" s="308"/>
      <c r="G24" s="308"/>
      <c r="H24" s="308"/>
      <c r="I24" s="308"/>
      <c r="J24" s="308"/>
      <c r="K24" s="309"/>
      <c r="L24" s="302"/>
      <c r="M24" s="301"/>
      <c r="N24" s="302"/>
      <c r="O24" s="301"/>
      <c r="P24" s="304"/>
      <c r="Q24" s="312"/>
      <c r="R24" s="303"/>
      <c r="S24" s="312"/>
      <c r="T24" s="304"/>
      <c r="V24" s="272"/>
    </row>
    <row r="25" spans="1:22" ht="15.75">
      <c r="A25" s="292" t="s">
        <v>502</v>
      </c>
      <c r="B25" s="308"/>
      <c r="C25" s="308"/>
      <c r="D25" s="308"/>
      <c r="E25" s="308"/>
      <c r="F25" s="308"/>
      <c r="G25" s="308"/>
      <c r="H25" s="308"/>
      <c r="I25" s="308"/>
      <c r="J25" s="308"/>
      <c r="K25" s="309"/>
      <c r="L25" s="302"/>
      <c r="M25" s="301"/>
      <c r="N25" s="302"/>
      <c r="O25" s="301"/>
      <c r="P25" s="304"/>
      <c r="Q25" s="312"/>
      <c r="R25" s="304"/>
      <c r="S25" s="312"/>
      <c r="T25" s="304"/>
      <c r="V25" s="272"/>
    </row>
    <row r="26" spans="1:22" ht="15.75">
      <c r="A26" s="292" t="s">
        <v>558</v>
      </c>
      <c r="B26" s="308"/>
      <c r="C26" s="308"/>
      <c r="D26" s="308"/>
      <c r="E26" s="308"/>
      <c r="F26" s="308"/>
      <c r="G26" s="308"/>
      <c r="H26" s="308"/>
      <c r="I26" s="308"/>
      <c r="J26" s="308"/>
      <c r="K26" s="309"/>
      <c r="L26" s="302"/>
      <c r="M26" s="301"/>
      <c r="N26" s="302"/>
      <c r="O26" s="301"/>
      <c r="P26" s="304"/>
      <c r="Q26" s="312"/>
      <c r="R26" s="304"/>
      <c r="S26" s="312"/>
      <c r="T26" s="304"/>
      <c r="V26" s="272"/>
    </row>
    <row r="27" spans="1:22" ht="15.75">
      <c r="A27" s="292" t="s">
        <v>503</v>
      </c>
      <c r="B27" s="308"/>
      <c r="C27" s="308"/>
      <c r="D27" s="308"/>
      <c r="E27" s="308"/>
      <c r="F27" s="308"/>
      <c r="G27" s="308"/>
      <c r="H27" s="308"/>
      <c r="I27" s="308"/>
      <c r="J27" s="308"/>
      <c r="K27" s="309"/>
      <c r="L27" s="302"/>
      <c r="M27" s="301"/>
      <c r="N27" s="302"/>
      <c r="O27" s="301"/>
      <c r="P27" s="303"/>
      <c r="Q27" s="313"/>
      <c r="R27" s="303"/>
      <c r="S27" s="313"/>
      <c r="T27" s="303"/>
      <c r="V27" s="272"/>
    </row>
    <row r="28" spans="1:22" ht="15.75">
      <c r="A28" s="292" t="s">
        <v>559</v>
      </c>
      <c r="B28" s="308"/>
      <c r="C28" s="308"/>
      <c r="D28" s="308"/>
      <c r="E28" s="308"/>
      <c r="F28" s="308"/>
      <c r="G28" s="308"/>
      <c r="H28" s="308"/>
      <c r="I28" s="308"/>
      <c r="J28" s="308"/>
      <c r="K28" s="309"/>
      <c r="L28" s="302"/>
      <c r="M28" s="301"/>
      <c r="N28" s="302"/>
      <c r="O28" s="301"/>
      <c r="P28" s="303"/>
      <c r="Q28" s="313"/>
      <c r="R28" s="303"/>
      <c r="S28" s="313"/>
      <c r="T28" s="303"/>
      <c r="V28" s="272"/>
    </row>
    <row r="29" spans="1:22" ht="15.75">
      <c r="A29" s="292" t="s">
        <v>560</v>
      </c>
      <c r="B29" s="308"/>
      <c r="C29" s="308"/>
      <c r="D29" s="308"/>
      <c r="E29" s="308"/>
      <c r="F29" s="308"/>
      <c r="G29" s="308"/>
      <c r="H29" s="308"/>
      <c r="I29" s="308"/>
      <c r="J29" s="308"/>
      <c r="K29" s="309"/>
      <c r="L29" s="302"/>
      <c r="M29" s="301"/>
      <c r="N29" s="302"/>
      <c r="O29" s="301"/>
      <c r="P29" s="303"/>
      <c r="Q29" s="313"/>
      <c r="R29" s="303"/>
      <c r="S29" s="313"/>
      <c r="T29" s="303"/>
      <c r="V29" s="272"/>
    </row>
    <row r="30" spans="1:22" ht="15.75">
      <c r="A30" s="292" t="s">
        <v>561</v>
      </c>
      <c r="B30" s="308"/>
      <c r="C30" s="308"/>
      <c r="D30" s="308"/>
      <c r="E30" s="308"/>
      <c r="F30" s="308"/>
      <c r="G30" s="308"/>
      <c r="H30" s="308"/>
      <c r="I30" s="308"/>
      <c r="J30" s="308"/>
      <c r="K30" s="309"/>
      <c r="L30" s="302"/>
      <c r="M30" s="301"/>
      <c r="N30" s="302"/>
      <c r="O30" s="301"/>
      <c r="P30" s="303"/>
      <c r="Q30" s="313"/>
      <c r="R30" s="303"/>
      <c r="S30" s="313"/>
      <c r="T30" s="303"/>
      <c r="V30" s="272"/>
    </row>
    <row r="31" spans="1:22" ht="15.75">
      <c r="A31" s="292" t="s">
        <v>562</v>
      </c>
      <c r="B31" s="308"/>
      <c r="C31" s="308"/>
      <c r="D31" s="308"/>
      <c r="E31" s="308"/>
      <c r="F31" s="308"/>
      <c r="G31" s="308"/>
      <c r="H31" s="308"/>
      <c r="I31" s="308"/>
      <c r="J31" s="308"/>
      <c r="K31" s="309"/>
      <c r="L31" s="302"/>
      <c r="M31" s="301"/>
      <c r="N31" s="302"/>
      <c r="O31" s="301"/>
      <c r="P31" s="303"/>
      <c r="Q31" s="313"/>
      <c r="R31" s="303"/>
      <c r="S31" s="313"/>
      <c r="T31" s="303"/>
      <c r="V31" s="272"/>
    </row>
    <row r="32" spans="1:22" ht="16.5" thickBot="1">
      <c r="A32" s="292" t="s">
        <v>563</v>
      </c>
      <c r="B32" s="308"/>
      <c r="C32" s="308"/>
      <c r="D32" s="308"/>
      <c r="E32" s="308"/>
      <c r="F32" s="308"/>
      <c r="G32" s="314"/>
      <c r="H32" s="314"/>
      <c r="I32" s="314"/>
      <c r="J32" s="314"/>
      <c r="K32" s="315"/>
      <c r="L32" s="316"/>
      <c r="M32" s="317"/>
      <c r="N32" s="316"/>
      <c r="O32" s="317"/>
      <c r="P32" s="318"/>
      <c r="Q32" s="319"/>
      <c r="R32" s="318"/>
      <c r="S32" s="319"/>
      <c r="T32" s="318"/>
      <c r="V32" s="272"/>
    </row>
    <row r="33" spans="1:22" ht="36" customHeight="1" thickBot="1">
      <c r="A33" s="368" t="s">
        <v>482</v>
      </c>
      <c r="B33" s="368">
        <f>+((B20-B19)/365+((B22-B21)/365)+((B24-B23)/365)+((B26-B25)/365)+((B28-B27)/365)+((B30-B29)/365)+((B32-B31)/365))</f>
        <v>0</v>
      </c>
      <c r="C33" s="368">
        <f t="shared" ref="C33:F33" si="0">+((C20-C19)/365+((C22-C21)/365)+((C24-C23)/365)+((C26-C25)/365)+((C28-C27)/365)+((C30-C29)/365)+((C32-C31)/365))</f>
        <v>0</v>
      </c>
      <c r="D33" s="368">
        <f t="shared" si="0"/>
        <v>0</v>
      </c>
      <c r="E33" s="368">
        <f t="shared" si="0"/>
        <v>0</v>
      </c>
      <c r="F33" s="368">
        <f t="shared" si="0"/>
        <v>0</v>
      </c>
      <c r="G33" s="368">
        <f>+((G20-G19)/365+((G22-G21)/365)+((G24-G23)/365)+((G26-G25)/365)+((G28-G27)/365)+((G30-G29)/365)+((G32-G31)/365))</f>
        <v>8.0383561643835613</v>
      </c>
      <c r="H33" s="368">
        <f>+((H20-H19)/365+((H22-H21)/365)+((H24-H23)/365)+((H26-H25)/365)+((H28-H27)/365)+((H30-H29)/365)+((H32-H31)/365))</f>
        <v>0</v>
      </c>
      <c r="I33" s="368">
        <f>+((I20-I19)/365+((I22-I21)/365)+((I24-I23)/365)+((I26-I25)/365)+((I28-I27)/365)+((I30-I29)/365)+((I32-I31)/365))</f>
        <v>0</v>
      </c>
      <c r="J33" s="368">
        <f t="shared" ref="J33:K33" si="1">+((J20-J19)/365+((J22-J21)/365)+((J24-J23)/365)+((J26-J25)/365)+((J28-J27)/365)+((J30-J29)/365)+((J32-J31)/365))</f>
        <v>0</v>
      </c>
      <c r="K33" s="368">
        <f t="shared" si="1"/>
        <v>0</v>
      </c>
      <c r="L33" s="368">
        <f>+((L20-L19)/365+((L22-L21)/365)+((L24-L23)/365)+((L26-L25)/365)+((L28-L27)/365)+((L30-L29)/365)+((L32-L31)/365))</f>
        <v>3.9232876712328766</v>
      </c>
      <c r="M33" s="368">
        <f t="shared" ref="M33" si="2">+((M20-M19)/365+((M22-M21)/365)+((M24-M23)/365)+((M26-M25)/365)+((M28-M27)/365)+((M30-M29)/365)+((M32-M31)/365))</f>
        <v>0</v>
      </c>
      <c r="N33" s="368">
        <f>+((N20-N19)/365+((N22-N21)/365)+((N24-N23)/365)+((N26-N25)/365)+((N28-N27)/365)+((N30-N29)/365)+((N32-N31)/365))</f>
        <v>0</v>
      </c>
      <c r="O33" s="368">
        <f t="shared" ref="O33:T33" si="3">+((O20-O19)/365+((O22-O21)/365)+((O24-O23)/365)+((O26-O25)/365)+((O28-O27)/365)+((O30-O29)/365)+((O32-O31)/365))</f>
        <v>0</v>
      </c>
      <c r="P33" s="368">
        <f t="shared" si="3"/>
        <v>0</v>
      </c>
      <c r="Q33" s="368">
        <f t="shared" si="3"/>
        <v>0</v>
      </c>
      <c r="R33" s="368">
        <f t="shared" si="3"/>
        <v>0</v>
      </c>
      <c r="S33" s="368">
        <f t="shared" si="3"/>
        <v>0</v>
      </c>
      <c r="T33" s="365">
        <f t="shared" si="3"/>
        <v>0</v>
      </c>
      <c r="V33" s="272"/>
    </row>
    <row r="34" spans="1:22" ht="85.5" customHeight="1" thickBot="1">
      <c r="A34" s="320" t="s">
        <v>484</v>
      </c>
      <c r="B34" s="321"/>
      <c r="C34" s="322"/>
      <c r="D34" s="322"/>
      <c r="E34" s="322"/>
      <c r="F34" s="322"/>
      <c r="G34" s="321" t="s">
        <v>708</v>
      </c>
      <c r="H34" s="323"/>
      <c r="I34" s="323"/>
      <c r="J34" s="323"/>
      <c r="K34" s="324"/>
      <c r="L34" s="325"/>
      <c r="M34" s="326"/>
      <c r="N34" s="327"/>
      <c r="O34" s="326"/>
      <c r="P34" s="327"/>
      <c r="Q34" s="326"/>
      <c r="R34" s="327"/>
      <c r="S34" s="326"/>
      <c r="T34" s="327"/>
      <c r="V34" s="272"/>
    </row>
    <row r="35" spans="1:22" ht="16.5" thickBot="1">
      <c r="A35" s="328"/>
      <c r="B35" s="328"/>
      <c r="C35" s="328"/>
      <c r="D35" s="328"/>
      <c r="E35" s="328"/>
      <c r="F35" s="328"/>
      <c r="G35" s="328"/>
      <c r="H35" s="328"/>
      <c r="I35" s="328"/>
      <c r="J35" s="328"/>
      <c r="K35" s="328"/>
      <c r="L35" s="328"/>
      <c r="M35" s="328"/>
      <c r="N35" s="328"/>
      <c r="O35" s="272"/>
      <c r="P35" s="272"/>
      <c r="Q35" s="272"/>
      <c r="R35" s="272"/>
      <c r="S35" s="272"/>
      <c r="T35" s="272"/>
    </row>
    <row r="36" spans="1:22" s="275" customFormat="1" ht="80.099999999999994" customHeight="1" thickBot="1">
      <c r="A36" s="368" t="s">
        <v>658</v>
      </c>
      <c r="B36" s="368" t="s">
        <v>592</v>
      </c>
      <c r="C36" s="368" t="s">
        <v>477</v>
      </c>
      <c r="D36" s="368" t="s">
        <v>547</v>
      </c>
      <c r="E36" s="368" t="s">
        <v>478</v>
      </c>
      <c r="F36" s="368" t="s">
        <v>551</v>
      </c>
      <c r="G36" s="368" t="s">
        <v>479</v>
      </c>
      <c r="H36" s="368" t="s">
        <v>498</v>
      </c>
      <c r="I36" s="368" t="s">
        <v>630</v>
      </c>
      <c r="J36" s="368" t="s">
        <v>661</v>
      </c>
      <c r="K36" s="368" t="s">
        <v>554</v>
      </c>
      <c r="L36" s="664" t="s">
        <v>191</v>
      </c>
      <c r="M36" s="665"/>
      <c r="N36" s="329"/>
      <c r="O36" s="274"/>
    </row>
    <row r="37" spans="1:22" s="278" customFormat="1" ht="34.5" customHeight="1">
      <c r="A37" s="641" t="s">
        <v>709</v>
      </c>
      <c r="B37" s="641" t="s">
        <v>710</v>
      </c>
      <c r="C37" s="666">
        <v>39259</v>
      </c>
      <c r="D37" s="668" t="s">
        <v>711</v>
      </c>
      <c r="E37" s="670">
        <v>39324</v>
      </c>
      <c r="F37" s="670"/>
      <c r="G37" s="670"/>
      <c r="H37" s="670"/>
      <c r="I37" s="362">
        <f>SUM(B58:J58)</f>
        <v>7.4082191780821915</v>
      </c>
      <c r="J37" s="330">
        <f>+SUM(H58:J58)</f>
        <v>7.4082191780821915</v>
      </c>
      <c r="K37" s="330">
        <f>SUM(L58:R58)</f>
        <v>0</v>
      </c>
      <c r="L37" s="673"/>
      <c r="M37" s="673"/>
      <c r="N37" s="283"/>
      <c r="O37" s="277"/>
    </row>
    <row r="38" spans="1:22" s="282" customFormat="1" ht="45.95" customHeight="1" thickBot="1">
      <c r="A38" s="642"/>
      <c r="B38" s="642"/>
      <c r="C38" s="667"/>
      <c r="D38" s="669"/>
      <c r="E38" s="642"/>
      <c r="F38" s="642"/>
      <c r="G38" s="642"/>
      <c r="H38" s="642"/>
      <c r="I38" s="279" t="str">
        <f>IF(I37&gt;=6,"CUMPLE","NO CUMPLE")</f>
        <v>CUMPLE</v>
      </c>
      <c r="J38" s="279" t="str">
        <f>IF(J37&gt;=3,"CUMPLE","NO CUMPLE")</f>
        <v>CUMPLE</v>
      </c>
      <c r="K38" s="331">
        <f>IF(AND(K37&gt;M8,K37&lt;=N8),4,IF(AND(K37&gt;N8,K37&lt;=O8),9,IF(K37&gt;O8,13,0)))</f>
        <v>0</v>
      </c>
      <c r="L38" s="674"/>
      <c r="M38" s="674"/>
      <c r="N38" s="332"/>
      <c r="O38" s="281"/>
    </row>
    <row r="39" spans="1:22" s="273" customFormat="1" ht="16.5" thickBot="1">
      <c r="A39" s="283"/>
      <c r="B39" s="283"/>
      <c r="C39" s="283"/>
      <c r="D39" s="277"/>
      <c r="E39" s="277"/>
      <c r="F39" s="277"/>
      <c r="G39" s="277"/>
      <c r="H39" s="284"/>
      <c r="I39" s="277"/>
      <c r="J39" s="367"/>
      <c r="K39" s="367"/>
      <c r="L39" s="367"/>
      <c r="M39" s="367"/>
      <c r="N39" s="284"/>
      <c r="O39" s="284"/>
      <c r="P39" s="285"/>
      <c r="Q39" s="272"/>
      <c r="R39" s="272"/>
      <c r="S39" s="272"/>
      <c r="T39" s="271"/>
    </row>
    <row r="40" spans="1:22" ht="34.5" customHeight="1" thickBot="1">
      <c r="A40" s="286" t="s">
        <v>480</v>
      </c>
      <c r="B40" s="287" t="s">
        <v>481</v>
      </c>
      <c r="C40" s="287" t="s">
        <v>483</v>
      </c>
      <c r="D40" s="287" t="s">
        <v>485</v>
      </c>
      <c r="E40" s="287" t="s">
        <v>486</v>
      </c>
      <c r="F40" s="287" t="s">
        <v>487</v>
      </c>
      <c r="G40" s="287" t="s">
        <v>488</v>
      </c>
      <c r="H40" s="288" t="s">
        <v>505</v>
      </c>
      <c r="I40" s="288" t="s">
        <v>552</v>
      </c>
      <c r="J40" s="333" t="s">
        <v>553</v>
      </c>
      <c r="L40" s="335" t="s">
        <v>506</v>
      </c>
      <c r="M40" s="335" t="s">
        <v>507</v>
      </c>
      <c r="N40" s="335" t="s">
        <v>508</v>
      </c>
      <c r="O40" s="335" t="s">
        <v>509</v>
      </c>
      <c r="P40" s="335" t="s">
        <v>510</v>
      </c>
      <c r="Q40" s="335" t="s">
        <v>511</v>
      </c>
      <c r="R40" s="335" t="s">
        <v>599</v>
      </c>
    </row>
    <row r="41" spans="1:22" ht="59.25" customHeight="1">
      <c r="A41" s="292" t="s">
        <v>23</v>
      </c>
      <c r="B41" s="293"/>
      <c r="C41" s="294"/>
      <c r="D41" s="294"/>
      <c r="E41" s="294"/>
      <c r="F41" s="294"/>
      <c r="G41" s="294"/>
      <c r="H41" s="293" t="s">
        <v>712</v>
      </c>
      <c r="I41" s="308"/>
      <c r="J41" s="302"/>
      <c r="L41" s="293"/>
      <c r="M41" s="336"/>
      <c r="N41" s="336"/>
      <c r="O41" s="336"/>
      <c r="P41" s="336"/>
      <c r="Q41" s="336"/>
      <c r="R41" s="336"/>
    </row>
    <row r="42" spans="1:22" ht="80.099999999999994" customHeight="1">
      <c r="A42" s="292" t="s">
        <v>205</v>
      </c>
      <c r="B42" s="298"/>
      <c r="C42" s="299"/>
      <c r="D42" s="299"/>
      <c r="E42" s="299"/>
      <c r="F42" s="299"/>
      <c r="G42" s="299"/>
      <c r="H42" s="298" t="s">
        <v>713</v>
      </c>
      <c r="I42" s="308"/>
      <c r="J42" s="302"/>
      <c r="L42" s="298"/>
      <c r="M42" s="302"/>
      <c r="N42" s="302"/>
      <c r="O42" s="302"/>
      <c r="P42" s="302"/>
      <c r="Q42" s="302"/>
      <c r="R42" s="302"/>
    </row>
    <row r="43" spans="1:22" ht="21.95" customHeight="1">
      <c r="A43" s="292" t="s">
        <v>490</v>
      </c>
      <c r="B43" s="373"/>
      <c r="C43" s="305"/>
      <c r="D43" s="305"/>
      <c r="E43" s="305"/>
      <c r="F43" s="305"/>
      <c r="G43" s="305"/>
      <c r="H43" s="373" t="s">
        <v>728</v>
      </c>
      <c r="I43" s="308"/>
      <c r="J43" s="302"/>
      <c r="L43" s="337"/>
      <c r="M43" s="307"/>
      <c r="N43" s="307"/>
      <c r="O43" s="307"/>
      <c r="P43" s="307"/>
      <c r="Q43" s="307"/>
      <c r="R43" s="307"/>
    </row>
    <row r="44" spans="1:22" ht="15.75">
      <c r="A44" s="292" t="s">
        <v>499</v>
      </c>
      <c r="B44" s="375"/>
      <c r="C44" s="308"/>
      <c r="D44" s="308"/>
      <c r="E44" s="308"/>
      <c r="F44" s="308"/>
      <c r="G44" s="308"/>
      <c r="H44" s="375">
        <v>40735</v>
      </c>
      <c r="I44" s="308"/>
      <c r="J44" s="302"/>
      <c r="L44" s="338"/>
      <c r="M44" s="302"/>
      <c r="N44" s="302"/>
      <c r="O44" s="302"/>
      <c r="P44" s="302"/>
      <c r="Q44" s="302"/>
      <c r="R44" s="302"/>
    </row>
    <row r="45" spans="1:22" ht="15.75">
      <c r="A45" s="292" t="s">
        <v>555</v>
      </c>
      <c r="B45" s="375"/>
      <c r="C45" s="308"/>
      <c r="D45" s="308"/>
      <c r="E45" s="308"/>
      <c r="F45" s="308"/>
      <c r="G45" s="308"/>
      <c r="H45" s="375">
        <v>43439</v>
      </c>
      <c r="I45" s="308"/>
      <c r="J45" s="302"/>
      <c r="L45" s="338"/>
      <c r="M45" s="302"/>
      <c r="N45" s="302"/>
      <c r="O45" s="302"/>
      <c r="P45" s="302"/>
      <c r="Q45" s="302"/>
      <c r="R45" s="302"/>
    </row>
    <row r="46" spans="1:22" ht="15.75">
      <c r="A46" s="292" t="s">
        <v>500</v>
      </c>
      <c r="B46" s="308"/>
      <c r="C46" s="308"/>
      <c r="D46" s="308"/>
      <c r="E46" s="308"/>
      <c r="F46" s="308"/>
      <c r="G46" s="308"/>
      <c r="H46" s="308"/>
      <c r="I46" s="308"/>
      <c r="J46" s="302"/>
      <c r="L46" s="302"/>
      <c r="M46" s="302"/>
      <c r="N46" s="302"/>
      <c r="O46" s="302"/>
      <c r="P46" s="302"/>
      <c r="Q46" s="302"/>
      <c r="R46" s="302"/>
    </row>
    <row r="47" spans="1:22" ht="15.75">
      <c r="A47" s="292" t="s">
        <v>556</v>
      </c>
      <c r="B47" s="308"/>
      <c r="C47" s="308"/>
      <c r="D47" s="308"/>
      <c r="E47" s="308"/>
      <c r="F47" s="308"/>
      <c r="G47" s="308"/>
      <c r="H47" s="308"/>
      <c r="I47" s="308"/>
      <c r="J47" s="302"/>
      <c r="L47" s="302"/>
      <c r="M47" s="302"/>
      <c r="N47" s="302"/>
      <c r="O47" s="302"/>
      <c r="P47" s="302"/>
      <c r="Q47" s="302"/>
      <c r="R47" s="302"/>
    </row>
    <row r="48" spans="1:22" ht="15.75">
      <c r="A48" s="292" t="s">
        <v>501</v>
      </c>
      <c r="B48" s="308"/>
      <c r="C48" s="308"/>
      <c r="D48" s="308"/>
      <c r="E48" s="308"/>
      <c r="F48" s="308"/>
      <c r="G48" s="308"/>
      <c r="H48" s="308"/>
      <c r="I48" s="308"/>
      <c r="J48" s="302"/>
      <c r="L48" s="302"/>
      <c r="M48" s="302"/>
      <c r="N48" s="302"/>
      <c r="O48" s="302"/>
      <c r="P48" s="302"/>
      <c r="Q48" s="302"/>
      <c r="R48" s="302"/>
    </row>
    <row r="49" spans="1:18" ht="15.75">
      <c r="A49" s="292" t="s">
        <v>557</v>
      </c>
      <c r="B49" s="308"/>
      <c r="C49" s="308"/>
      <c r="D49" s="308"/>
      <c r="E49" s="308"/>
      <c r="F49" s="308"/>
      <c r="G49" s="308"/>
      <c r="H49" s="308"/>
      <c r="I49" s="308"/>
      <c r="J49" s="302"/>
      <c r="L49" s="302"/>
      <c r="M49" s="302"/>
      <c r="N49" s="302"/>
      <c r="O49" s="302"/>
      <c r="P49" s="302"/>
      <c r="Q49" s="302"/>
      <c r="R49" s="302"/>
    </row>
    <row r="50" spans="1:18" ht="15.75">
      <c r="A50" s="292" t="s">
        <v>502</v>
      </c>
      <c r="B50" s="308"/>
      <c r="C50" s="308"/>
      <c r="D50" s="308"/>
      <c r="E50" s="308"/>
      <c r="F50" s="308"/>
      <c r="G50" s="308"/>
      <c r="H50" s="308"/>
      <c r="I50" s="308"/>
      <c r="J50" s="302"/>
      <c r="L50" s="302"/>
      <c r="M50" s="302"/>
      <c r="N50" s="302"/>
      <c r="O50" s="302"/>
      <c r="P50" s="302"/>
      <c r="Q50" s="302"/>
      <c r="R50" s="302"/>
    </row>
    <row r="51" spans="1:18" ht="15.75">
      <c r="A51" s="292" t="s">
        <v>558</v>
      </c>
      <c r="B51" s="308"/>
      <c r="C51" s="308"/>
      <c r="D51" s="308"/>
      <c r="E51" s="308"/>
      <c r="F51" s="308"/>
      <c r="G51" s="308"/>
      <c r="H51" s="308"/>
      <c r="I51" s="308"/>
      <c r="J51" s="302"/>
      <c r="L51" s="302"/>
      <c r="M51" s="302"/>
      <c r="N51" s="302"/>
      <c r="O51" s="302"/>
      <c r="P51" s="302"/>
      <c r="Q51" s="302"/>
      <c r="R51" s="302"/>
    </row>
    <row r="52" spans="1:18" ht="15.75">
      <c r="A52" s="292" t="s">
        <v>503</v>
      </c>
      <c r="B52" s="308"/>
      <c r="C52" s="308"/>
      <c r="D52" s="308"/>
      <c r="E52" s="308"/>
      <c r="F52" s="308"/>
      <c r="G52" s="308"/>
      <c r="H52" s="308"/>
      <c r="I52" s="308"/>
      <c r="J52" s="302"/>
      <c r="L52" s="302"/>
      <c r="M52" s="302"/>
      <c r="N52" s="302"/>
      <c r="O52" s="302"/>
      <c r="P52" s="302"/>
      <c r="Q52" s="302"/>
      <c r="R52" s="302"/>
    </row>
    <row r="53" spans="1:18" ht="15.75">
      <c r="A53" s="292" t="s">
        <v>559</v>
      </c>
      <c r="B53" s="308"/>
      <c r="C53" s="308"/>
      <c r="D53" s="308"/>
      <c r="E53" s="308"/>
      <c r="F53" s="308"/>
      <c r="G53" s="308"/>
      <c r="H53" s="308"/>
      <c r="I53" s="308"/>
      <c r="J53" s="302"/>
      <c r="L53" s="302"/>
      <c r="M53" s="302"/>
      <c r="N53" s="302"/>
      <c r="O53" s="302"/>
      <c r="P53" s="302"/>
      <c r="Q53" s="302"/>
      <c r="R53" s="302"/>
    </row>
    <row r="54" spans="1:18" ht="15.75">
      <c r="A54" s="292" t="s">
        <v>560</v>
      </c>
      <c r="B54" s="308"/>
      <c r="C54" s="308"/>
      <c r="D54" s="308"/>
      <c r="E54" s="308"/>
      <c r="F54" s="308"/>
      <c r="G54" s="308"/>
      <c r="H54" s="308"/>
      <c r="I54" s="308"/>
      <c r="J54" s="302"/>
      <c r="L54" s="302"/>
      <c r="M54" s="302"/>
      <c r="N54" s="302"/>
      <c r="O54" s="302"/>
      <c r="P54" s="302"/>
      <c r="Q54" s="302"/>
      <c r="R54" s="302"/>
    </row>
    <row r="55" spans="1:18" ht="15.75">
      <c r="A55" s="292" t="s">
        <v>561</v>
      </c>
      <c r="B55" s="308"/>
      <c r="C55" s="308"/>
      <c r="D55" s="308"/>
      <c r="E55" s="308"/>
      <c r="F55" s="308"/>
      <c r="G55" s="308"/>
      <c r="H55" s="308"/>
      <c r="I55" s="308"/>
      <c r="J55" s="302"/>
      <c r="L55" s="302"/>
      <c r="M55" s="302"/>
      <c r="N55" s="302"/>
      <c r="O55" s="302"/>
      <c r="P55" s="302"/>
      <c r="Q55" s="302"/>
      <c r="R55" s="302"/>
    </row>
    <row r="56" spans="1:18" ht="15.75">
      <c r="A56" s="292" t="s">
        <v>562</v>
      </c>
      <c r="B56" s="308"/>
      <c r="C56" s="308"/>
      <c r="D56" s="308"/>
      <c r="E56" s="308"/>
      <c r="F56" s="308"/>
      <c r="G56" s="308"/>
      <c r="H56" s="308"/>
      <c r="I56" s="308"/>
      <c r="J56" s="302"/>
      <c r="L56" s="302"/>
      <c r="M56" s="302"/>
      <c r="N56" s="302"/>
      <c r="O56" s="302"/>
      <c r="P56" s="302"/>
      <c r="Q56" s="302"/>
      <c r="R56" s="302"/>
    </row>
    <row r="57" spans="1:18" ht="16.5" thickBot="1">
      <c r="A57" s="292" t="s">
        <v>563</v>
      </c>
      <c r="B57" s="308"/>
      <c r="C57" s="308"/>
      <c r="D57" s="308"/>
      <c r="E57" s="308"/>
      <c r="F57" s="308"/>
      <c r="G57" s="308"/>
      <c r="H57" s="308"/>
      <c r="I57" s="308"/>
      <c r="J57" s="302"/>
      <c r="L57" s="339"/>
      <c r="M57" s="302"/>
      <c r="N57" s="302"/>
      <c r="O57" s="302"/>
      <c r="P57" s="302"/>
      <c r="Q57" s="302"/>
      <c r="R57" s="302"/>
    </row>
    <row r="58" spans="1:18" ht="36" customHeight="1" thickBot="1">
      <c r="A58" s="286" t="s">
        <v>482</v>
      </c>
      <c r="B58" s="340">
        <f>+((B45-B44)/365+((B47-B46)/365)+((B49-B48)/365)+((B51-B50)/365)+((B53-B52)/365)+((B55-B54)/365)+((B57-B56)/365))</f>
        <v>0</v>
      </c>
      <c r="C58" s="341">
        <f t="shared" ref="C58:J58" si="4">+((C45-C44)/365+((C47-C46)/365)+((C49-C48)/365)+((C51-C50)/365)+((C53-C52)/365)+((C55-C54)/365)+((C57-C56)/365))</f>
        <v>0</v>
      </c>
      <c r="D58" s="341">
        <f t="shared" si="4"/>
        <v>0</v>
      </c>
      <c r="E58" s="341">
        <f t="shared" si="4"/>
        <v>0</v>
      </c>
      <c r="F58" s="341">
        <f t="shared" si="4"/>
        <v>0</v>
      </c>
      <c r="G58" s="341">
        <f t="shared" si="4"/>
        <v>0</v>
      </c>
      <c r="H58" s="341">
        <f t="shared" si="4"/>
        <v>7.4082191780821915</v>
      </c>
      <c r="I58" s="341">
        <f t="shared" si="4"/>
        <v>0</v>
      </c>
      <c r="J58" s="342">
        <f t="shared" si="4"/>
        <v>0</v>
      </c>
      <c r="L58" s="341">
        <f>+((L45-L44)/365+((L47-L46)/365)+((L49-L48)/365)+((L51-L50)/365)+((L53-L52)/365)+((L55-L54)/365)+((L57-L56)/365))</f>
        <v>0</v>
      </c>
      <c r="M58" s="341">
        <f t="shared" ref="M58:R58" si="5">+((M45-M44)/365+((M47-M46)/365)+((M49-M48)/365)+((M51-M50)/365)+((M53-M52)/365)+((M55-M54)/365)+((M57-M56)/365))</f>
        <v>0</v>
      </c>
      <c r="N58" s="341">
        <f t="shared" si="5"/>
        <v>0</v>
      </c>
      <c r="O58" s="341">
        <f t="shared" si="5"/>
        <v>0</v>
      </c>
      <c r="P58" s="341">
        <f t="shared" si="5"/>
        <v>0</v>
      </c>
      <c r="Q58" s="341">
        <f t="shared" si="5"/>
        <v>0</v>
      </c>
      <c r="R58" s="341">
        <f t="shared" si="5"/>
        <v>0</v>
      </c>
    </row>
    <row r="59" spans="1:18" ht="85.5" customHeight="1" thickBot="1">
      <c r="A59" s="368" t="s">
        <v>484</v>
      </c>
      <c r="B59" s="343"/>
      <c r="C59" s="344"/>
      <c r="D59" s="344"/>
      <c r="E59" s="344"/>
      <c r="F59" s="344"/>
      <c r="G59" s="344"/>
      <c r="H59" s="343" t="s">
        <v>729</v>
      </c>
      <c r="I59" s="344"/>
      <c r="J59" s="370"/>
      <c r="K59" s="345"/>
      <c r="L59" s="346"/>
      <c r="M59" s="346"/>
      <c r="N59" s="346"/>
      <c r="O59" s="346"/>
      <c r="P59" s="346"/>
      <c r="Q59" s="346"/>
      <c r="R59" s="346"/>
    </row>
    <row r="60" spans="1:18" ht="15.75" customHeight="1" thickBot="1"/>
    <row r="61" spans="1:18" s="278" customFormat="1" ht="111.75" customHeight="1" thickBot="1">
      <c r="A61" s="368" t="s">
        <v>659</v>
      </c>
      <c r="B61" s="347" t="s">
        <v>592</v>
      </c>
      <c r="C61" s="347" t="s">
        <v>477</v>
      </c>
      <c r="D61" s="347" t="s">
        <v>547</v>
      </c>
      <c r="E61" s="347" t="s">
        <v>478</v>
      </c>
      <c r="F61" s="347" t="s">
        <v>551</v>
      </c>
      <c r="G61" s="347" t="s">
        <v>479</v>
      </c>
      <c r="H61" s="347" t="s">
        <v>498</v>
      </c>
      <c r="I61" s="347" t="s">
        <v>662</v>
      </c>
      <c r="J61" s="347" t="s">
        <v>554</v>
      </c>
      <c r="K61" s="347" t="s">
        <v>191</v>
      </c>
      <c r="L61" s="348"/>
      <c r="N61" s="283"/>
      <c r="O61" s="277"/>
    </row>
    <row r="62" spans="1:18" s="278" customFormat="1" ht="34.5" customHeight="1">
      <c r="A62" s="641" t="s">
        <v>725</v>
      </c>
      <c r="B62" s="641" t="s">
        <v>714</v>
      </c>
      <c r="C62" s="666">
        <v>37330</v>
      </c>
      <c r="D62" s="668" t="s">
        <v>715</v>
      </c>
      <c r="E62" s="670">
        <v>37735</v>
      </c>
      <c r="F62" s="670"/>
      <c r="G62" s="670"/>
      <c r="H62" s="670"/>
      <c r="I62" s="330">
        <f>SUM(B83:H83)</f>
        <v>2.032876712328767</v>
      </c>
      <c r="J62" s="349">
        <f>(SUM(I83:O83))</f>
        <v>1.9972602739726026</v>
      </c>
      <c r="K62" s="675"/>
      <c r="L62" s="676"/>
      <c r="N62" s="283"/>
      <c r="O62" s="277"/>
    </row>
    <row r="63" spans="1:18" s="278" customFormat="1" ht="45.95" customHeight="1" thickBot="1">
      <c r="A63" s="642"/>
      <c r="B63" s="642"/>
      <c r="C63" s="667"/>
      <c r="D63" s="669"/>
      <c r="E63" s="642"/>
      <c r="F63" s="642"/>
      <c r="G63" s="642"/>
      <c r="H63" s="642"/>
      <c r="I63" s="279" t="str">
        <f>IF(I62&gt;=2,"CUMPLE","NO CUMPLE")</f>
        <v>CUMPLE</v>
      </c>
      <c r="J63" s="350">
        <f>IF(AND(J62&gt;M8,J62&lt;=N8),10,IF(AND(J62&gt;N8,J62&lt;=O8),15,IF(J62&gt;O8,20,0)))</f>
        <v>15</v>
      </c>
      <c r="K63" s="677"/>
      <c r="L63" s="678"/>
      <c r="N63" s="283"/>
      <c r="O63" s="277"/>
    </row>
    <row r="64" spans="1:18" s="278" customFormat="1" ht="28.5" customHeight="1" thickBot="1">
      <c r="A64" s="351"/>
      <c r="B64" s="352"/>
      <c r="C64" s="353"/>
      <c r="D64" s="354"/>
      <c r="E64" s="354"/>
      <c r="F64" s="355"/>
      <c r="G64" s="356"/>
      <c r="H64" s="356"/>
      <c r="I64" s="367"/>
      <c r="J64" s="367"/>
      <c r="K64" s="367"/>
      <c r="L64" s="357"/>
      <c r="M64" s="358"/>
      <c r="N64" s="283"/>
      <c r="O64" s="277"/>
    </row>
    <row r="65" spans="1:25" ht="34.5" customHeight="1" thickBot="1">
      <c r="A65" s="286" t="s">
        <v>480</v>
      </c>
      <c r="B65" s="287" t="s">
        <v>481</v>
      </c>
      <c r="C65" s="287" t="s">
        <v>483</v>
      </c>
      <c r="D65" s="287" t="s">
        <v>485</v>
      </c>
      <c r="E65" s="287" t="s">
        <v>486</v>
      </c>
      <c r="F65" s="287" t="s">
        <v>487</v>
      </c>
      <c r="G65" s="328"/>
      <c r="H65" s="328"/>
      <c r="I65" s="290" t="s">
        <v>506</v>
      </c>
      <c r="J65" s="290" t="s">
        <v>507</v>
      </c>
      <c r="K65" s="290" t="s">
        <v>508</v>
      </c>
      <c r="L65" s="290" t="s">
        <v>509</v>
      </c>
      <c r="M65" s="290" t="s">
        <v>510</v>
      </c>
      <c r="N65" s="290" t="s">
        <v>511</v>
      </c>
      <c r="O65" s="290" t="s">
        <v>599</v>
      </c>
      <c r="T65" s="359"/>
      <c r="U65" s="359"/>
      <c r="V65" s="359"/>
      <c r="W65" s="359"/>
      <c r="X65" s="359"/>
      <c r="Y65" s="278"/>
    </row>
    <row r="66" spans="1:25" ht="59.25" customHeight="1">
      <c r="A66" s="292" t="s">
        <v>23</v>
      </c>
      <c r="B66" s="293" t="s">
        <v>718</v>
      </c>
      <c r="C66" s="294"/>
      <c r="D66" s="294"/>
      <c r="E66" s="294"/>
      <c r="F66" s="294"/>
      <c r="G66" s="328"/>
      <c r="H66" s="328"/>
      <c r="I66" s="376" t="s">
        <v>718</v>
      </c>
      <c r="J66" s="336"/>
      <c r="K66" s="336"/>
      <c r="L66" s="336"/>
      <c r="M66" s="336"/>
      <c r="N66" s="336"/>
      <c r="O66" s="336"/>
      <c r="T66" s="359"/>
      <c r="U66" s="367"/>
      <c r="V66" s="367"/>
      <c r="W66" s="270"/>
      <c r="X66" s="270"/>
      <c r="Y66" s="278"/>
    </row>
    <row r="67" spans="1:25" ht="60.75" customHeight="1">
      <c r="A67" s="292" t="s">
        <v>205</v>
      </c>
      <c r="B67" s="298" t="s">
        <v>717</v>
      </c>
      <c r="C67" s="299"/>
      <c r="D67" s="299"/>
      <c r="E67" s="299"/>
      <c r="F67" s="299"/>
      <c r="G67" s="328"/>
      <c r="H67" s="328"/>
      <c r="I67" s="377" t="s">
        <v>717</v>
      </c>
      <c r="J67" s="302"/>
      <c r="K67" s="302"/>
      <c r="L67" s="302"/>
      <c r="M67" s="302"/>
      <c r="N67" s="302"/>
      <c r="O67" s="302"/>
      <c r="T67" s="359"/>
      <c r="U67" s="277"/>
      <c r="V67" s="277"/>
      <c r="W67" s="277"/>
      <c r="X67" s="277"/>
      <c r="Y67" s="278"/>
    </row>
    <row r="68" spans="1:25" ht="21.95" customHeight="1">
      <c r="A68" s="292" t="s">
        <v>490</v>
      </c>
      <c r="B68" s="373" t="s">
        <v>716</v>
      </c>
      <c r="C68" s="305"/>
      <c r="D68" s="305"/>
      <c r="E68" s="305"/>
      <c r="F68" s="305"/>
      <c r="G68" s="328"/>
      <c r="H68" s="328"/>
      <c r="I68" s="378" t="s">
        <v>716</v>
      </c>
      <c r="J68" s="307"/>
      <c r="K68" s="307"/>
      <c r="L68" s="307"/>
      <c r="M68" s="307"/>
      <c r="N68" s="307"/>
      <c r="O68" s="307"/>
      <c r="T68" s="359"/>
      <c r="U68" s="277"/>
      <c r="V68" s="277"/>
      <c r="W68" s="277"/>
      <c r="X68" s="277"/>
      <c r="Y68" s="278"/>
    </row>
    <row r="69" spans="1:25" ht="15.75">
      <c r="A69" s="292" t="s">
        <v>499</v>
      </c>
      <c r="B69" s="375">
        <v>42013</v>
      </c>
      <c r="C69" s="308"/>
      <c r="D69" s="308"/>
      <c r="E69" s="308"/>
      <c r="F69" s="308"/>
      <c r="G69" s="328"/>
      <c r="H69" s="328"/>
      <c r="I69" s="338">
        <v>42756</v>
      </c>
      <c r="J69" s="302"/>
      <c r="K69" s="302"/>
      <c r="L69" s="302"/>
      <c r="M69" s="302"/>
      <c r="N69" s="302"/>
      <c r="O69" s="302"/>
      <c r="T69" s="359"/>
      <c r="U69" s="284"/>
      <c r="V69" s="284"/>
      <c r="W69" s="284"/>
      <c r="X69" s="284"/>
      <c r="Y69" s="278"/>
    </row>
    <row r="70" spans="1:25" ht="15.75">
      <c r="A70" s="292" t="s">
        <v>555</v>
      </c>
      <c r="B70" s="375">
        <v>42755</v>
      </c>
      <c r="C70" s="308"/>
      <c r="D70" s="308"/>
      <c r="E70" s="308"/>
      <c r="F70" s="308"/>
      <c r="G70" s="328"/>
      <c r="H70" s="328"/>
      <c r="I70" s="338">
        <v>43485</v>
      </c>
      <c r="J70" s="302"/>
      <c r="K70" s="302"/>
      <c r="L70" s="302"/>
      <c r="M70" s="302"/>
      <c r="N70" s="302"/>
      <c r="O70" s="302"/>
      <c r="T70" s="359"/>
      <c r="U70" s="284"/>
      <c r="V70" s="284"/>
      <c r="W70" s="284"/>
      <c r="X70" s="284"/>
      <c r="Y70" s="278"/>
    </row>
    <row r="71" spans="1:25" ht="15.75">
      <c r="A71" s="292" t="s">
        <v>500</v>
      </c>
      <c r="B71" s="308"/>
      <c r="C71" s="308"/>
      <c r="D71" s="308"/>
      <c r="E71" s="308"/>
      <c r="F71" s="308"/>
      <c r="G71" s="328"/>
      <c r="H71" s="328"/>
      <c r="I71" s="302"/>
      <c r="J71" s="302"/>
      <c r="K71" s="302"/>
      <c r="L71" s="302"/>
      <c r="M71" s="302"/>
      <c r="N71" s="302"/>
      <c r="O71" s="302"/>
      <c r="T71" s="359"/>
      <c r="U71" s="284"/>
      <c r="V71" s="284"/>
      <c r="W71" s="284"/>
      <c r="X71" s="284"/>
      <c r="Y71" s="278"/>
    </row>
    <row r="72" spans="1:25" ht="15.75">
      <c r="A72" s="292" t="s">
        <v>556</v>
      </c>
      <c r="B72" s="308"/>
      <c r="C72" s="308"/>
      <c r="D72" s="308"/>
      <c r="E72" s="308"/>
      <c r="F72" s="308"/>
      <c r="G72" s="328"/>
      <c r="H72" s="328"/>
      <c r="I72" s="302"/>
      <c r="J72" s="302"/>
      <c r="K72" s="302"/>
      <c r="L72" s="302"/>
      <c r="M72" s="302"/>
      <c r="N72" s="302"/>
      <c r="O72" s="302"/>
      <c r="T72" s="359"/>
      <c r="U72" s="284"/>
      <c r="V72" s="284"/>
      <c r="W72" s="284"/>
      <c r="X72" s="284"/>
      <c r="Y72" s="278"/>
    </row>
    <row r="73" spans="1:25" ht="15.75">
      <c r="A73" s="292" t="s">
        <v>501</v>
      </c>
      <c r="B73" s="308"/>
      <c r="C73" s="308"/>
      <c r="D73" s="308"/>
      <c r="E73" s="308"/>
      <c r="F73" s="308"/>
      <c r="G73" s="328"/>
      <c r="H73" s="328"/>
      <c r="I73" s="302"/>
      <c r="J73" s="302"/>
      <c r="K73" s="302"/>
      <c r="L73" s="302"/>
      <c r="M73" s="302"/>
      <c r="N73" s="302"/>
      <c r="O73" s="302"/>
      <c r="T73" s="359"/>
      <c r="U73" s="284"/>
      <c r="V73" s="284"/>
      <c r="W73" s="284"/>
      <c r="X73" s="284"/>
      <c r="Y73" s="278"/>
    </row>
    <row r="74" spans="1:25" ht="15.75">
      <c r="A74" s="292" t="s">
        <v>557</v>
      </c>
      <c r="B74" s="308"/>
      <c r="C74" s="308"/>
      <c r="D74" s="308"/>
      <c r="E74" s="308"/>
      <c r="F74" s="308"/>
      <c r="G74" s="328"/>
      <c r="H74" s="328"/>
      <c r="I74" s="302"/>
      <c r="J74" s="302"/>
      <c r="K74" s="302"/>
      <c r="L74" s="302"/>
      <c r="M74" s="302"/>
      <c r="N74" s="302"/>
      <c r="O74" s="302"/>
      <c r="T74" s="359"/>
      <c r="U74" s="284"/>
      <c r="V74" s="284"/>
      <c r="W74" s="284"/>
      <c r="X74" s="284"/>
      <c r="Y74" s="278"/>
    </row>
    <row r="75" spans="1:25" ht="15.75">
      <c r="A75" s="292" t="s">
        <v>502</v>
      </c>
      <c r="B75" s="308"/>
      <c r="C75" s="308"/>
      <c r="D75" s="308"/>
      <c r="E75" s="308"/>
      <c r="F75" s="308"/>
      <c r="G75" s="328"/>
      <c r="H75" s="328"/>
      <c r="I75" s="302"/>
      <c r="J75" s="302"/>
      <c r="K75" s="302"/>
      <c r="L75" s="302"/>
      <c r="M75" s="302"/>
      <c r="N75" s="302"/>
      <c r="O75" s="302"/>
      <c r="T75" s="359"/>
      <c r="U75" s="284"/>
      <c r="V75" s="284"/>
      <c r="W75" s="284"/>
      <c r="X75" s="284"/>
      <c r="Y75" s="278"/>
    </row>
    <row r="76" spans="1:25" ht="15.75">
      <c r="A76" s="292" t="s">
        <v>558</v>
      </c>
      <c r="B76" s="308"/>
      <c r="C76" s="308"/>
      <c r="D76" s="308"/>
      <c r="E76" s="308"/>
      <c r="F76" s="308"/>
      <c r="G76" s="328"/>
      <c r="H76" s="328"/>
      <c r="I76" s="302"/>
      <c r="J76" s="302"/>
      <c r="K76" s="302"/>
      <c r="L76" s="302"/>
      <c r="M76" s="302"/>
      <c r="N76" s="302"/>
      <c r="O76" s="302"/>
      <c r="T76" s="359"/>
      <c r="U76" s="284"/>
      <c r="V76" s="284"/>
      <c r="W76" s="284"/>
      <c r="X76" s="284"/>
      <c r="Y76" s="278"/>
    </row>
    <row r="77" spans="1:25" ht="15.75">
      <c r="A77" s="292" t="s">
        <v>503</v>
      </c>
      <c r="B77" s="308"/>
      <c r="C77" s="308"/>
      <c r="D77" s="308"/>
      <c r="E77" s="308"/>
      <c r="F77" s="308"/>
      <c r="G77" s="328"/>
      <c r="H77" s="328"/>
      <c r="I77" s="302"/>
      <c r="J77" s="302"/>
      <c r="K77" s="302"/>
      <c r="L77" s="302"/>
      <c r="M77" s="302"/>
      <c r="N77" s="302"/>
      <c r="O77" s="302"/>
      <c r="T77" s="359"/>
      <c r="U77" s="284"/>
      <c r="V77" s="284"/>
      <c r="W77" s="284"/>
      <c r="X77" s="284"/>
      <c r="Y77" s="278"/>
    </row>
    <row r="78" spans="1:25" ht="15.75">
      <c r="A78" s="292" t="s">
        <v>559</v>
      </c>
      <c r="B78" s="308"/>
      <c r="C78" s="308"/>
      <c r="D78" s="308"/>
      <c r="E78" s="308"/>
      <c r="F78" s="308"/>
      <c r="G78" s="328"/>
      <c r="H78" s="328"/>
      <c r="I78" s="302"/>
      <c r="J78" s="302"/>
      <c r="K78" s="302"/>
      <c r="L78" s="302"/>
      <c r="M78" s="302"/>
      <c r="N78" s="302"/>
      <c r="O78" s="302"/>
      <c r="T78" s="359"/>
      <c r="U78" s="284"/>
      <c r="V78" s="284"/>
      <c r="W78" s="284"/>
      <c r="X78" s="284"/>
      <c r="Y78" s="278"/>
    </row>
    <row r="79" spans="1:25" ht="15.75">
      <c r="A79" s="292" t="s">
        <v>560</v>
      </c>
      <c r="B79" s="308"/>
      <c r="C79" s="308"/>
      <c r="D79" s="308"/>
      <c r="E79" s="308"/>
      <c r="F79" s="308"/>
      <c r="G79" s="328"/>
      <c r="H79" s="328"/>
      <c r="I79" s="302"/>
      <c r="J79" s="302"/>
      <c r="K79" s="302"/>
      <c r="L79" s="302"/>
      <c r="M79" s="302"/>
      <c r="N79" s="302"/>
      <c r="O79" s="302"/>
      <c r="T79" s="359"/>
      <c r="U79" s="284"/>
      <c r="V79" s="284"/>
      <c r="W79" s="284"/>
      <c r="X79" s="284"/>
      <c r="Y79" s="278"/>
    </row>
    <row r="80" spans="1:25" ht="15.75">
      <c r="A80" s="292" t="s">
        <v>561</v>
      </c>
      <c r="B80" s="308"/>
      <c r="C80" s="308"/>
      <c r="D80" s="308"/>
      <c r="E80" s="308"/>
      <c r="F80" s="308"/>
      <c r="G80" s="328"/>
      <c r="H80" s="328"/>
      <c r="I80" s="302"/>
      <c r="J80" s="302"/>
      <c r="K80" s="302"/>
      <c r="L80" s="302"/>
      <c r="M80" s="302"/>
      <c r="N80" s="302"/>
      <c r="O80" s="302"/>
      <c r="T80" s="359"/>
      <c r="U80" s="284"/>
      <c r="V80" s="284"/>
      <c r="W80" s="284"/>
      <c r="X80" s="284"/>
      <c r="Y80" s="278"/>
    </row>
    <row r="81" spans="1:25" ht="15.75">
      <c r="A81" s="292" t="s">
        <v>562</v>
      </c>
      <c r="B81" s="308"/>
      <c r="C81" s="308"/>
      <c r="D81" s="308"/>
      <c r="E81" s="308"/>
      <c r="F81" s="308"/>
      <c r="G81" s="328"/>
      <c r="H81" s="328"/>
      <c r="I81" s="302"/>
      <c r="J81" s="302"/>
      <c r="K81" s="302"/>
      <c r="L81" s="302"/>
      <c r="M81" s="302"/>
      <c r="N81" s="302"/>
      <c r="O81" s="302"/>
      <c r="T81" s="359"/>
      <c r="U81" s="284"/>
      <c r="V81" s="284"/>
      <c r="W81" s="284"/>
      <c r="X81" s="284"/>
      <c r="Y81" s="278"/>
    </row>
    <row r="82" spans="1:25" ht="16.5" thickBot="1">
      <c r="A82" s="292" t="s">
        <v>563</v>
      </c>
      <c r="B82" s="308"/>
      <c r="C82" s="308"/>
      <c r="D82" s="308"/>
      <c r="E82" s="308"/>
      <c r="F82" s="308"/>
      <c r="G82" s="328"/>
      <c r="H82" s="328"/>
      <c r="I82" s="302"/>
      <c r="J82" s="302"/>
      <c r="K82" s="302"/>
      <c r="L82" s="302"/>
      <c r="M82" s="302"/>
      <c r="N82" s="302"/>
      <c r="O82" s="302"/>
      <c r="T82" s="359"/>
      <c r="U82" s="284"/>
      <c r="V82" s="284"/>
      <c r="W82" s="284"/>
      <c r="X82" s="284"/>
      <c r="Y82" s="278"/>
    </row>
    <row r="83" spans="1:25" ht="36" customHeight="1" thickBot="1">
      <c r="A83" s="286" t="s">
        <v>482</v>
      </c>
      <c r="B83" s="341">
        <f>+((B70-B69)/365+((B72-B71)/365)+((B74-B73)/365)+((B76-B75)/365)+((B78-B77)/365)+((B80-B79)/365)+((B82-B81)/365))</f>
        <v>2.032876712328767</v>
      </c>
      <c r="C83" s="341">
        <f t="shared" ref="C83:F83" si="6">+((C70-C69)/365+((C72-C71)/365)+((C74-C73)/365)+((C76-C75)/365)+((C78-C77)/365)+((C80-C79)/365)+((C82-C81)/365))</f>
        <v>0</v>
      </c>
      <c r="D83" s="341">
        <f t="shared" si="6"/>
        <v>0</v>
      </c>
      <c r="E83" s="341">
        <f t="shared" si="6"/>
        <v>0</v>
      </c>
      <c r="F83" s="341">
        <f t="shared" si="6"/>
        <v>0</v>
      </c>
      <c r="G83" s="328"/>
      <c r="H83" s="328"/>
      <c r="I83" s="342">
        <f>+((I70-I69)/365+((I72-I71)/365)+((I74-I73)/365)+((I76-I75)/365)+((I78-I77)/365)+((I80-I79)/365)+((I82-I81)/365))</f>
        <v>1.9972602739726026</v>
      </c>
      <c r="J83" s="342">
        <f t="shared" ref="J83:O83" si="7">+((J70-J69)/365+((J72-J71)/365)+((J74-J73)/365)+((J76-J75)/365)+((J78-J77)/365)+((J80-J79)/365)+((J82-J81)/365))</f>
        <v>0</v>
      </c>
      <c r="K83" s="342">
        <f t="shared" si="7"/>
        <v>0</v>
      </c>
      <c r="L83" s="342">
        <f t="shared" si="7"/>
        <v>0</v>
      </c>
      <c r="M83" s="342">
        <f t="shared" si="7"/>
        <v>0</v>
      </c>
      <c r="N83" s="342">
        <f t="shared" si="7"/>
        <v>0</v>
      </c>
      <c r="O83" s="342">
        <f t="shared" si="7"/>
        <v>0</v>
      </c>
      <c r="T83" s="359"/>
      <c r="U83" s="358"/>
      <c r="V83" s="358"/>
      <c r="W83" s="358"/>
      <c r="X83" s="358"/>
      <c r="Y83" s="278"/>
    </row>
    <row r="84" spans="1:25" ht="67.5" customHeight="1" thickBot="1">
      <c r="A84" s="368" t="s">
        <v>484</v>
      </c>
      <c r="B84" s="343"/>
      <c r="C84" s="360"/>
      <c r="D84" s="360"/>
      <c r="E84" s="360"/>
      <c r="F84" s="360"/>
      <c r="G84" s="328"/>
      <c r="H84" s="328"/>
      <c r="I84" s="369"/>
      <c r="J84" s="369"/>
      <c r="K84" s="369"/>
      <c r="L84" s="369"/>
      <c r="M84" s="369"/>
      <c r="N84" s="369"/>
      <c r="O84" s="369"/>
      <c r="T84" s="359"/>
      <c r="U84" s="361"/>
      <c r="V84" s="361"/>
      <c r="W84" s="358"/>
      <c r="X84" s="358"/>
      <c r="Y84" s="278"/>
    </row>
    <row r="85" spans="1:25" ht="15.75">
      <c r="G85" s="328"/>
      <c r="H85" s="328"/>
      <c r="I85" s="328"/>
      <c r="J85" s="328"/>
      <c r="K85" s="328"/>
      <c r="S85" s="278"/>
      <c r="T85" s="278"/>
      <c r="U85" s="278"/>
      <c r="V85" s="278"/>
      <c r="W85" s="278"/>
      <c r="X85" s="278"/>
      <c r="Y85" s="278"/>
    </row>
    <row r="86" spans="1:25" ht="15.75">
      <c r="A86" s="328"/>
      <c r="B86" s="328"/>
      <c r="C86" s="328"/>
      <c r="D86" s="328"/>
      <c r="E86" s="328"/>
      <c r="F86" s="328"/>
      <c r="G86" s="328"/>
      <c r="H86" s="328"/>
      <c r="I86" s="328"/>
      <c r="J86" s="328"/>
      <c r="K86" s="328"/>
      <c r="L86" s="328"/>
      <c r="M86" s="328"/>
      <c r="N86" s="328"/>
      <c r="O86" s="272"/>
      <c r="P86" s="272"/>
      <c r="Q86" s="272"/>
      <c r="R86" s="272"/>
      <c r="S86" s="272"/>
      <c r="T86" s="272"/>
    </row>
  </sheetData>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53" priority="43" operator="containsText" text="NO CUMPLE">
      <formula>NOT(ISERROR(SEARCH("NO CUMPLE",I13)))</formula>
    </cfRule>
    <cfRule type="containsText" dxfId="52" priority="44" operator="containsText" text="CUMPLE">
      <formula>NOT(ISERROR(SEARCH("CUMPLE",I13)))</formula>
    </cfRule>
  </conditionalFormatting>
  <conditionalFormatting sqref="I63">
    <cfRule type="containsText" dxfId="51" priority="41" operator="containsText" text="NO CUMPLE">
      <formula>NOT(ISERROR(SEARCH("NO CUMPLE",I63)))</formula>
    </cfRule>
    <cfRule type="containsText" dxfId="50" priority="42" operator="containsText" text="CUMPLE">
      <formula>NOT(ISERROR(SEARCH("CUMPLE",I63)))</formula>
    </cfRule>
  </conditionalFormatting>
  <conditionalFormatting sqref="D9">
    <cfRule type="containsText" dxfId="49" priority="39" operator="containsText" text="NO HABILITADO">
      <formula>NOT(ISERROR(SEARCH("NO HABILITADO",D9)))</formula>
    </cfRule>
    <cfRule type="containsText" dxfId="48" priority="40" operator="containsText" text="HABILITADO">
      <formula>NOT(ISERROR(SEARCH("HABILITADO",D9)))</formula>
    </cfRule>
  </conditionalFormatting>
  <conditionalFormatting sqref="J9:K9 E9:G9">
    <cfRule type="containsText" dxfId="47" priority="37" operator="containsText" text="NO HABILITADO">
      <formula>NOT(ISERROR(SEARCH("NO HABILITADO",E9)))</formula>
    </cfRule>
    <cfRule type="containsText" dxfId="46" priority="38" operator="containsText" text="HABILITADO">
      <formula>NOT(ISERROR(SEARCH("HABILITADO",E9)))</formula>
    </cfRule>
  </conditionalFormatting>
  <conditionalFormatting sqref="I38">
    <cfRule type="containsText" dxfId="45" priority="35" operator="containsText" text="NO CUMPLE">
      <formula>NOT(ISERROR(SEARCH("NO CUMPLE",I38)))</formula>
    </cfRule>
    <cfRule type="containsText" dxfId="44" priority="36" operator="containsText" text="CUMPLE">
      <formula>NOT(ISERROR(SEARCH("CUMPLE",I38)))</formula>
    </cfRule>
  </conditionalFormatting>
  <conditionalFormatting sqref="I64:K64">
    <cfRule type="containsText" dxfId="43" priority="33" operator="containsText" text="NO CUMPLE">
      <formula>NOT(ISERROR(SEARCH("NO CUMPLE",I64)))</formula>
    </cfRule>
    <cfRule type="containsText" dxfId="42" priority="34" operator="containsText" text="CUMPLE">
      <formula>NOT(ISERROR(SEARCH("CUMPLE",I64)))</formula>
    </cfRule>
  </conditionalFormatting>
  <conditionalFormatting sqref="L64">
    <cfRule type="cellIs" dxfId="41" priority="31" operator="lessThanOrEqual">
      <formula>0</formula>
    </cfRule>
    <cfRule type="cellIs" dxfId="40" priority="32" operator="greaterThan">
      <formula>0</formula>
    </cfRule>
  </conditionalFormatting>
  <conditionalFormatting sqref="K13">
    <cfRule type="cellIs" dxfId="39" priority="29" operator="lessThanOrEqual">
      <formula>0</formula>
    </cfRule>
    <cfRule type="cellIs" dxfId="38" priority="30" operator="greaterThan">
      <formula>0</formula>
    </cfRule>
  </conditionalFormatting>
  <conditionalFormatting sqref="J38">
    <cfRule type="containsText" dxfId="37" priority="27" operator="containsText" text="NO CUMPLE">
      <formula>NOT(ISERROR(SEARCH("NO CUMPLE",J38)))</formula>
    </cfRule>
    <cfRule type="containsText" dxfId="36" priority="28" operator="containsText" text="CUMPLE">
      <formula>NOT(ISERROR(SEARCH("CUMPLE",J38)))</formula>
    </cfRule>
  </conditionalFormatting>
  <conditionalFormatting sqref="K38">
    <cfRule type="cellIs" dxfId="35" priority="25" operator="lessThanOrEqual">
      <formula>0</formula>
    </cfRule>
    <cfRule type="cellIs" dxfId="34" priority="26" operator="greaterThan">
      <formula>0</formula>
    </cfRule>
  </conditionalFormatting>
  <conditionalFormatting sqref="A12:H13">
    <cfRule type="cellIs" dxfId="33" priority="24" operator="equal">
      <formula>0</formula>
    </cfRule>
  </conditionalFormatting>
  <conditionalFormatting sqref="B16:B20">
    <cfRule type="cellIs" dxfId="32" priority="23" operator="equal">
      <formula>0</formula>
    </cfRule>
  </conditionalFormatting>
  <conditionalFormatting sqref="G16:G20">
    <cfRule type="cellIs" dxfId="31" priority="22" operator="equal">
      <formula>0</formula>
    </cfRule>
  </conditionalFormatting>
  <conditionalFormatting sqref="L18:L20">
    <cfRule type="cellIs" dxfId="30" priority="21" operator="equal">
      <formula>0</formula>
    </cfRule>
  </conditionalFormatting>
  <conditionalFormatting sqref="B41:B45">
    <cfRule type="cellIs" dxfId="29" priority="20" operator="equal">
      <formula>0</formula>
    </cfRule>
  </conditionalFormatting>
  <conditionalFormatting sqref="L43:L45">
    <cfRule type="cellIs" dxfId="28" priority="19" operator="equal">
      <formula>0</formula>
    </cfRule>
  </conditionalFormatting>
  <conditionalFormatting sqref="B66:B70">
    <cfRule type="cellIs" dxfId="27" priority="18" operator="equal">
      <formula>0</formula>
    </cfRule>
  </conditionalFormatting>
  <conditionalFormatting sqref="A62:H63">
    <cfRule type="cellIs" dxfId="26" priority="15" operator="equal">
      <formula>0</formula>
    </cfRule>
  </conditionalFormatting>
  <conditionalFormatting sqref="I66:I70">
    <cfRule type="cellIs" dxfId="25" priority="17" operator="equal">
      <formula>0</formula>
    </cfRule>
  </conditionalFormatting>
  <conditionalFormatting sqref="A37:H38">
    <cfRule type="cellIs" dxfId="24" priority="16" operator="equal">
      <formula>0</formula>
    </cfRule>
  </conditionalFormatting>
  <conditionalFormatting sqref="H9">
    <cfRule type="cellIs" dxfId="23" priority="14" operator="greaterThan">
      <formula>0</formula>
    </cfRule>
  </conditionalFormatting>
  <conditionalFormatting sqref="I9">
    <cfRule type="containsText" dxfId="22" priority="12" operator="containsText" text="NO HABILITADO">
      <formula>NOT(ISERROR(SEARCH("NO HABILITADO",I9)))</formula>
    </cfRule>
    <cfRule type="containsText" dxfId="21" priority="13" operator="containsText" text="HABILITADO">
      <formula>NOT(ISERROR(SEARCH("HABILITADO",I9)))</formula>
    </cfRule>
  </conditionalFormatting>
  <conditionalFormatting sqref="J63">
    <cfRule type="cellIs" dxfId="20" priority="10" operator="lessThanOrEqual">
      <formula>0</formula>
    </cfRule>
    <cfRule type="cellIs" dxfId="19" priority="11" operator="greaterThan">
      <formula>0</formula>
    </cfRule>
  </conditionalFormatting>
  <conditionalFormatting sqref="B34">
    <cfRule type="cellIs" dxfId="18" priority="9" operator="equal">
      <formula>0</formula>
    </cfRule>
  </conditionalFormatting>
  <conditionalFormatting sqref="L34">
    <cfRule type="cellIs" dxfId="17" priority="8" operator="equal">
      <formula>0</formula>
    </cfRule>
  </conditionalFormatting>
  <conditionalFormatting sqref="B59">
    <cfRule type="cellIs" dxfId="16" priority="7" operator="equal">
      <formula>0</formula>
    </cfRule>
  </conditionalFormatting>
  <conditionalFormatting sqref="L16:L17">
    <cfRule type="cellIs" dxfId="15" priority="6" operator="equal">
      <formula>0</formula>
    </cfRule>
  </conditionalFormatting>
  <conditionalFormatting sqref="L41:L42">
    <cfRule type="cellIs" dxfId="14" priority="5" operator="equal">
      <formula>0</formula>
    </cfRule>
  </conditionalFormatting>
  <conditionalFormatting sqref="H41:H45">
    <cfRule type="cellIs" dxfId="13" priority="4" operator="equal">
      <formula>0</formula>
    </cfRule>
  </conditionalFormatting>
  <conditionalFormatting sqref="H59">
    <cfRule type="cellIs" dxfId="12" priority="3" operator="equal">
      <formula>0</formula>
    </cfRule>
  </conditionalFormatting>
  <conditionalFormatting sqref="B84">
    <cfRule type="cellIs" dxfId="11" priority="2" operator="equal">
      <formula>0</formula>
    </cfRule>
  </conditionalFormatting>
  <conditionalFormatting sqref="G34">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[3]X!#REF!</xm:f>
          </x14:formula1>
          <xm:sqref>F12:F13</xm:sqref>
        </x14:dataValidation>
        <x14:dataValidation type="list" allowBlank="1" showInputMessage="1" showErrorMessage="1">
          <x14:formula1>
            <xm:f>[4]X!#REF!</xm:f>
          </x14:formula1>
          <xm:sqref>F37:F38 F62:F63</xm:sqref>
        </x14:dataValidation>
      </x14:dataValidations>
    </ext>
  </extLst>
</worksheet>
</file>

<file path=xl/worksheets/sheet10.xml><?xml version="1.0" encoding="utf-8"?>
<worksheet xmlns="http://schemas.openxmlformats.org/spreadsheetml/2006/main" xmlns:r="http://schemas.openxmlformats.org/officeDocument/2006/relationships">
  <sheetPr codeName="Hoja10"/>
  <dimension ref="A1:CD23"/>
  <sheetViews>
    <sheetView view="pageBreakPreview" topLeftCell="A4" zoomScaleNormal="100" zoomScaleSheetLayoutView="100" workbookViewId="0">
      <selection activeCell="H32" sqref="H32"/>
    </sheetView>
  </sheetViews>
  <sheetFormatPr baseColWidth="10" defaultColWidth="11.42578125" defaultRowHeight="15"/>
  <cols>
    <col min="1" max="1" width="3.5703125" style="182" bestFit="1" customWidth="1"/>
    <col min="2" max="2" width="21.85546875" style="182" customWidth="1"/>
    <col min="3" max="3" width="12.28515625" style="179" customWidth="1"/>
    <col min="4" max="4" width="46.42578125" style="179" customWidth="1"/>
    <col min="5" max="5" width="8.140625" style="182" customWidth="1"/>
    <col min="6" max="6" width="17.42578125" style="179" customWidth="1"/>
    <col min="7" max="7" width="25.7109375" style="182" customWidth="1"/>
    <col min="8" max="8" width="10.7109375" style="182" customWidth="1"/>
    <col min="9" max="9" width="15.140625" style="182" customWidth="1"/>
    <col min="10" max="10" width="8.5703125" style="182" customWidth="1"/>
    <col min="11" max="16384" width="11.42578125" style="182"/>
  </cols>
  <sheetData>
    <row r="1" spans="1:82" s="153" customFormat="1" ht="19.5">
      <c r="C1" s="686" t="s">
        <v>543</v>
      </c>
      <c r="D1" s="686"/>
      <c r="E1" s="686"/>
      <c r="F1" s="686"/>
      <c r="G1" s="686"/>
      <c r="H1" s="686"/>
      <c r="I1" s="686"/>
      <c r="J1" s="686"/>
      <c r="K1" s="174"/>
      <c r="L1" s="174"/>
      <c r="M1" s="174"/>
      <c r="N1" s="174"/>
      <c r="O1" s="174"/>
      <c r="P1" s="174"/>
      <c r="Q1" s="174"/>
      <c r="R1" s="154"/>
      <c r="S1" s="154"/>
      <c r="T1" s="154"/>
    </row>
    <row r="2" spans="1:82" s="153" customFormat="1" ht="19.5">
      <c r="C2" s="686" t="s">
        <v>518</v>
      </c>
      <c r="D2" s="686"/>
      <c r="E2" s="686"/>
      <c r="F2" s="686"/>
      <c r="G2" s="686"/>
      <c r="H2" s="686"/>
      <c r="I2" s="686"/>
      <c r="J2" s="686"/>
      <c r="K2" s="174"/>
      <c r="L2" s="174"/>
      <c r="M2" s="174"/>
      <c r="N2" s="174"/>
      <c r="O2" s="174"/>
      <c r="P2" s="174"/>
      <c r="Q2" s="174"/>
      <c r="R2" s="154"/>
      <c r="S2" s="154"/>
      <c r="T2" s="154"/>
    </row>
    <row r="3" spans="1:82" s="153" customFormat="1" ht="19.5">
      <c r="C3" s="686" t="s">
        <v>544</v>
      </c>
      <c r="D3" s="686"/>
      <c r="E3" s="686"/>
      <c r="F3" s="686"/>
      <c r="G3" s="686"/>
      <c r="H3" s="686"/>
      <c r="I3" s="686"/>
      <c r="J3" s="686"/>
      <c r="K3" s="174"/>
      <c r="L3" s="174"/>
      <c r="M3" s="174"/>
      <c r="N3" s="174"/>
      <c r="O3" s="174"/>
      <c r="P3" s="174"/>
      <c r="Q3" s="174"/>
      <c r="R3" s="154"/>
      <c r="S3" s="154"/>
      <c r="T3" s="154"/>
    </row>
    <row r="4" spans="1:82" s="153" customFormat="1" ht="19.5">
      <c r="C4" s="686" t="s">
        <v>607</v>
      </c>
      <c r="D4" s="686"/>
      <c r="E4" s="686"/>
      <c r="F4" s="686"/>
      <c r="G4" s="686"/>
      <c r="H4" s="686"/>
      <c r="I4" s="686"/>
      <c r="J4" s="686"/>
      <c r="K4" s="174"/>
      <c r="L4" s="174"/>
      <c r="M4" s="174"/>
      <c r="N4" s="174"/>
      <c r="O4" s="174"/>
      <c r="P4" s="174"/>
      <c r="Q4" s="174"/>
      <c r="R4" s="154"/>
      <c r="S4" s="154"/>
      <c r="T4" s="154"/>
    </row>
    <row r="5" spans="1:82" s="153" customFormat="1" ht="19.5">
      <c r="C5" s="686" t="s">
        <v>568</v>
      </c>
      <c r="D5" s="686"/>
      <c r="E5" s="686"/>
      <c r="F5" s="686"/>
      <c r="G5" s="686"/>
      <c r="H5" s="686"/>
      <c r="I5" s="686"/>
      <c r="J5" s="686"/>
      <c r="K5" s="174"/>
      <c r="L5" s="174"/>
      <c r="M5" s="174"/>
      <c r="N5" s="174"/>
      <c r="O5" s="174"/>
      <c r="P5" s="174"/>
      <c r="Q5" s="174"/>
      <c r="R5" s="154"/>
      <c r="S5" s="154"/>
      <c r="T5" s="154"/>
    </row>
    <row r="6" spans="1:82" s="177" customFormat="1" ht="12.75">
      <c r="C6" s="159"/>
      <c r="D6" s="159"/>
      <c r="E6" s="158"/>
      <c r="F6" s="159"/>
      <c r="G6" s="158"/>
      <c r="H6" s="158"/>
      <c r="I6" s="158"/>
      <c r="J6" s="158"/>
      <c r="K6" s="158"/>
      <c r="L6" s="158"/>
      <c r="M6" s="158"/>
      <c r="N6" s="158"/>
      <c r="O6" s="158"/>
      <c r="P6" s="158"/>
      <c r="Q6" s="158"/>
      <c r="R6" s="159"/>
      <c r="S6" s="159"/>
      <c r="T6" s="159"/>
    </row>
    <row r="7" spans="1:82" s="179" customFormat="1" ht="15.75" thickBot="1">
      <c r="A7" s="178"/>
      <c r="B7" s="178"/>
      <c r="C7" s="178"/>
      <c r="D7" s="178"/>
      <c r="E7" s="178"/>
      <c r="F7" s="178"/>
      <c r="G7" s="178"/>
      <c r="H7" s="178"/>
      <c r="I7" s="178"/>
      <c r="J7" s="178"/>
      <c r="K7" s="178"/>
      <c r="L7" s="178"/>
      <c r="M7" s="178"/>
      <c r="N7" s="178"/>
    </row>
    <row r="8" spans="1:82" s="150" customFormat="1" ht="17.25">
      <c r="A8" s="694" t="s">
        <v>519</v>
      </c>
      <c r="B8" s="695"/>
      <c r="C8" s="695"/>
      <c r="D8" s="696"/>
      <c r="E8" s="703" t="s">
        <v>579</v>
      </c>
      <c r="F8" s="704"/>
      <c r="G8" s="173"/>
      <c r="H8" s="173"/>
      <c r="I8" s="146"/>
      <c r="J8" s="146"/>
      <c r="K8" s="146"/>
      <c r="L8" s="709"/>
      <c r="M8" s="709"/>
      <c r="N8" s="709"/>
      <c r="O8" s="709"/>
      <c r="P8" s="709"/>
      <c r="Q8" s="709"/>
      <c r="R8" s="173"/>
      <c r="S8" s="173"/>
      <c r="T8" s="173"/>
      <c r="U8" s="173"/>
      <c r="V8" s="173"/>
      <c r="W8" s="173"/>
      <c r="X8" s="173"/>
      <c r="Y8" s="173"/>
      <c r="Z8" s="173"/>
      <c r="AA8" s="173"/>
      <c r="AB8" s="173"/>
      <c r="AC8" s="173"/>
      <c r="AD8" s="173"/>
      <c r="AE8" s="173"/>
      <c r="AF8" s="173"/>
      <c r="AG8" s="141"/>
      <c r="AH8" s="141"/>
      <c r="AI8" s="141"/>
      <c r="AJ8" s="141"/>
      <c r="AK8" s="141"/>
      <c r="AL8" s="141"/>
      <c r="AM8" s="141"/>
      <c r="AN8" s="141"/>
      <c r="AO8" s="141"/>
      <c r="AP8" s="141"/>
      <c r="AQ8" s="141"/>
      <c r="AR8" s="141"/>
      <c r="AS8" s="141"/>
      <c r="AT8" s="141"/>
      <c r="AU8" s="141"/>
      <c r="AV8" s="141"/>
      <c r="AW8" s="141"/>
      <c r="AX8" s="141"/>
      <c r="AY8" s="141"/>
      <c r="AZ8" s="141"/>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row>
    <row r="9" spans="1:82" s="151" customFormat="1">
      <c r="A9" s="697" t="s">
        <v>614</v>
      </c>
      <c r="B9" s="698"/>
      <c r="C9" s="698"/>
      <c r="D9" s="699"/>
      <c r="E9" s="705"/>
      <c r="F9" s="706"/>
      <c r="G9" s="144"/>
      <c r="H9" s="145"/>
      <c r="I9" s="144"/>
      <c r="J9" s="144"/>
      <c r="K9" s="145"/>
      <c r="L9" s="144"/>
      <c r="M9" s="144"/>
      <c r="N9" s="145"/>
      <c r="O9" s="144"/>
      <c r="P9" s="144"/>
      <c r="Q9" s="145"/>
      <c r="R9" s="144"/>
      <c r="S9" s="144"/>
      <c r="T9" s="145"/>
      <c r="U9" s="144"/>
      <c r="V9" s="144"/>
      <c r="W9" s="145"/>
      <c r="X9" s="144"/>
      <c r="Y9" s="144"/>
      <c r="Z9" s="145"/>
      <c r="AA9" s="144"/>
      <c r="AB9" s="144"/>
      <c r="AC9" s="145"/>
      <c r="AD9" s="144"/>
      <c r="AE9" s="144"/>
      <c r="AF9" s="145"/>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row>
    <row r="10" spans="1:82" s="181" customFormat="1" ht="33" customHeight="1" thickBot="1">
      <c r="A10" s="700"/>
      <c r="B10" s="701"/>
      <c r="C10" s="701"/>
      <c r="D10" s="702"/>
      <c r="E10" s="707" t="e">
        <f>IF(A9=X!I2,X!H2,IF(A9=X!I3,X!H3,IF(A9=X!I4,X!H4,IF(A9=X!I5,X!H5,IF(A9=X!I6,X!H6,O)))))</f>
        <v>#NAME?</v>
      </c>
      <c r="F10" s="708"/>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80"/>
      <c r="BC10" s="180"/>
      <c r="BD10" s="180"/>
      <c r="BE10" s="180"/>
      <c r="BF10" s="180"/>
      <c r="BG10" s="180"/>
      <c r="BH10" s="180"/>
      <c r="BI10" s="180"/>
      <c r="BJ10" s="180"/>
      <c r="BK10" s="180"/>
      <c r="BL10" s="180"/>
      <c r="BM10" s="180"/>
      <c r="BN10" s="180"/>
      <c r="BO10" s="180"/>
      <c r="BP10" s="180"/>
      <c r="BQ10" s="180"/>
      <c r="BR10" s="180"/>
      <c r="BS10" s="180"/>
      <c r="BT10" s="180"/>
      <c r="BU10" s="180"/>
      <c r="BV10" s="180"/>
      <c r="BW10" s="180"/>
      <c r="BX10" s="180"/>
      <c r="BY10" s="180"/>
      <c r="BZ10" s="180"/>
      <c r="CA10" s="180"/>
      <c r="CB10" s="180"/>
      <c r="CC10" s="180"/>
      <c r="CD10" s="180"/>
    </row>
    <row r="12" spans="1:82" ht="32.25" customHeight="1">
      <c r="A12" s="693" t="s">
        <v>567</v>
      </c>
      <c r="B12" s="693" t="s">
        <v>513</v>
      </c>
      <c r="C12" s="693" t="s">
        <v>512</v>
      </c>
      <c r="D12" s="693" t="s">
        <v>514</v>
      </c>
      <c r="E12" s="693" t="s">
        <v>516</v>
      </c>
      <c r="F12" s="693" t="s">
        <v>564</v>
      </c>
      <c r="G12" s="693"/>
      <c r="H12" s="693" t="s">
        <v>515</v>
      </c>
      <c r="I12" s="693" t="s">
        <v>517</v>
      </c>
      <c r="J12" s="693" t="s">
        <v>104</v>
      </c>
    </row>
    <row r="13" spans="1:82" ht="17.25" customHeight="1">
      <c r="A13" s="693"/>
      <c r="B13" s="693"/>
      <c r="C13" s="693"/>
      <c r="D13" s="693"/>
      <c r="E13" s="693"/>
      <c r="F13" s="167" t="s">
        <v>565</v>
      </c>
      <c r="G13" s="155" t="s">
        <v>566</v>
      </c>
      <c r="H13" s="693"/>
      <c r="I13" s="693"/>
      <c r="J13" s="693"/>
    </row>
    <row r="14" spans="1:82" ht="105" customHeight="1">
      <c r="A14" s="183">
        <v>1</v>
      </c>
      <c r="B14" s="175" t="s">
        <v>234</v>
      </c>
      <c r="C14" s="175" t="s">
        <v>620</v>
      </c>
      <c r="D14" s="176" t="s">
        <v>615</v>
      </c>
      <c r="E14" s="183" t="s">
        <v>621</v>
      </c>
      <c r="F14" s="175">
        <v>13</v>
      </c>
      <c r="G14" s="176" t="s">
        <v>618</v>
      </c>
      <c r="H14" s="184">
        <v>41390</v>
      </c>
      <c r="I14" s="184">
        <v>41729</v>
      </c>
      <c r="J14" s="166" t="s">
        <v>539</v>
      </c>
    </row>
    <row r="15" spans="1:82" ht="105" customHeight="1">
      <c r="A15" s="183">
        <v>2</v>
      </c>
      <c r="B15" s="175" t="s">
        <v>234</v>
      </c>
      <c r="C15" s="175" t="s">
        <v>617</v>
      </c>
      <c r="D15" s="176" t="s">
        <v>624</v>
      </c>
      <c r="E15" s="183" t="s">
        <v>622</v>
      </c>
      <c r="F15" s="175">
        <v>8</v>
      </c>
      <c r="G15" s="175" t="s">
        <v>619</v>
      </c>
      <c r="H15" s="184">
        <v>41393</v>
      </c>
      <c r="I15" s="184">
        <v>41729</v>
      </c>
      <c r="J15" s="166" t="s">
        <v>539</v>
      </c>
    </row>
    <row r="16" spans="1:82" ht="105" customHeight="1">
      <c r="A16" s="183">
        <v>3</v>
      </c>
      <c r="B16" s="175" t="s">
        <v>616</v>
      </c>
      <c r="C16" s="175" t="s">
        <v>623</v>
      </c>
      <c r="D16" s="176" t="s">
        <v>625</v>
      </c>
      <c r="E16" s="183" t="s">
        <v>626</v>
      </c>
      <c r="F16" s="175">
        <v>12</v>
      </c>
      <c r="G16" s="185" t="s">
        <v>627</v>
      </c>
      <c r="H16" s="184">
        <v>41200</v>
      </c>
      <c r="I16" s="184">
        <v>41257</v>
      </c>
      <c r="J16" s="166" t="s">
        <v>539</v>
      </c>
    </row>
    <row r="17" spans="1:10" ht="29.25" customHeight="1">
      <c r="A17" s="685" t="s">
        <v>628</v>
      </c>
      <c r="B17" s="685"/>
      <c r="C17" s="685"/>
      <c r="D17" s="685"/>
      <c r="E17" s="685"/>
      <c r="F17" s="685"/>
      <c r="G17" s="685"/>
      <c r="H17" s="685"/>
      <c r="I17" s="685"/>
      <c r="J17" s="685"/>
    </row>
    <row r="18" spans="1:10" ht="15.75" thickBot="1"/>
    <row r="19" spans="1:10" ht="18.75" customHeight="1" thickBot="1">
      <c r="A19" s="679" t="s">
        <v>573</v>
      </c>
      <c r="B19" s="680"/>
      <c r="C19" s="680"/>
      <c r="D19" s="681"/>
    </row>
    <row r="20" spans="1:10" ht="15.75" hidden="1">
      <c r="A20" s="687"/>
      <c r="B20" s="688"/>
      <c r="C20" s="688"/>
      <c r="D20" s="160"/>
    </row>
    <row r="21" spans="1:10" ht="15.75" hidden="1">
      <c r="A21" s="689"/>
      <c r="B21" s="690"/>
      <c r="C21" s="690"/>
      <c r="D21" s="160"/>
    </row>
    <row r="22" spans="1:10" ht="16.5" hidden="1" thickBot="1">
      <c r="A22" s="691"/>
      <c r="B22" s="692"/>
      <c r="C22" s="692"/>
      <c r="D22" s="160"/>
    </row>
    <row r="23" spans="1:10" ht="18.75" customHeight="1" thickBot="1">
      <c r="A23" s="682" t="s">
        <v>569</v>
      </c>
      <c r="B23" s="683"/>
      <c r="C23" s="684"/>
      <c r="D23" s="161"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Lst>
</worksheet>
</file>

<file path=xl/worksheets/sheet11.xml><?xml version="1.0" encoding="utf-8"?>
<worksheet xmlns="http://schemas.openxmlformats.org/spreadsheetml/2006/main" xmlns:r="http://schemas.openxmlformats.org/officeDocument/2006/relationships">
  <sheetPr codeName="Hoja11"/>
  <dimension ref="B1:I21"/>
  <sheetViews>
    <sheetView view="pageBreakPreview" topLeftCell="A7" zoomScaleNormal="100" zoomScaleSheetLayoutView="100" workbookViewId="0">
      <selection activeCell="G21" sqref="G21"/>
    </sheetView>
  </sheetViews>
  <sheetFormatPr baseColWidth="10" defaultRowHeight="15"/>
  <cols>
    <col min="1" max="1" width="1.85546875" style="133" customWidth="1"/>
    <col min="2" max="2" width="29.85546875" style="133" customWidth="1"/>
    <col min="3" max="3" width="23.7109375" style="133" customWidth="1"/>
    <col min="4" max="4" width="25.7109375" style="133" bestFit="1" customWidth="1"/>
    <col min="5" max="5" width="22.7109375" style="133" customWidth="1"/>
    <col min="6" max="6" width="16.5703125" style="133" customWidth="1"/>
    <col min="7" max="7" width="7.5703125" style="133" customWidth="1"/>
    <col min="8" max="8" width="5" style="133" customWidth="1"/>
    <col min="9" max="16384" width="11.42578125" style="133"/>
  </cols>
  <sheetData>
    <row r="1" spans="2:9" ht="12" customHeight="1">
      <c r="C1" s="711" t="s">
        <v>543</v>
      </c>
      <c r="D1" s="711"/>
      <c r="E1" s="711"/>
      <c r="F1" s="711"/>
      <c r="G1" s="711"/>
      <c r="H1" s="152"/>
      <c r="I1" s="152"/>
    </row>
    <row r="2" spans="2:9" ht="12" customHeight="1">
      <c r="C2" s="711" t="s">
        <v>518</v>
      </c>
      <c r="D2" s="711"/>
      <c r="E2" s="711"/>
      <c r="F2" s="711"/>
      <c r="G2" s="711"/>
      <c r="H2" s="152"/>
      <c r="I2" s="152"/>
    </row>
    <row r="3" spans="2:9" ht="12" customHeight="1">
      <c r="C3" s="711" t="s">
        <v>544</v>
      </c>
      <c r="D3" s="711"/>
      <c r="E3" s="711"/>
      <c r="F3" s="711"/>
      <c r="G3" s="711"/>
      <c r="H3" s="152"/>
      <c r="I3" s="152"/>
    </row>
    <row r="4" spans="2:9" ht="12" customHeight="1">
      <c r="C4" s="711" t="s">
        <v>639</v>
      </c>
      <c r="D4" s="711"/>
      <c r="E4" s="711"/>
      <c r="F4" s="711"/>
      <c r="G4" s="711"/>
      <c r="H4" s="152"/>
      <c r="I4" s="152"/>
    </row>
    <row r="5" spans="2:9" ht="12" customHeight="1">
      <c r="C5" s="711" t="s">
        <v>606</v>
      </c>
      <c r="D5" s="711"/>
      <c r="E5" s="711"/>
      <c r="F5" s="711"/>
      <c r="G5" s="711"/>
      <c r="H5" s="152"/>
      <c r="I5" s="152"/>
    </row>
    <row r="7" spans="2:9" ht="15.75" thickBot="1">
      <c r="B7" s="226"/>
      <c r="C7" s="226"/>
    </row>
    <row r="8" spans="2:9" ht="15.75" customHeight="1">
      <c r="B8" s="716" t="s">
        <v>519</v>
      </c>
      <c r="C8" s="717"/>
      <c r="D8" s="714" t="s">
        <v>579</v>
      </c>
      <c r="G8" s="127"/>
    </row>
    <row r="9" spans="2:9" ht="15" customHeight="1">
      <c r="B9" s="718" t="str">
        <f>+'EXPERIENCIA PROPONENTE'!$A$9</f>
        <v>CONSORCIO AUDITORIA TRAESCOL</v>
      </c>
      <c r="C9" s="719"/>
      <c r="D9" s="715"/>
      <c r="G9" s="127"/>
    </row>
    <row r="10" spans="2:9" ht="19.5" thickBot="1">
      <c r="B10" s="720"/>
      <c r="C10" s="721"/>
      <c r="D10" s="211">
        <f>+'EXPERIENCIA PROPONENTE'!$B$9</f>
        <v>3</v>
      </c>
      <c r="G10" s="127"/>
    </row>
    <row r="12" spans="2:9" ht="15.75" thickBot="1"/>
    <row r="13" spans="2:9" ht="60.75" customHeight="1" thickBot="1">
      <c r="B13" s="223" t="s">
        <v>608</v>
      </c>
      <c r="C13" s="223" t="s">
        <v>609</v>
      </c>
      <c r="D13" s="223" t="s">
        <v>104</v>
      </c>
      <c r="E13" s="223" t="s">
        <v>611</v>
      </c>
      <c r="F13" s="722" t="s">
        <v>572</v>
      </c>
      <c r="G13" s="722"/>
    </row>
    <row r="14" spans="2:9" ht="15.75" thickBot="1">
      <c r="B14" s="212">
        <v>8</v>
      </c>
      <c r="C14" s="212">
        <v>1</v>
      </c>
      <c r="D14" s="213" t="s">
        <v>539</v>
      </c>
      <c r="E14" s="214" t="s">
        <v>539</v>
      </c>
      <c r="F14" s="710" t="s">
        <v>719</v>
      </c>
      <c r="G14" s="710"/>
    </row>
    <row r="15" spans="2:9">
      <c r="B15" s="133" t="s">
        <v>610</v>
      </c>
    </row>
    <row r="16" spans="2:9" ht="15.75" thickBot="1"/>
    <row r="17" spans="2:5" ht="19.5" thickBot="1">
      <c r="B17" s="679" t="s">
        <v>612</v>
      </c>
      <c r="C17" s="680"/>
      <c r="D17" s="680"/>
      <c r="E17" s="681"/>
    </row>
    <row r="18" spans="2:5" ht="16.5" thickBot="1">
      <c r="B18" s="712" t="s">
        <v>606</v>
      </c>
      <c r="C18" s="713"/>
      <c r="D18" s="713"/>
      <c r="E18" s="160">
        <f>IF(COUNTIF(D14:E14,"SI")=2,1,0)</f>
        <v>1</v>
      </c>
    </row>
    <row r="19" spans="2:5" ht="19.5" thickBot="1">
      <c r="B19" s="682" t="s">
        <v>504</v>
      </c>
      <c r="C19" s="683"/>
      <c r="D19" s="684"/>
      <c r="E19" s="161">
        <f>+E18</f>
        <v>1</v>
      </c>
    </row>
    <row r="21" spans="2:5">
      <c r="B21" s="364"/>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Lst>
</worksheet>
</file>

<file path=xl/worksheets/sheet12.xml><?xml version="1.0" encoding="utf-8"?>
<worksheet xmlns="http://schemas.openxmlformats.org/spreadsheetml/2006/main" xmlns:r="http://schemas.openxmlformats.org/officeDocument/2006/relationships">
  <sheetPr codeName="Hoja12"/>
  <dimension ref="A1:J18"/>
  <sheetViews>
    <sheetView view="pageBreakPreview" topLeftCell="A7" zoomScale="90" zoomScaleNormal="100" zoomScaleSheetLayoutView="90" workbookViewId="0">
      <selection activeCell="C5" sqref="C5:I5"/>
    </sheetView>
  </sheetViews>
  <sheetFormatPr baseColWidth="10" defaultRowHeight="15"/>
  <cols>
    <col min="1" max="8" width="11.42578125" style="133"/>
    <col min="9" max="9" width="13.28515625" style="133" customWidth="1"/>
    <col min="10" max="16384" width="11.42578125" style="133"/>
  </cols>
  <sheetData>
    <row r="1" spans="1:10" ht="19.5">
      <c r="C1" s="686" t="s">
        <v>543</v>
      </c>
      <c r="D1" s="686"/>
      <c r="E1" s="686"/>
      <c r="F1" s="686"/>
      <c r="G1" s="686"/>
      <c r="H1" s="686"/>
      <c r="I1" s="686"/>
      <c r="J1" s="152"/>
    </row>
    <row r="2" spans="1:10" ht="19.5">
      <c r="C2" s="686" t="s">
        <v>518</v>
      </c>
      <c r="D2" s="686"/>
      <c r="E2" s="686"/>
      <c r="F2" s="686"/>
      <c r="G2" s="686"/>
      <c r="H2" s="686"/>
      <c r="I2" s="686"/>
      <c r="J2" s="152"/>
    </row>
    <row r="3" spans="1:10" ht="19.5">
      <c r="C3" s="686" t="s">
        <v>544</v>
      </c>
      <c r="D3" s="686"/>
      <c r="E3" s="686"/>
      <c r="F3" s="686"/>
      <c r="G3" s="686"/>
      <c r="H3" s="686"/>
      <c r="I3" s="686"/>
      <c r="J3" s="152"/>
    </row>
    <row r="4" spans="1:10" ht="19.5">
      <c r="C4" s="686" t="s">
        <v>639</v>
      </c>
      <c r="D4" s="686"/>
      <c r="E4" s="686"/>
      <c r="F4" s="686"/>
      <c r="G4" s="686"/>
      <c r="H4" s="686"/>
      <c r="I4" s="686"/>
      <c r="J4" s="152"/>
    </row>
    <row r="5" spans="1:10" ht="19.5">
      <c r="C5" s="686" t="s">
        <v>570</v>
      </c>
      <c r="D5" s="686"/>
      <c r="E5" s="686"/>
      <c r="F5" s="686"/>
      <c r="G5" s="686"/>
      <c r="H5" s="686"/>
      <c r="I5" s="686"/>
      <c r="J5" s="152"/>
    </row>
    <row r="7" spans="1:10" ht="15.75" thickBot="1"/>
    <row r="8" spans="1:10" ht="15.75" customHeight="1">
      <c r="A8" s="716" t="s">
        <v>519</v>
      </c>
      <c r="B8" s="724"/>
      <c r="C8" s="724"/>
      <c r="D8" s="717"/>
      <c r="E8" s="725" t="s">
        <v>579</v>
      </c>
      <c r="F8" s="726"/>
    </row>
    <row r="9" spans="1:10" ht="15" customHeight="1" thickBot="1">
      <c r="A9" s="697" t="str">
        <f>+'EXPERIENCIA PROPONENTE'!$A$9</f>
        <v>CONSORCIO AUDITORIA TRAESCOL</v>
      </c>
      <c r="B9" s="698"/>
      <c r="C9" s="698"/>
      <c r="D9" s="699"/>
      <c r="E9" s="727"/>
      <c r="F9" s="728"/>
    </row>
    <row r="10" spans="1:10" ht="19.5" thickBot="1">
      <c r="A10" s="700"/>
      <c r="B10" s="701"/>
      <c r="C10" s="701"/>
      <c r="D10" s="702"/>
      <c r="E10" s="707">
        <f>+'EXPERIENCIA PROPONENTE'!$B$9</f>
        <v>3</v>
      </c>
      <c r="F10" s="708"/>
    </row>
    <row r="11" spans="1:10" ht="15.75" thickBot="1"/>
    <row r="12" spans="1:10" ht="15.75" customHeight="1" thickBot="1">
      <c r="B12" s="729" t="s">
        <v>578</v>
      </c>
      <c r="C12" s="729"/>
      <c r="D12" s="729"/>
      <c r="E12" s="729"/>
      <c r="F12" s="210" t="s">
        <v>104</v>
      </c>
    </row>
    <row r="13" spans="1:10" ht="75.75" customHeight="1" thickBot="1">
      <c r="B13" s="723" t="s">
        <v>575</v>
      </c>
      <c r="C13" s="723"/>
      <c r="D13" s="723"/>
      <c r="E13" s="723"/>
      <c r="F13" s="215" t="s">
        <v>539</v>
      </c>
    </row>
    <row r="14" spans="1:10" ht="98.25" customHeight="1" thickBot="1">
      <c r="B14" s="723" t="s">
        <v>576</v>
      </c>
      <c r="C14" s="723"/>
      <c r="D14" s="723"/>
      <c r="E14" s="723"/>
      <c r="F14" s="215" t="s">
        <v>540</v>
      </c>
    </row>
    <row r="16" spans="1:10" ht="15.75" thickBot="1"/>
    <row r="17" spans="2:5" ht="19.5" thickBot="1">
      <c r="B17" s="679" t="s">
        <v>577</v>
      </c>
      <c r="C17" s="680"/>
      <c r="D17" s="680"/>
      <c r="E17" s="681"/>
    </row>
    <row r="18" spans="2:5" ht="19.5" thickBot="1">
      <c r="B18" s="682" t="s">
        <v>504</v>
      </c>
      <c r="C18" s="683"/>
      <c r="D18" s="684"/>
      <c r="E18" s="161">
        <f>IF(AND(F13="SI",F14="SI"),10,IF(AND(F13="SI",F14="NO"),10,IF(AND(F13="NO",F14="SI"),5,0)))</f>
        <v>10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Lst>
</worksheet>
</file>

<file path=xl/worksheets/sheet13.xml><?xml version="1.0" encoding="utf-8"?>
<worksheet xmlns="http://schemas.openxmlformats.org/spreadsheetml/2006/main" xmlns:r="http://schemas.openxmlformats.org/officeDocument/2006/relationships">
  <sheetPr codeName="Hoja13">
    <pageSetUpPr fitToPage="1"/>
  </sheetPr>
  <dimension ref="B3:L24"/>
  <sheetViews>
    <sheetView tabSelected="1" view="pageBreakPreview" topLeftCell="A4" zoomScale="70" zoomScaleNormal="100" zoomScaleSheetLayoutView="70" workbookViewId="0">
      <selection activeCell="H23" sqref="H23"/>
    </sheetView>
  </sheetViews>
  <sheetFormatPr baseColWidth="10" defaultRowHeight="15"/>
  <cols>
    <col min="1" max="1" width="3.5703125" style="127" customWidth="1"/>
    <col min="2" max="2" width="25" style="127" customWidth="1"/>
    <col min="3" max="3" width="25.42578125" style="127" customWidth="1"/>
    <col min="4" max="4" width="8" style="127" customWidth="1"/>
    <col min="5" max="5" width="59.140625" style="127" customWidth="1"/>
    <col min="6" max="6" width="20.140625" style="127" bestFit="1" customWidth="1"/>
    <col min="7" max="7" width="15.85546875" style="127" customWidth="1"/>
    <col min="8" max="8" width="15.5703125" style="127" customWidth="1"/>
    <col min="9" max="9" width="18" style="127" customWidth="1"/>
    <col min="10" max="10" width="15.7109375" style="127" customWidth="1"/>
    <col min="11" max="11" width="11.42578125" style="127"/>
    <col min="12" max="12" width="7.42578125" style="127" customWidth="1"/>
    <col min="13" max="16384" width="11.42578125" style="127"/>
  </cols>
  <sheetData>
    <row r="3" spans="2:12" ht="19.5">
      <c r="E3" s="686" t="s">
        <v>543</v>
      </c>
      <c r="F3" s="686"/>
      <c r="G3" s="686"/>
      <c r="H3" s="686"/>
      <c r="I3" s="686"/>
      <c r="J3" s="686"/>
      <c r="K3" s="686"/>
      <c r="L3" s="165"/>
    </row>
    <row r="4" spans="2:12" ht="19.5">
      <c r="E4" s="686" t="s">
        <v>518</v>
      </c>
      <c r="F4" s="686"/>
      <c r="G4" s="686"/>
      <c r="H4" s="686"/>
      <c r="I4" s="686"/>
      <c r="J4" s="686"/>
      <c r="K4" s="686"/>
      <c r="L4" s="165"/>
    </row>
    <row r="5" spans="2:12" ht="19.5">
      <c r="E5" s="686" t="s">
        <v>544</v>
      </c>
      <c r="F5" s="686"/>
      <c r="G5" s="686"/>
      <c r="H5" s="686"/>
      <c r="I5" s="686"/>
      <c r="J5" s="686"/>
      <c r="K5" s="686"/>
      <c r="L5" s="165"/>
    </row>
    <row r="6" spans="2:12" ht="19.5">
      <c r="E6" s="686" t="s">
        <v>639</v>
      </c>
      <c r="F6" s="686"/>
      <c r="G6" s="686"/>
      <c r="H6" s="686"/>
      <c r="I6" s="686"/>
      <c r="J6" s="686"/>
      <c r="K6" s="686"/>
      <c r="L6" s="165"/>
    </row>
    <row r="7" spans="2:12" ht="19.5">
      <c r="E7" s="686" t="s">
        <v>583</v>
      </c>
      <c r="F7" s="686"/>
      <c r="G7" s="686"/>
      <c r="H7" s="686"/>
      <c r="I7" s="686"/>
      <c r="J7" s="686"/>
      <c r="K7" s="686"/>
      <c r="L7" s="165"/>
    </row>
    <row r="9" spans="2:12" ht="15.75" thickBot="1"/>
    <row r="10" spans="2:12" ht="40.5" customHeight="1" thickBot="1">
      <c r="B10" s="734" t="s">
        <v>519</v>
      </c>
      <c r="C10" s="735"/>
      <c r="D10" s="735"/>
      <c r="E10" s="736"/>
      <c r="F10" s="730" t="s">
        <v>579</v>
      </c>
      <c r="G10" s="731"/>
      <c r="H10" s="730" t="s">
        <v>569</v>
      </c>
      <c r="I10" s="731"/>
      <c r="J10" s="730" t="s">
        <v>584</v>
      </c>
      <c r="K10" s="731"/>
    </row>
    <row r="11" spans="2:12" ht="15" customHeight="1" thickBot="1">
      <c r="B11" s="737" t="str">
        <f>+'EXPERIENCIA PROPONENTE'!$A$9</f>
        <v>CONSORCIO AUDITORIA TRAESCOL</v>
      </c>
      <c r="C11" s="738"/>
      <c r="D11" s="738"/>
      <c r="E11" s="739"/>
      <c r="F11" s="732"/>
      <c r="G11" s="733"/>
      <c r="H11" s="732"/>
      <c r="I11" s="733"/>
      <c r="J11" s="732"/>
      <c r="K11" s="733"/>
    </row>
    <row r="12" spans="2:12" ht="22.5" customHeight="1" thickBot="1">
      <c r="B12" s="740"/>
      <c r="C12" s="741"/>
      <c r="D12" s="741"/>
      <c r="E12" s="742"/>
      <c r="F12" s="743">
        <f>+'EXPERIENCIA PROPONENTE'!$B$9</f>
        <v>3</v>
      </c>
      <c r="G12" s="744"/>
      <c r="H12" s="745" t="str">
        <f>IF(COUNTIF(F17:F18,"HABILITADO")=2,"HABILITADO","NO HABILITADO")</f>
        <v>NO HABILITADO</v>
      </c>
      <c r="I12" s="746"/>
      <c r="J12" s="747">
        <f>SUM(K15:K18)</f>
        <v>66</v>
      </c>
      <c r="K12" s="748"/>
    </row>
    <row r="13" spans="2:12" ht="15.75" thickBot="1"/>
    <row r="14" spans="2:12" ht="23.25" customHeight="1" thickBot="1">
      <c r="H14" s="758" t="s">
        <v>584</v>
      </c>
      <c r="I14" s="759"/>
      <c r="J14" s="759"/>
      <c r="K14" s="760"/>
    </row>
    <row r="15" spans="2:12" ht="21" customHeight="1" thickBot="1">
      <c r="B15" s="749" t="s">
        <v>581</v>
      </c>
      <c r="C15" s="750"/>
      <c r="D15" s="750"/>
      <c r="E15" s="750"/>
      <c r="F15" s="751"/>
      <c r="H15" s="761" t="s">
        <v>585</v>
      </c>
      <c r="I15" s="762"/>
      <c r="J15" s="762"/>
      <c r="K15" s="229">
        <f>+IF('EXPERIENCIA PROPONENTE'!$C$45="HABILITADO",'EXPERIENCIA PROPONENTE'!C54,0)</f>
        <v>20</v>
      </c>
    </row>
    <row r="16" spans="2:12" ht="29.25" customHeight="1" thickBot="1">
      <c r="B16" s="752" t="s">
        <v>580</v>
      </c>
      <c r="C16" s="753"/>
      <c r="D16" s="754"/>
      <c r="E16" s="227" t="s">
        <v>191</v>
      </c>
      <c r="F16" s="228" t="s">
        <v>104</v>
      </c>
      <c r="H16" s="763" t="s">
        <v>586</v>
      </c>
      <c r="I16" s="764"/>
      <c r="J16" s="764"/>
      <c r="K16" s="230">
        <f>+'EXPERIENCIA EQUIPO DE TRABA'!H9</f>
        <v>35</v>
      </c>
    </row>
    <row r="17" spans="2:11" ht="46.5" customHeight="1">
      <c r="B17" s="755" t="s">
        <v>589</v>
      </c>
      <c r="C17" s="756"/>
      <c r="D17" s="757"/>
      <c r="E17" s="363"/>
      <c r="F17" s="229" t="str">
        <f>+'EXPERIENCIA PROPONENTE'!C44</f>
        <v>NO HABILITADO</v>
      </c>
      <c r="H17" s="765" t="s">
        <v>606</v>
      </c>
      <c r="I17" s="766"/>
      <c r="J17" s="767"/>
      <c r="K17" s="230">
        <f>+'PERSONAL CON DISCAPAC'!E19</f>
        <v>1</v>
      </c>
    </row>
    <row r="18" spans="2:11" ht="51.75" customHeight="1" thickBot="1">
      <c r="B18" s="770" t="s">
        <v>582</v>
      </c>
      <c r="C18" s="771"/>
      <c r="D18" s="772"/>
      <c r="E18" s="242"/>
      <c r="F18" s="243" t="str">
        <f>+'EXPERIENCIA EQUIPO DE TRABA'!D9</f>
        <v>HABILITADO</v>
      </c>
      <c r="H18" s="763" t="s">
        <v>587</v>
      </c>
      <c r="I18" s="764"/>
      <c r="J18" s="764"/>
      <c r="K18" s="230">
        <f>+'PROTECCIÓN A LA INDUSTRIA'!E18</f>
        <v>10</v>
      </c>
    </row>
    <row r="19" spans="2:11" ht="15.75" thickBot="1">
      <c r="H19" s="773" t="s">
        <v>663</v>
      </c>
      <c r="I19" s="774"/>
      <c r="J19" s="774"/>
      <c r="K19" s="775"/>
    </row>
    <row r="20" spans="2:11" ht="29.25" customHeight="1" thickBot="1">
      <c r="B20" s="780" t="s">
        <v>588</v>
      </c>
      <c r="C20" s="781"/>
      <c r="D20" s="781"/>
      <c r="E20" s="781"/>
      <c r="F20" s="782"/>
      <c r="H20" s="776"/>
      <c r="I20" s="777"/>
      <c r="J20" s="777"/>
      <c r="K20" s="778"/>
    </row>
    <row r="21" spans="2:11" ht="27.75" customHeight="1" thickBot="1">
      <c r="B21" s="783" t="s">
        <v>571</v>
      </c>
      <c r="C21" s="784"/>
      <c r="D21" s="785"/>
      <c r="E21" s="247" t="s">
        <v>191</v>
      </c>
      <c r="F21" s="246" t="s">
        <v>569</v>
      </c>
      <c r="H21" s="779" t="s">
        <v>726</v>
      </c>
      <c r="I21" s="779"/>
      <c r="J21" s="779"/>
      <c r="K21" s="779"/>
    </row>
    <row r="22" spans="2:11" ht="72.75" customHeight="1">
      <c r="B22" s="786" t="s">
        <v>665</v>
      </c>
      <c r="C22" s="787"/>
      <c r="D22" s="787"/>
      <c r="E22" s="245" t="str">
        <f>+CONCATENATE('EXPERIENCIA EQUIPO DE TRABA'!B34," ",'EXPERIENCIA EQUIPO DE TRABA'!C34," ",'EXPERIENCIA EQUIPO DE TRABA'!D34," ",'EXPERIENCIA EQUIPO DE TRABA'!E34)</f>
        <v xml:space="preserve">   </v>
      </c>
      <c r="F22" s="248" t="str">
        <f>+'EXPERIENCIA EQUIPO DE TRABA'!E9</f>
        <v>HABILITADO</v>
      </c>
      <c r="H22" s="208"/>
      <c r="I22" s="208"/>
      <c r="J22" s="208"/>
      <c r="K22" s="208"/>
    </row>
    <row r="23" spans="2:11" ht="72.75" customHeight="1">
      <c r="B23" s="788" t="s">
        <v>652</v>
      </c>
      <c r="C23" s="789"/>
      <c r="D23" s="789"/>
      <c r="E23" s="245" t="str">
        <f>+CONCATENATE('EXPERIENCIA EQUIPO DE TRABA'!B59," ",'EXPERIENCIA EQUIPO DE TRABA'!H59," "," ",'EXPERIENCIA EQUIPO DE TRABA'!L59)</f>
        <v xml:space="preserve"> El contrato no se incluye para el computo de experiencia adicional porque no cumple con las exigencia de la experiencia especìfica requerida en el punto 5,2,1,4 de los pliegos   </v>
      </c>
      <c r="F23" s="249" t="str">
        <f>+'EXPERIENCIA EQUIPO DE TRABA'!F9</f>
        <v>HABILITADO</v>
      </c>
    </row>
    <row r="24" spans="2:11" ht="72.75" customHeight="1" thickBot="1">
      <c r="B24" s="768" t="s">
        <v>653</v>
      </c>
      <c r="C24" s="769"/>
      <c r="D24" s="769"/>
      <c r="E24" s="244" t="str">
        <f>+CONCATENATE('EXPERIENCIA EQUIPO DE TRABA'!B84," ",'EXPERIENCIA EQUIPO DE TRABA'!C84," ",'EXPERIENCIA EQUIPO DE TRABA'!D84," ",'EXPERIENCIA EQUIPO DE TRABA'!E84," ",'EXPERIENCIA EQUIPO DE TRABA'!F84)</f>
        <v xml:space="preserve">    </v>
      </c>
      <c r="F24" s="250"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54" fitToHeight="0" orientation="landscape" r:id="rId1"/>
  <rowBreaks count="1" manualBreakCount="1">
    <brk id="2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LORENA</cp:lastModifiedBy>
  <cp:lastPrinted>2019-03-13T00:27:52Z</cp:lastPrinted>
  <dcterms:created xsi:type="dcterms:W3CDTF">2014-01-23T13:35:42Z</dcterms:created>
  <dcterms:modified xsi:type="dcterms:W3CDTF">2019-03-13T02:25:13Z</dcterms:modified>
</cp:coreProperties>
</file>