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MARTHA\PROCESOS\2019\SUBSIDIO DE TRANSPORTE\AUDIENCIA DE APERTURA DE SOBRES\"/>
    </mc:Choice>
  </mc:AlternateContent>
  <bookViews>
    <workbookView xWindow="-120" yWindow="-120" windowWidth="20730" windowHeight="11160" tabRatio="871" firstSheet="2"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PROPONENTE'!$A$1:$Z$54</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H58" i="49" l="1"/>
  <c r="I58" i="49"/>
  <c r="J58" i="49"/>
  <c r="K58" i="49"/>
  <c r="L58" i="49"/>
  <c r="M58" i="49"/>
  <c r="N58" i="49"/>
  <c r="O58" i="49"/>
  <c r="P58" i="49"/>
  <c r="Q58" i="49"/>
  <c r="J37" i="49"/>
  <c r="C58" i="49"/>
  <c r="D58" i="49"/>
  <c r="E58" i="49"/>
  <c r="F58" i="49"/>
  <c r="G58" i="49"/>
  <c r="B58" i="49"/>
  <c r="I37" i="49"/>
  <c r="J38" i="49"/>
  <c r="I38" i="49"/>
  <c r="F9" i="49"/>
  <c r="S58" i="49"/>
  <c r="T58" i="49"/>
  <c r="U58" i="49"/>
  <c r="V58" i="49"/>
  <c r="W58" i="49"/>
  <c r="X58" i="49"/>
  <c r="Y58" i="49"/>
  <c r="K37" i="49"/>
  <c r="K38" i="49"/>
  <c r="X33" i="28"/>
  <c r="U25" i="28"/>
  <c r="I33" i="28"/>
  <c r="E22" i="48"/>
  <c r="E24" i="48"/>
  <c r="E23" i="48"/>
  <c r="E17" i="48"/>
  <c r="C9" i="49"/>
  <c r="M6" i="43"/>
  <c r="M4" i="43"/>
  <c r="C27" i="28"/>
  <c r="C16" i="43"/>
  <c r="O83" i="49"/>
  <c r="N83" i="49"/>
  <c r="M83" i="49"/>
  <c r="L83" i="49"/>
  <c r="K83" i="49"/>
  <c r="J83" i="49"/>
  <c r="I83" i="49"/>
  <c r="F83" i="49"/>
  <c r="E83" i="49"/>
  <c r="D83" i="49"/>
  <c r="C83" i="49"/>
  <c r="B83" i="49"/>
  <c r="A9" i="28"/>
  <c r="B9" i="46"/>
  <c r="AD25" i="28"/>
  <c r="AA25" i="28"/>
  <c r="X25" i="28"/>
  <c r="U27" i="28"/>
  <c r="R27" i="28"/>
  <c r="O25" i="28"/>
  <c r="L25" i="28"/>
  <c r="I25" i="28"/>
  <c r="F25" i="28"/>
  <c r="F27" i="28"/>
  <c r="J62" i="49"/>
  <c r="J63" i="49"/>
  <c r="F12" i="48"/>
  <c r="E10" i="47"/>
  <c r="D10" i="46"/>
  <c r="B11" i="48"/>
  <c r="A8" i="49"/>
  <c r="A9" i="47"/>
  <c r="E18" i="47"/>
  <c r="G33" i="49"/>
  <c r="O33" i="28"/>
  <c r="AD33" i="28"/>
  <c r="L33" i="49"/>
  <c r="K33" i="49"/>
  <c r="J33" i="49"/>
  <c r="F33" i="49"/>
  <c r="C33" i="28"/>
  <c r="T33" i="49"/>
  <c r="S33" i="49"/>
  <c r="R33" i="49"/>
  <c r="Q33" i="49"/>
  <c r="P33" i="49"/>
  <c r="O33" i="49"/>
  <c r="N33" i="49"/>
  <c r="M33" i="49"/>
  <c r="I33" i="49"/>
  <c r="H33" i="49"/>
  <c r="E33" i="49"/>
  <c r="D33" i="49"/>
  <c r="C33" i="49"/>
  <c r="B33" i="49"/>
  <c r="F23" i="48"/>
  <c r="I12" i="49"/>
  <c r="I13" i="49"/>
  <c r="J12" i="49"/>
  <c r="J13" i="49"/>
  <c r="K12" i="49"/>
  <c r="K13" i="49"/>
  <c r="I62" i="49"/>
  <c r="I63" i="49"/>
  <c r="G9" i="49"/>
  <c r="H9" i="49"/>
  <c r="K16" i="48"/>
  <c r="F24" i="48"/>
  <c r="E10" i="44"/>
  <c r="E18" i="46"/>
  <c r="E19" i="46"/>
  <c r="AA33" i="28"/>
  <c r="D23" i="44"/>
  <c r="F33" i="28"/>
  <c r="L33" i="28"/>
  <c r="C44" i="28"/>
  <c r="F17" i="48"/>
  <c r="U33" i="28"/>
  <c r="R33" i="28"/>
  <c r="D45" i="28"/>
  <c r="C45" i="28"/>
  <c r="K18" i="48"/>
  <c r="C54" i="28"/>
  <c r="K15" i="48"/>
  <c r="K17" i="48"/>
  <c r="J12" i="48"/>
  <c r="C80" i="22"/>
  <c r="D42" i="18"/>
  <c r="B24" i="19"/>
  <c r="C24" i="19"/>
  <c r="D24" i="19"/>
  <c r="E24" i="19"/>
  <c r="B26" i="19"/>
  <c r="B38" i="19"/>
  <c r="D38" i="19"/>
  <c r="B40" i="19"/>
  <c r="B66" i="19"/>
  <c r="D66" i="19"/>
  <c r="B68" i="19"/>
  <c r="B80" i="19"/>
  <c r="D80" i="19"/>
  <c r="B82" i="19"/>
  <c r="B94" i="19"/>
  <c r="C94" i="19"/>
  <c r="D94" i="19"/>
  <c r="E94" i="19"/>
  <c r="F94" i="19"/>
  <c r="H94" i="19"/>
  <c r="B96" i="19"/>
  <c r="B108" i="19"/>
  <c r="B110" i="19"/>
  <c r="B24" i="20"/>
  <c r="B26" i="20"/>
  <c r="F24" i="22"/>
  <c r="E24" i="22"/>
  <c r="D24" i="22"/>
  <c r="B24" i="22"/>
  <c r="C24" i="22"/>
  <c r="B26" i="22"/>
  <c r="I108" i="22"/>
  <c r="F80" i="22"/>
  <c r="E94" i="21"/>
  <c r="B38" i="22"/>
  <c r="C38" i="22"/>
  <c r="D38" i="22"/>
  <c r="E38" i="22"/>
  <c r="F38" i="22"/>
  <c r="G38" i="22"/>
  <c r="H38" i="22"/>
  <c r="I38" i="22"/>
  <c r="J38" i="22"/>
  <c r="K38" i="22"/>
  <c r="L38" i="22"/>
  <c r="M38" i="22"/>
  <c r="N38" i="22"/>
  <c r="O38" i="22"/>
  <c r="B40" i="22"/>
  <c r="B52" i="22"/>
  <c r="B66" i="22"/>
  <c r="B68" i="22"/>
  <c r="B80" i="22"/>
  <c r="B82" i="22"/>
  <c r="B94" i="22"/>
  <c r="C94" i="22"/>
  <c r="D94" i="22"/>
  <c r="B108" i="22"/>
  <c r="C108" i="22"/>
  <c r="D108" i="22"/>
  <c r="E108" i="22"/>
  <c r="F108" i="22"/>
  <c r="G108" i="22"/>
  <c r="B24" i="21"/>
  <c r="C24" i="21"/>
  <c r="D24" i="21"/>
  <c r="E24" i="21"/>
  <c r="F24" i="21"/>
  <c r="G24" i="21"/>
  <c r="H24" i="21"/>
  <c r="I24" i="21"/>
  <c r="J24" i="21"/>
  <c r="K24" i="21"/>
  <c r="L24" i="21"/>
  <c r="M24" i="21"/>
  <c r="N24" i="21"/>
  <c r="O24" i="21"/>
  <c r="P24" i="21"/>
  <c r="Q24" i="21"/>
  <c r="R24" i="21"/>
  <c r="S24" i="21"/>
  <c r="T24" i="21"/>
  <c r="B38" i="21"/>
  <c r="C38" i="21"/>
  <c r="D38" i="21"/>
  <c r="E38" i="21"/>
  <c r="F38" i="21"/>
  <c r="G38" i="21"/>
  <c r="H38" i="21"/>
  <c r="I38" i="21"/>
  <c r="J38" i="21"/>
  <c r="K38" i="21"/>
  <c r="L38" i="21"/>
  <c r="M38" i="21"/>
  <c r="N38" i="21"/>
  <c r="O38" i="21"/>
  <c r="P38" i="21"/>
  <c r="Q38" i="21"/>
  <c r="R38" i="21"/>
  <c r="S38" i="21"/>
  <c r="T38" i="21"/>
  <c r="U38" i="21"/>
  <c r="V38" i="21"/>
  <c r="W38" i="21"/>
  <c r="B52" i="21"/>
  <c r="C52" i="21"/>
  <c r="D52" i="21"/>
  <c r="E52" i="21"/>
  <c r="F52" i="21"/>
  <c r="G52" i="21"/>
  <c r="H52" i="21"/>
  <c r="I52" i="21"/>
  <c r="J52" i="21"/>
  <c r="K52" i="21"/>
  <c r="B66" i="21"/>
  <c r="C66" i="21"/>
  <c r="D66" i="21"/>
  <c r="E66" i="21"/>
  <c r="F66" i="21"/>
  <c r="G66" i="21"/>
  <c r="H66" i="21"/>
  <c r="I66" i="21"/>
  <c r="J66" i="21"/>
  <c r="K66" i="21"/>
  <c r="L66" i="21"/>
  <c r="M66" i="21"/>
  <c r="N66" i="21"/>
  <c r="O66" i="21"/>
  <c r="P66" i="21"/>
  <c r="Q66" i="21"/>
  <c r="R66" i="21"/>
  <c r="S66" i="21"/>
  <c r="T66" i="21"/>
  <c r="U66" i="21"/>
  <c r="B80" i="21"/>
  <c r="C80" i="21"/>
  <c r="D80" i="21"/>
  <c r="E80" i="21"/>
  <c r="F80" i="21"/>
  <c r="G80" i="21"/>
  <c r="H80" i="21"/>
  <c r="I80" i="21"/>
  <c r="J80" i="21"/>
  <c r="K80" i="21"/>
  <c r="L80" i="21"/>
  <c r="M80" i="21"/>
  <c r="N80" i="21"/>
  <c r="O80" i="21"/>
  <c r="P80" i="21"/>
  <c r="Q80" i="21"/>
  <c r="R80" i="21"/>
  <c r="S80" i="21"/>
  <c r="T80" i="21"/>
  <c r="U80" i="21"/>
  <c r="V80" i="21"/>
  <c r="B94" i="21"/>
  <c r="B96" i="21"/>
  <c r="B108" i="21"/>
  <c r="B110" i="21"/>
  <c r="D52" i="19"/>
  <c r="F42" i="18"/>
  <c r="B26" i="18"/>
  <c r="B137" i="17"/>
  <c r="B138" i="17"/>
  <c r="J131" i="17"/>
  <c r="B111" i="17"/>
  <c r="B112" i="17"/>
  <c r="B85" i="17"/>
  <c r="B59" i="17"/>
  <c r="B60" i="17"/>
  <c r="J49" i="17"/>
  <c r="B49" i="17"/>
  <c r="D49" i="17"/>
  <c r="F49" i="17"/>
  <c r="H49" i="17"/>
  <c r="J24" i="17"/>
  <c r="H24" i="17"/>
  <c r="F24" i="17"/>
  <c r="D24" i="17"/>
  <c r="B25" i="17"/>
  <c r="B34" i="17"/>
  <c r="B35" i="17"/>
  <c r="B24" i="17"/>
  <c r="B38" i="20"/>
  <c r="B40" i="20"/>
  <c r="B52" i="20"/>
  <c r="B54" i="20"/>
  <c r="B66" i="20"/>
  <c r="B68" i="20"/>
  <c r="B80" i="20"/>
  <c r="B82" i="20"/>
  <c r="B94" i="20"/>
  <c r="B96" i="20"/>
  <c r="B108" i="20"/>
  <c r="B110" i="20"/>
  <c r="B52" i="19"/>
  <c r="B42" i="18"/>
  <c r="C42" i="18"/>
  <c r="B56" i="18"/>
  <c r="B58" i="18"/>
  <c r="B70" i="18"/>
  <c r="B72" i="18"/>
  <c r="B84" i="18"/>
  <c r="B86" i="18"/>
  <c r="B98" i="18"/>
  <c r="B100" i="18"/>
  <c r="B112" i="18"/>
  <c r="B114" i="18"/>
  <c r="B86" i="17"/>
  <c r="B82" i="21"/>
  <c r="B68" i="21"/>
  <c r="B54" i="21"/>
  <c r="B26" i="21"/>
  <c r="B12" i="21"/>
  <c r="B96" i="22"/>
  <c r="B12" i="20"/>
  <c r="B110" i="22"/>
  <c r="B44" i="18"/>
  <c r="B12" i="18"/>
  <c r="B12" i="22"/>
  <c r="B12" i="19"/>
  <c r="E9" i="49"/>
  <c r="D9" i="49"/>
  <c r="F18" i="48"/>
  <c r="H12" i="48"/>
  <c r="F22" i="48"/>
</calcChain>
</file>

<file path=xl/sharedStrings.xml><?xml version="1.0" encoding="utf-8"?>
<sst xmlns="http://schemas.openxmlformats.org/spreadsheetml/2006/main" count="2108" uniqueCount="764">
  <si>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</si>
  <si>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</si>
  <si>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</si>
  <si>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</si>
  <si>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</si>
  <si>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</si>
  <si>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</si>
  <si>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</si>
  <si>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</si>
  <si>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</si>
  <si>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</si>
  <si>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</si>
  <si>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</si>
  <si>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</si>
  <si>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</si>
  <si>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</si>
  <si>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</si>
  <si>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</si>
  <si>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</si>
  <si>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</si>
  <si>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</si>
  <si>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</si>
  <si>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</si>
  <si>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</si>
  <si>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</si>
  <si>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</si>
  <si>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</si>
  <si>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</si>
  <si>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</si>
  <si>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</si>
  <si>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</si>
  <si>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</si>
  <si>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</si>
  <si>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</si>
  <si>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</si>
  <si>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</si>
  <si>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</si>
  <si>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</si>
  <si>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</si>
  <si>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</si>
  <si>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</si>
  <si>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</si>
  <si>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</si>
  <si>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</si>
  <si>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</si>
  <si>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</si>
  <si>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</si>
  <si>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</si>
  <si>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</si>
  <si>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</si>
  <si>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</si>
  <si>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</si>
  <si>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</si>
  <si>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</si>
  <si>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</si>
  <si>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</si>
  <si>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</si>
  <si>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</si>
  <si>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</si>
  <si>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</si>
  <si>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</si>
  <si>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</si>
  <si>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</si>
  <si>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</si>
  <si>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</si>
  <si>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</si>
  <si>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</si>
  <si>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</si>
  <si>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</si>
  <si>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</si>
  <si>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</si>
  <si>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</si>
  <si>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</si>
  <si>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</si>
  <si>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</si>
  <si>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</si>
  <si>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</si>
  <si>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</si>
  <si>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</si>
  <si>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</si>
  <si>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</si>
  <si>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</si>
  <si>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</si>
  <si>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</si>
  <si>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</si>
  <si>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</si>
  <si>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</si>
  <si>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</si>
  <si>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</si>
  <si>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</si>
  <si>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</si>
  <si>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</si>
  <si>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</si>
  <si>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</si>
  <si>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</si>
  <si>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</si>
  <si>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</si>
  <si>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</si>
  <si>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</si>
  <si>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</si>
  <si>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</si>
  <si>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</si>
  <si>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</si>
  <si>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</si>
  <si>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</si>
  <si>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</si>
  <si>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</si>
  <si>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</si>
  <si>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</si>
  <si>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</si>
  <si>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</si>
  <si>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</si>
  <si>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</si>
  <si>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</si>
  <si>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</si>
  <si>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</si>
  <si>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</si>
  <si>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</si>
  <si>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</si>
  <si>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</si>
  <si>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</si>
  <si>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</si>
  <si>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</si>
  <si>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</si>
  <si>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</si>
  <si>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</si>
  <si>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</si>
  <si>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</si>
  <si>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</si>
  <si>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</si>
  <si>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</si>
  <si>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</si>
  <si>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</si>
  <si>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</si>
  <si>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</si>
  <si>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</si>
  <si>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</si>
  <si>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</si>
  <si>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</si>
  <si>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</si>
  <si>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</si>
  <si>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</si>
  <si>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</si>
  <si>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</si>
  <si>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</si>
  <si>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</si>
  <si>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</si>
  <si>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</si>
  <si>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</si>
  <si>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</si>
  <si>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</si>
  <si>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</si>
  <si>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</si>
  <si>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</si>
  <si>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</si>
  <si>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</si>
  <si>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</si>
  <si>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</si>
  <si>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</si>
  <si>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</si>
  <si>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</si>
  <si>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</si>
  <si>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</si>
  <si>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</si>
  <si>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</si>
  <si>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</si>
  <si>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</si>
  <si>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</si>
  <si>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</si>
  <si>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</si>
  <si>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</si>
  <si>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</si>
  <si>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</si>
  <si>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</si>
  <si>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</si>
  <si>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</si>
  <si>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</si>
  <si>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</si>
  <si>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</si>
  <si>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</si>
  <si>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</si>
  <si>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</si>
  <si>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</si>
  <si>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</si>
  <si>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</si>
  <si>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</si>
  <si>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</si>
  <si>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</si>
  <si>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</si>
  <si>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</si>
  <si>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</si>
  <si>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</si>
  <si>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</si>
  <si>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</si>
  <si>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</si>
  <si>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</si>
  <si>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</si>
  <si>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</si>
  <si>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</si>
  <si>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</si>
  <si>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</si>
  <si>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</si>
  <si>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</si>
  <si>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</si>
  <si>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</si>
  <si>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</si>
  <si>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</si>
  <si>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</si>
  <si>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</si>
  <si>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</si>
  <si>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</si>
  <si>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</si>
  <si>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</si>
  <si>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</si>
  <si>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</si>
  <si>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</si>
  <si>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</si>
  <si>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</si>
  <si>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</si>
  <si>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</si>
  <si>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</si>
  <si>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</si>
  <si>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</si>
  <si>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</si>
  <si>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</si>
  <si>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</si>
  <si>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</si>
  <si>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</si>
  <si>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</si>
  <si>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</si>
  <si>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</si>
  <si>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</si>
  <si>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</si>
  <si>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</si>
  <si>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</si>
  <si>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</si>
  <si>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</si>
  <si>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</si>
  <si>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</si>
  <si>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</si>
  <si>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</si>
  <si>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</si>
  <si>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</si>
  <si>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</si>
  <si>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</si>
  <si>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</si>
  <si>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</si>
  <si>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</si>
  <si>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</si>
  <si>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</si>
  <si>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</si>
  <si>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</si>
  <si>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</si>
  <si>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</si>
  <si>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</si>
  <si>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</si>
  <si>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</si>
  <si>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</si>
  <si>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</si>
  <si>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</si>
  <si>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</si>
  <si>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</si>
  <si>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</si>
  <si>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</si>
  <si>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</si>
  <si>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</si>
  <si>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</si>
  <si>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</si>
  <si>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</si>
  <si>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</si>
  <si>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</si>
  <si>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</si>
  <si>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</si>
  <si>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</si>
  <si>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</si>
  <si>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</si>
  <si>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</si>
  <si>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</si>
  <si>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</si>
  <si>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</si>
  <si>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</si>
  <si>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</si>
  <si>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</si>
  <si>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</si>
  <si>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</si>
  <si>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</si>
  <si>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</si>
  <si>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</si>
  <si>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</si>
  <si>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</si>
  <si>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</si>
  <si>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</si>
  <si>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</si>
  <si>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</si>
  <si>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</si>
  <si>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</si>
  <si>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</si>
  <si>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</si>
  <si>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</si>
  <si>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</si>
  <si>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</si>
  <si>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</si>
  <si>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</si>
  <si>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</si>
  <si>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</si>
  <si>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</si>
  <si>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</si>
  <si>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</si>
  <si>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</si>
  <si>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</si>
  <si>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</si>
  <si>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</si>
  <si>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</si>
  <si>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</si>
  <si>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</si>
  <si>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</si>
  <si>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</si>
  <si>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</si>
  <si>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</si>
  <si>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</si>
  <si>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</si>
  <si>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</si>
  <si>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</si>
  <si>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</si>
  <si>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</si>
  <si>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</si>
  <si>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</si>
  <si>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</si>
  <si>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</si>
  <si>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</si>
  <si>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</si>
  <si>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</si>
  <si>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</si>
  <si>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</si>
  <si>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</si>
  <si>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</si>
  <si>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</si>
  <si>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</si>
  <si>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</si>
  <si>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</si>
  <si>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</si>
  <si>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</si>
  <si>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</si>
  <si>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</si>
  <si>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</si>
  <si>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</si>
  <si>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</si>
  <si>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</si>
  <si>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</si>
  <si>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</si>
  <si>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</si>
  <si>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</si>
  <si>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</si>
  <si>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</si>
  <si>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</si>
  <si>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</si>
  <si>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</si>
  <si>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</si>
  <si>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</si>
  <si>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</si>
  <si>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</si>
  <si>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</si>
  <si>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</si>
  <si>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</si>
  <si>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</si>
  <si>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</si>
  <si>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</si>
  <si>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</si>
  <si>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</si>
  <si>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</si>
  <si>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</si>
  <si>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</si>
  <si>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</si>
  <si>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</si>
  <si>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</si>
  <si>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</si>
  <si>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</si>
  <si>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</si>
  <si>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</si>
  <si>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</si>
  <si>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</si>
  <si>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</si>
  <si>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</si>
  <si>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</si>
  <si>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</si>
  <si>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</si>
  <si>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</si>
  <si>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</si>
  <si>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</si>
  <si>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</si>
  <si>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</si>
  <si>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</si>
  <si>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</si>
  <si>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</si>
  <si>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</si>
  <si>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</si>
  <si>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</si>
  <si>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</si>
  <si>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</si>
  <si>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</si>
  <si>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</si>
  <si>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</si>
  <si>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</si>
  <si>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</si>
  <si>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</si>
  <si>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</si>
  <si>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</si>
  <si>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</si>
  <si>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</si>
  <si>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</si>
  <si>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</si>
  <si>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</si>
  <si>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</si>
  <si>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</si>
  <si>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</si>
  <si>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</si>
  <si>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</si>
  <si>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</si>
  <si>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</si>
  <si>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</si>
  <si>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</si>
  <si>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</si>
  <si>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</si>
  <si>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</si>
  <si>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</si>
  <si>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</si>
  <si>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</si>
  <si>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</si>
  <si>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</si>
  <si>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</si>
  <si>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</si>
  <si>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</si>
  <si>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</si>
  <si>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</si>
  <si>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</si>
  <si>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</si>
  <si>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</si>
  <si>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</si>
  <si>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</si>
  <si>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</si>
  <si>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</si>
  <si>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</si>
  <si>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</si>
  <si>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</si>
  <si>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</si>
  <si>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</si>
  <si>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</si>
  <si>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</si>
  <si>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</si>
  <si>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</si>
  <si>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</si>
  <si>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</si>
  <si>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</si>
  <si>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</si>
  <si>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</si>
  <si>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</si>
  <si>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</si>
  <si>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</si>
  <si>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</si>
  <si>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</si>
  <si>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</si>
  <si>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</si>
  <si>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</si>
  <si>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</si>
  <si>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</si>
  <si>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</si>
  <si>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</si>
  <si>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</si>
  <si>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</si>
  <si>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</si>
  <si>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</si>
  <si>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</si>
  <si>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</si>
  <si>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</si>
  <si>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</si>
  <si>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</si>
  <si>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</si>
  <si>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</si>
  <si>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</si>
  <si>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</si>
  <si>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</si>
  <si>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</si>
  <si>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</si>
  <si>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</si>
  <si>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</si>
  <si>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</si>
  <si>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</si>
  <si>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</si>
  <si>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</si>
  <si>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</si>
  <si>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</si>
  <si>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</si>
  <si>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</si>
  <si>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</si>
  <si>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</si>
  <si>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</si>
  <si>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</si>
  <si>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</si>
  <si>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</si>
  <si>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</si>
  <si>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</si>
  <si>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</si>
  <si>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</si>
  <si>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</si>
  <si>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</si>
  <si>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</si>
  <si>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</si>
  <si>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</si>
  <si>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</si>
  <si>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</si>
  <si>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</si>
  <si>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</si>
  <si>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</si>
  <si>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</si>
  <si>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</si>
  <si>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</si>
  <si>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</si>
  <si>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</si>
  <si>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</si>
  <si>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</si>
  <si>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</si>
  <si>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</si>
  <si>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</si>
  <si>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</si>
  <si>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</si>
  <si>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</si>
  <si>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</si>
  <si>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</si>
  <si>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</si>
  <si>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</si>
  <si>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</si>
  <si>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</si>
  <si>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</si>
  <si>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</si>
  <si>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</si>
  <si>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</si>
  <si>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</si>
  <si>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</si>
  <si>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</si>
  <si>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</si>
  <si>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</si>
  <si>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</si>
  <si>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</si>
  <si>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</si>
  <si>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</si>
  <si>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</si>
  <si>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</si>
  <si>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</si>
  <si>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</si>
  <si>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</si>
  <si>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</si>
  <si>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</si>
  <si>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</si>
  <si>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</si>
  <si>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</si>
  <si>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</si>
  <si>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</si>
  <si>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</si>
  <si>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</si>
  <si>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</si>
  <si>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</si>
  <si>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</si>
  <si>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</si>
  <si>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</si>
  <si>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</si>
  <si>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</si>
  <si>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</si>
  <si>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</si>
  <si>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</si>
  <si>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</si>
  <si>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</si>
  <si>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</si>
  <si>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</si>
  <si>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</si>
  <si>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</si>
  <si>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</si>
  <si>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</si>
  <si>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</si>
  <si>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</si>
  <si>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</si>
  <si>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</si>
  <si>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</si>
  <si>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</si>
  <si>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PUNTAJE ADICIONAL</t>
  </si>
  <si>
    <t>EXPERIENCIA ADICIONAL PROPONENTE</t>
  </si>
  <si>
    <t xml:space="preserve">EXPERIENCIA ADICIONAL EQUIPO MÍNIMO </t>
  </si>
  <si>
    <t>APOYO A LA INDUSTRIA NACIONAL</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</si>
  <si>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</si>
  <si>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</si>
  <si>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</si>
  <si>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</si>
  <si>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</si>
  <si>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</si>
  <si>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</si>
  <si>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</si>
  <si>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</si>
  <si>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</si>
  <si>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</si>
  <si>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</si>
  <si>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</si>
  <si>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</si>
  <si>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</si>
  <si>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</si>
  <si>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</si>
  <si>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</si>
  <si>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</si>
  <si>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</si>
  <si>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</si>
  <si>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</si>
  <si>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</si>
  <si>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</si>
  <si>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</si>
  <si>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</si>
  <si>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</si>
  <si>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</si>
  <si>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</si>
  <si>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</si>
  <si>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</si>
  <si>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</si>
  <si>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</si>
  <si>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</si>
  <si>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</si>
  <si>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</si>
  <si>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</si>
  <si>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</si>
  <si>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</si>
  <si>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</si>
  <si>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</si>
  <si>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</si>
  <si>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</si>
  <si>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EVALUACIÓN CONCURSO DE MÉRITOS No. SED-CM-A-DBE-003-2019</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</si>
  <si>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</si>
  <si>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</si>
  <si>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</si>
  <si>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</si>
  <si>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</si>
  <si>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 xml:space="preserve">Revisar pliegos </t>
  </si>
  <si>
    <t>#</t>
  </si>
  <si>
    <t>CUMPLE CON LA EXPERIENCIA ADICIONAL</t>
  </si>
  <si>
    <t>CODIGOS UNSPSC</t>
  </si>
  <si>
    <t>NÚMERO DE CONTRATOS</t>
  </si>
  <si>
    <t>EVALUACIÓN CONCURSO DE MÉRITOS No. SED-CM-A-DBE-004-2019</t>
  </si>
  <si>
    <t>Año 2006</t>
  </si>
  <si>
    <t>Año 2005</t>
  </si>
  <si>
    <t>Año 2004</t>
  </si>
  <si>
    <t>Año 2003</t>
  </si>
  <si>
    <t>Año 2002</t>
  </si>
  <si>
    <t>CONSORCIO AUDISED</t>
  </si>
  <si>
    <t>CONSORCIO AUDITORIO TRAINSCOL</t>
  </si>
  <si>
    <t>CONSORCIO AUDISED 2019</t>
  </si>
  <si>
    <t>KMP CONSULTING SAS</t>
  </si>
  <si>
    <t>CONSORCIO AUDITOR ESCOLAR 004-2009</t>
  </si>
  <si>
    <t xml:space="preserve"> BTC</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</si>
  <si>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</si>
  <si>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</si>
  <si>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</si>
  <si>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</si>
  <si>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</si>
  <si>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</si>
  <si>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</si>
  <si>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</si>
  <si>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</si>
  <si>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</si>
  <si>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</si>
  <si>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</si>
  <si>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</si>
  <si>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</si>
  <si>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</si>
  <si>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</si>
  <si>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ALFONSO MEDINA FUENTES</t>
  </si>
  <si>
    <t>830.061.474-1</t>
  </si>
  <si>
    <t>CALLE 43 No. 57 - 14</t>
  </si>
  <si>
    <t>C&amp;M CONSULTORES S.A.</t>
  </si>
  <si>
    <t>1251 DE 2015</t>
  </si>
  <si>
    <t>07 DE SEPTIEMBRE DE 2015</t>
  </si>
  <si>
    <t>MINISTERIO DE EDUCACIÓN NACIONAL</t>
  </si>
  <si>
    <t>05 DE FEBRERO DE 2016</t>
  </si>
  <si>
    <t>05 DE DICIEMBRE DE 2016</t>
  </si>
  <si>
    <t>CLARA INÉS MÁRQUEZ VÁSQUEZ - Asesora encargada de las funciones de la Subdirección de Contrtación</t>
  </si>
  <si>
    <t>89 - 95</t>
  </si>
  <si>
    <t>MINISTERIO DE SALUD Y PROTECCION SOCIAL</t>
  </si>
  <si>
    <t>AV EL DORADO CALLE 26 No. 69 - 76  EDICIFIO ELEMENTO TORRE 1 PISO 17</t>
  </si>
  <si>
    <t xml:space="preserve">BDO AUDIT S.A. </t>
  </si>
  <si>
    <t>043 DE 2015</t>
  </si>
  <si>
    <t>09 DE NOVIEMBRE DE 2015</t>
  </si>
  <si>
    <t>31 DE MAYO DE 2017</t>
  </si>
  <si>
    <t>29 DE AGOSTO DE 2017</t>
  </si>
  <si>
    <t>Realizar auditoria a los resultados de los procesos de reconocimiento y giro de los recursos administrados por los Fondos de la Protección Social.</t>
  </si>
  <si>
    <t>Realizar auditoria censal a la información de matrícula (oficial-contratada), planta de personal docente, directivo docente, administrativos y el directorio único de establecimientos educativos, due, reportada a través de los sistemas de información que el ministerio de educación nacional ha dispuesto para tal fin, en las entidades territoriales establecidas para la vigencia 2015.</t>
  </si>
  <si>
    <t>97 - 108</t>
  </si>
  <si>
    <t>ÁLVARO ROJAS FUENTES - Director de Liquidaciones y Garantías Encargado de las Funciones de la Dirección Administrativa y Financiera de la Administradora de los Recursos del Sistema General de Seguridad Social en Salud - ADRES</t>
  </si>
  <si>
    <t>1250 DE 2015</t>
  </si>
  <si>
    <t>245-252</t>
  </si>
  <si>
    <t>09 DE JUNIO DE 2016</t>
  </si>
  <si>
    <t xml:space="preserve">LUZ KARIME JAIMES BONILLA - Subdirectora de Contratación </t>
  </si>
  <si>
    <t>TRANSMILENIO S.A.</t>
  </si>
  <si>
    <t>AV EL DORADO No. 69 - 78 EDIFICIO ELEMENTO TORRE 1 PISO 5</t>
  </si>
  <si>
    <t>JOYCO SAS</t>
  </si>
  <si>
    <t>176 DE 2015</t>
  </si>
  <si>
    <t>29 DE MAYO DE 2015</t>
  </si>
  <si>
    <t>El contratista se compromete a realizar la interventoría integral que incluye el seguimiento administrativo, técnico, financiero, contable , jurídico y operativo al contrato de Concesión N° 01 de 2011, cuyo objeto es realizar el diseño, suministro, implementación, operación y mantenimiento del subsistema de recaudo, del subsistema de información, y servicio al usuario y del subsistema de integración y consolidación de la información; el diseño, suministro, implementación, gestión y mantenimiento del subsistema de control de flota, el suministro de la conectividad; la integración entre el subsistema de recaudo, el subsistema de control de flota, el subsistema de información y servicio al usuario y el subsistema de integración y consolidación de la información, que conforman el SIRCI para el Sistema Integrado de Transporte Publico de Bogotá, D.C.</t>
  </si>
  <si>
    <t>28 DE MAYO DE 2016</t>
  </si>
  <si>
    <t>254-257</t>
  </si>
  <si>
    <t>21 DE DICIEMBRE DE 2017</t>
  </si>
  <si>
    <t>JULIA REY BONILLA - Subgerente Jurídica</t>
  </si>
  <si>
    <t>DUBAN ARMANDO BAUTISTA MONTERO</t>
  </si>
  <si>
    <t>CONTADOR PÚBLICO</t>
  </si>
  <si>
    <t>31 DE MAYO DE 1991</t>
  </si>
  <si>
    <t>30510 - T</t>
  </si>
  <si>
    <t>07 DE NOVIEMBRE DE 1991</t>
  </si>
  <si>
    <t>ADMINISTRACIÓN FINANCIERA</t>
  </si>
  <si>
    <t>15 DE DICIEMBRE DE 1994</t>
  </si>
  <si>
    <t>GERENTE DE CONTRALORIA FINANCIERA</t>
  </si>
  <si>
    <t>COMERCIALIZADORA  NACIONAL SAS LTDA</t>
  </si>
  <si>
    <t>UNIVERSIDAD TADEO LOZANO</t>
  </si>
  <si>
    <t>123 - 124</t>
  </si>
  <si>
    <t>ASESORIA Y GESTIÓN, CIA. LTDA.</t>
  </si>
  <si>
    <t>INTERVENTOR ADMINISTRATIVO Y FINANCIERO</t>
  </si>
  <si>
    <t>125 - 126</t>
  </si>
  <si>
    <t>SANCHO BBDO</t>
  </si>
  <si>
    <t>PLANEACION, CONTROL Y SEGUIMIENTO</t>
  </si>
  <si>
    <t>GRUPO CONSULTOR ANDINO</t>
  </si>
  <si>
    <t>263 - 264</t>
  </si>
  <si>
    <t>REVISOR FISCAL</t>
  </si>
  <si>
    <t>SONIA SHIRLEY DEL PILAR LOPEZ CONTRERAS</t>
  </si>
  <si>
    <t>INGENIERO INDUSTRIAL</t>
  </si>
  <si>
    <t>29 DE AGOSTO DEL 2001</t>
  </si>
  <si>
    <t>54228-142464 NTS</t>
  </si>
  <si>
    <t>19 DE ABRIL DEL 2007</t>
  </si>
  <si>
    <t>COORDINADORA DEPARTAMENTAL</t>
  </si>
  <si>
    <t>COORDINADORA REGIONAL</t>
  </si>
  <si>
    <t>PROFESIONAL DE APOYO ADMINISTRATIVO</t>
  </si>
  <si>
    <t>137 - 138</t>
  </si>
  <si>
    <t>COORDINADORA DE CAMPO</t>
  </si>
  <si>
    <t>COORDINADORA LOGÍSTICA</t>
  </si>
  <si>
    <t>GERENTE DE PROYECTO</t>
  </si>
  <si>
    <t>LÍDER FINANCIERO</t>
  </si>
  <si>
    <t xml:space="preserve">GERENTE LOGÍSTICA </t>
  </si>
  <si>
    <t>COORDINADORA TÉCNICA (18/10/2007 HASTA 12/12/2007)</t>
  </si>
  <si>
    <t xml:space="preserve">COORDINADOR TECNICA - FINANCIERA </t>
  </si>
  <si>
    <t>LUZ DARY OCHOA DIAZ</t>
  </si>
  <si>
    <t>INGENIERA DE SISTEMAS</t>
  </si>
  <si>
    <t>25255-194058 CND</t>
  </si>
  <si>
    <t>PROFESIONAL ANALISTA DE INFORMACION</t>
  </si>
  <si>
    <t>COORDINADORA DEPARTAMENTAL (31/05/2010 HASTA 12/09/2010)</t>
  </si>
  <si>
    <t>NO SE TIENE EN CUENTA ESTE PERIODO DE EXPERIENCIA - TRASLAPO</t>
  </si>
  <si>
    <t xml:space="preserve">COORDINADORA DE GESTIÓN DE PROYECTOS </t>
  </si>
  <si>
    <t xml:space="preserve">GERENTE  DE PROYECTO </t>
  </si>
  <si>
    <t xml:space="preserve">GERENTE DE PROYECTO </t>
  </si>
  <si>
    <t>COORDINADOR DE SISTEMAS DE INFORMACIÓN</t>
  </si>
  <si>
    <t>COORDINADOR DE GESTIÓN DE PROYECTOS</t>
  </si>
  <si>
    <t>283 - 284</t>
  </si>
  <si>
    <t>NO SE TIENE EN CUENTA EL PERIODO DE EXPERIENCIA DEL 31/12/2015 AL 12/02/2016 - TRASLAPO</t>
  </si>
  <si>
    <t>141 -142</t>
  </si>
  <si>
    <t>Experiencia Especifica 6</t>
  </si>
  <si>
    <t>Experiencia Especifica 7</t>
  </si>
  <si>
    <t>NO SE TIENE EN CUENTA EL PERIODO DEL 01/08/2013 AL 04/09/2013 POR TRASLAPO</t>
  </si>
  <si>
    <t>NO SE TIENE EN CUENTA EL PERIODO DEL 07/09/2015 AL 05/02/2016 POR TRASLAPO</t>
  </si>
  <si>
    <t>Experiencia Especifica 8</t>
  </si>
  <si>
    <t>Experiencia Especifica 9</t>
  </si>
  <si>
    <t>Experiencia Especifica 10</t>
  </si>
  <si>
    <t>SUBSANADO</t>
  </si>
  <si>
    <t xml:space="preserve">EXPERIENCIA PROFESIONAL ADICIONAL CALIFICABLE </t>
  </si>
  <si>
    <t>JENNY PAOLA ALBA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</si>
</sst>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3" formatCode="_-* #,##0.00_-;\-* #,##0.00_-;_-* &quot;-&quot;??_-;_-@_-"/>
    <numFmt numFmtId="164" formatCode="_(&quot;$&quot;\ * #,##0.00_);_(&quot;$&quot;\ * \(#,##0.00\);_(&quot;$&quot;\ * &quot;-&quot;??_);_(@_)"/>
    <numFmt numFmtId="165" formatCode="_(* #,##0.00_);_(* \(#,##0.00\);_(* &quot;-&quot;??_);_(@_)"/>
    <numFmt numFmtId="166" formatCode="_-&quot;$&quot;\ * #,##0_-;\-&quot;$&quot;\ * #,##0_-;_-&quot;$&quot;\ *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54" x14ac:knownFonts="1">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sz val="12"/>
      <color theme="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2"/>
      <color indexed="8"/>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b/>
      <sz val="18"/>
      <color theme="1"/>
      <name val="Calibri"/>
      <family val="2"/>
      <scheme val="minor"/>
    </font>
    <font>
      <sz val="15"/>
      <color theme="1"/>
      <name val="Calibri"/>
      <family val="2"/>
      <scheme val="minor"/>
    </font>
    <font>
      <b/>
      <sz val="15"/>
      <color indexed="8"/>
      <name val="Calibri"/>
      <family val="2"/>
      <scheme val="minor"/>
    </font>
    <font>
      <b/>
      <sz val="18"/>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20"/>
      <color theme="1"/>
      <name val="Calibri"/>
      <family val="2"/>
      <scheme val="minor"/>
    </font>
    <font>
      <b/>
      <sz val="15"/>
      <name val="Calibri"/>
      <family val="2"/>
      <scheme val="minor"/>
    </font>
    <font>
      <sz val="8"/>
      <name val="Calibri"/>
      <family val="2"/>
      <scheme val="minor"/>
    </font>
    <font>
      <sz val="7"/>
      <color theme="1"/>
      <name val="Calibri"/>
      <family val="2"/>
      <scheme val="minor"/>
    </font>
    <font>
      <sz val="12"/>
      <color rgb="FFFF0000"/>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sz val="9"/>
      <color theme="0"/>
      <name val="Calibri"/>
      <family val="2"/>
      <scheme val="minor"/>
    </font>
    <font>
      <b/>
      <sz val="9"/>
      <color theme="0"/>
      <name val="Calibri"/>
      <family val="2"/>
      <scheme val="minor"/>
    </font>
    <font>
      <b/>
      <sz val="16"/>
      <color theme="0"/>
      <name val="Calibri"/>
      <family val="2"/>
      <scheme val="minor"/>
    </font>
    <font>
      <b/>
      <sz val="16"/>
      <color theme="1"/>
      <name val="Calibri"/>
      <family val="2"/>
      <scheme val="minor"/>
    </font>
    <font>
      <b/>
      <sz val="16"/>
      <color indexed="8"/>
      <name val="Calibri"/>
      <family val="2"/>
      <scheme val="minor"/>
    </font>
    <font>
      <sz val="16"/>
      <color theme="1"/>
      <name val="Calibri"/>
      <family val="2"/>
      <scheme val="minor"/>
    </font>
  </fonts>
  <fills count="19">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
      <patternFill patternType="solid">
        <fgColor rgb="FF92D050"/>
        <bgColor indexed="64"/>
      </patternFill>
    </fill>
  </fills>
  <borders count="7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auto="1"/>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s>
  <cellStyleXfs count="579">
    <xf numFmtId="0" fontId="0" fillId="0" borderId="0"/>
    <xf numFmtId="167"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7" borderId="0" applyNumberFormat="0" applyBorder="0" applyAlignment="0" applyProtection="0"/>
    <xf numFmtId="0" fontId="37" fillId="0" borderId="0"/>
    <xf numFmtId="41" fontId="2" fillId="0" borderId="0" applyFont="0" applyFill="0" applyBorder="0" applyAlignment="0" applyProtection="0"/>
    <xf numFmtId="166"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761">
    <xf numFmtId="0" fontId="0" fillId="0" borderId="0" xfId="0"/>
    <xf numFmtId="0" fontId="0" fillId="0" borderId="13" xfId="0" applyBorder="1"/>
    <xf numFmtId="0" fontId="0" fillId="0" borderId="14" xfId="0" applyBorder="1"/>
    <xf numFmtId="0" fontId="0" fillId="0" borderId="20" xfId="0" applyBorder="1"/>
    <xf numFmtId="0" fontId="3" fillId="0" borderId="15" xfId="0" applyFont="1" applyBorder="1"/>
    <xf numFmtId="0" fontId="0" fillId="0" borderId="28" xfId="0" applyBorder="1"/>
    <xf numFmtId="0" fontId="0" fillId="0" borderId="29" xfId="0" applyBorder="1"/>
    <xf numFmtId="0" fontId="3" fillId="0" borderId="30" xfId="0" applyFont="1" applyBorder="1"/>
    <xf numFmtId="0" fontId="3" fillId="0" borderId="21" xfId="0" applyFont="1" applyBorder="1"/>
    <xf numFmtId="0" fontId="3" fillId="2" borderId="10" xfId="0" applyFont="1" applyFill="1" applyBorder="1"/>
    <xf numFmtId="0" fontId="3" fillId="0" borderId="16" xfId="0" applyFont="1" applyBorder="1"/>
    <xf numFmtId="0" fontId="3" fillId="0" borderId="17" xfId="0" applyFont="1" applyBorder="1"/>
    <xf numFmtId="0" fontId="3"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3" fillId="0" borderId="0" xfId="0" applyFont="1" applyAlignment="1">
      <alignment horizontal="center"/>
    </xf>
    <xf numFmtId="167" fontId="0" fillId="0" borderId="0" xfId="1" applyFont="1"/>
    <xf numFmtId="2" fontId="0" fillId="0" borderId="0" xfId="0" applyNumberFormat="1"/>
    <xf numFmtId="2" fontId="3" fillId="0" borderId="0" xfId="0" applyNumberFormat="1" applyFont="1" applyAlignment="1">
      <alignment horizontal="center"/>
    </xf>
    <xf numFmtId="0" fontId="0" fillId="0" borderId="39" xfId="0" applyBorder="1"/>
    <xf numFmtId="0" fontId="0" fillId="0" borderId="40" xfId="0" applyBorder="1"/>
    <xf numFmtId="0" fontId="3" fillId="2" borderId="41" xfId="0" applyFont="1" applyFill="1" applyBorder="1" applyAlignment="1">
      <alignment horizontal="center"/>
    </xf>
    <xf numFmtId="169" fontId="0" fillId="0" borderId="1" xfId="0" applyNumberFormat="1" applyBorder="1"/>
    <xf numFmtId="0" fontId="3" fillId="0" borderId="41" xfId="0" applyFont="1" applyBorder="1" applyAlignment="1">
      <alignment horizontal="center"/>
    </xf>
    <xf numFmtId="0" fontId="3" fillId="0" borderId="42" xfId="0" applyFont="1" applyBorder="1" applyAlignment="1">
      <alignment horizontal="center"/>
    </xf>
    <xf numFmtId="0" fontId="6" fillId="0" borderId="2" xfId="0" applyFont="1" applyBorder="1"/>
    <xf numFmtId="9" fontId="6" fillId="0" borderId="1" xfId="2" applyFont="1" applyBorder="1"/>
    <xf numFmtId="0" fontId="5" fillId="0" borderId="5" xfId="0" applyFont="1" applyBorder="1"/>
    <xf numFmtId="168" fontId="6" fillId="0" borderId="0" xfId="0" applyNumberFormat="1" applyFont="1"/>
    <xf numFmtId="0" fontId="6" fillId="0" borderId="0" xfId="0" applyFont="1"/>
    <xf numFmtId="0" fontId="3" fillId="0" borderId="47" xfId="0" applyFont="1" applyBorder="1"/>
    <xf numFmtId="165" fontId="0" fillId="0" borderId="0" xfId="3" applyFont="1"/>
    <xf numFmtId="0" fontId="6" fillId="0" borderId="10" xfId="0" applyFont="1" applyBorder="1"/>
    <xf numFmtId="0" fontId="6" fillId="0" borderId="15" xfId="0" applyFont="1" applyBorder="1"/>
    <xf numFmtId="0" fontId="4"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7" fillId="0" borderId="0" xfId="0" applyFont="1"/>
    <xf numFmtId="0" fontId="0" fillId="0" borderId="4" xfId="0" applyBorder="1"/>
    <xf numFmtId="0" fontId="0" fillId="0" borderId="1" xfId="0" applyBorder="1"/>
    <xf numFmtId="14" fontId="0" fillId="0" borderId="1" xfId="0" applyNumberFormat="1" applyBorder="1"/>
    <xf numFmtId="0" fontId="3" fillId="0" borderId="0" xfId="0" applyFont="1"/>
    <xf numFmtId="0" fontId="0" fillId="0" borderId="51" xfId="0" applyBorder="1"/>
    <xf numFmtId="0" fontId="0" fillId="0" borderId="14" xfId="0" applyBorder="1" applyAlignment="1">
      <alignment vertical="center" wrapText="1"/>
    </xf>
    <xf numFmtId="9" fontId="8" fillId="0" borderId="1" xfId="0" applyNumberFormat="1" applyFont="1" applyBorder="1"/>
    <xf numFmtId="0" fontId="5" fillId="2" borderId="8" xfId="0" applyFont="1" applyFill="1" applyBorder="1" applyAlignment="1">
      <alignment horizontal="left" vertical="center"/>
    </xf>
    <xf numFmtId="9" fontId="6" fillId="0" borderId="1" xfId="0" applyNumberFormat="1" applyFont="1" applyBorder="1"/>
    <xf numFmtId="168" fontId="0" fillId="0" borderId="0" xfId="0" applyNumberFormat="1"/>
    <xf numFmtId="0" fontId="8" fillId="0" borderId="1" xfId="0" applyFont="1" applyBorder="1"/>
    <xf numFmtId="0" fontId="3" fillId="2" borderId="11" xfId="0" applyFont="1" applyFill="1" applyBorder="1" applyAlignment="1">
      <alignment horizontal="center"/>
    </xf>
    <xf numFmtId="0" fontId="3" fillId="2" borderId="12" xfId="0" applyFont="1" applyFill="1" applyBorder="1" applyAlignment="1">
      <alignment horizontal="center"/>
    </xf>
    <xf numFmtId="0" fontId="6" fillId="0" borderId="1" xfId="0" applyFont="1" applyBorder="1"/>
    <xf numFmtId="0" fontId="5" fillId="2" borderId="2" xfId="0" applyFont="1" applyFill="1" applyBorder="1" applyAlignment="1">
      <alignment horizontal="center"/>
    </xf>
    <xf numFmtId="14" fontId="6" fillId="0" borderId="1" xfId="0" applyNumberFormat="1" applyFont="1" applyBorder="1"/>
    <xf numFmtId="2" fontId="3" fillId="2" borderId="1" xfId="0" applyNumberFormat="1" applyFont="1" applyFill="1" applyBorder="1" applyAlignment="1">
      <alignment horizontal="center"/>
    </xf>
    <xf numFmtId="43" fontId="0" fillId="0" borderId="0" xfId="0" applyNumberFormat="1"/>
    <xf numFmtId="3" fontId="11" fillId="0" borderId="0" xfId="0" applyNumberFormat="1" applyFont="1"/>
    <xf numFmtId="168" fontId="6" fillId="0" borderId="1" xfId="0" applyNumberFormat="1" applyFont="1" applyBorder="1"/>
    <xf numFmtId="168" fontId="4" fillId="0" borderId="0" xfId="0" applyNumberFormat="1" applyFont="1"/>
    <xf numFmtId="2" fontId="4" fillId="0" borderId="0" xfId="0" applyNumberFormat="1" applyFont="1"/>
    <xf numFmtId="0" fontId="3" fillId="2" borderId="36" xfId="0" applyFont="1" applyFill="1" applyBorder="1" applyAlignment="1">
      <alignment horizontal="center"/>
    </xf>
    <xf numFmtId="14" fontId="6" fillId="0" borderId="2" xfId="0" applyNumberFormat="1" applyFont="1" applyBorder="1"/>
    <xf numFmtId="14" fontId="6" fillId="0" borderId="3" xfId="0" applyNumberFormat="1" applyFont="1" applyBorder="1"/>
    <xf numFmtId="14" fontId="0" fillId="0" borderId="2" xfId="0" applyNumberFormat="1" applyBorder="1"/>
    <xf numFmtId="0" fontId="3" fillId="2" borderId="42" xfId="0" applyFont="1" applyFill="1" applyBorder="1" applyAlignment="1">
      <alignment horizontal="center"/>
    </xf>
    <xf numFmtId="2" fontId="0" fillId="0" borderId="14" xfId="0" applyNumberFormat="1" applyBorder="1"/>
    <xf numFmtId="14" fontId="0" fillId="0" borderId="46" xfId="0" applyNumberFormat="1" applyBorder="1"/>
    <xf numFmtId="2" fontId="0" fillId="0" borderId="2" xfId="0" applyNumberFormat="1" applyBorder="1"/>
    <xf numFmtId="14" fontId="6" fillId="0" borderId="14" xfId="0" applyNumberFormat="1" applyFont="1" applyBorder="1"/>
    <xf numFmtId="0" fontId="0" fillId="0" borderId="7" xfId="0" applyBorder="1"/>
    <xf numFmtId="0" fontId="7" fillId="0" borderId="0" xfId="0" applyFont="1" applyAlignment="1">
      <alignment horizontal="center"/>
    </xf>
    <xf numFmtId="0" fontId="3" fillId="0" borderId="24" xfId="0" applyFont="1" applyBorder="1"/>
    <xf numFmtId="0" fontId="3" fillId="0" borderId="28" xfId="0" applyFont="1" applyBorder="1"/>
    <xf numFmtId="0" fontId="3" fillId="0" borderId="34" xfId="0" applyFont="1" applyBorder="1"/>
    <xf numFmtId="0" fontId="3" fillId="0" borderId="45" xfId="0" applyFont="1" applyBorder="1"/>
    <xf numFmtId="0" fontId="3" fillId="0" borderId="35" xfId="0" applyFont="1" applyBorder="1"/>
    <xf numFmtId="0" fontId="3" fillId="0" borderId="49" xfId="0" applyFont="1" applyBorder="1"/>
    <xf numFmtId="0" fontId="3" fillId="0" borderId="29" xfId="0" applyFont="1" applyBorder="1"/>
    <xf numFmtId="14" fontId="0" fillId="0" borderId="4" xfId="0" applyNumberFormat="1" applyBorder="1"/>
    <xf numFmtId="14" fontId="0" fillId="0" borderId="51" xfId="0" applyNumberFormat="1" applyBorder="1"/>
    <xf numFmtId="2" fontId="3"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3" fillId="2" borderId="32" xfId="0" applyFont="1" applyFill="1" applyBorder="1"/>
    <xf numFmtId="0" fontId="3" fillId="2" borderId="33" xfId="0" applyFont="1" applyFill="1" applyBorder="1"/>
    <xf numFmtId="14" fontId="0" fillId="0" borderId="2" xfId="0" applyNumberFormat="1" applyBorder="1" applyAlignment="1">
      <alignment horizontal="center"/>
    </xf>
    <xf numFmtId="14" fontId="0" fillId="0" borderId="3" xfId="0" applyNumberFormat="1" applyBorder="1"/>
    <xf numFmtId="0" fontId="3" fillId="2" borderId="36" xfId="0" applyFont="1" applyFill="1" applyBorder="1"/>
    <xf numFmtId="0" fontId="3" fillId="2" borderId="31" xfId="0" applyFont="1" applyFill="1" applyBorder="1"/>
    <xf numFmtId="2" fontId="0" fillId="0" borderId="4" xfId="0" applyNumberFormat="1" applyBorder="1"/>
    <xf numFmtId="2" fontId="0" fillId="0" borderId="3" xfId="0" applyNumberFormat="1" applyBorder="1"/>
    <xf numFmtId="2" fontId="0" fillId="0" borderId="51" xfId="0" applyNumberFormat="1" applyBorder="1"/>
    <xf numFmtId="0" fontId="0" fillId="0" borderId="0" xfId="0" applyAlignment="1">
      <alignment vertical="center" wrapText="1"/>
    </xf>
    <xf numFmtId="14" fontId="6" fillId="0" borderId="4" xfId="0" applyNumberFormat="1" applyFont="1" applyBorder="1"/>
    <xf numFmtId="14" fontId="6" fillId="0" borderId="51" xfId="0" applyNumberFormat="1" applyFont="1" applyBorder="1"/>
    <xf numFmtId="0" fontId="3" fillId="0" borderId="37" xfId="0" applyFont="1" applyBorder="1"/>
    <xf numFmtId="0" fontId="3" fillId="0" borderId="25" xfId="0" applyFont="1" applyBorder="1"/>
    <xf numFmtId="0" fontId="3" fillId="0" borderId="26" xfId="0" applyFont="1" applyBorder="1"/>
    <xf numFmtId="0" fontId="5" fillId="2" borderId="2" xfId="0" applyFont="1" applyFill="1" applyBorder="1"/>
    <xf numFmtId="0" fontId="5" fillId="2" borderId="3" xfId="0" applyFont="1" applyFill="1" applyBorder="1"/>
    <xf numFmtId="0" fontId="6" fillId="0" borderId="3" xfId="0" applyFont="1" applyBorder="1"/>
    <xf numFmtId="168" fontId="6" fillId="0" borderId="2" xfId="1" applyNumberFormat="1" applyFont="1" applyBorder="1"/>
    <xf numFmtId="168" fontId="6" fillId="0" borderId="3" xfId="1" applyNumberFormat="1" applyFont="1" applyBorder="1"/>
    <xf numFmtId="0" fontId="6" fillId="0" borderId="1" xfId="0" applyFont="1" applyBorder="1" applyAlignment="1">
      <alignment horizontal="center"/>
    </xf>
    <xf numFmtId="0" fontId="5" fillId="2" borderId="4" xfId="0" applyFont="1" applyFill="1" applyBorder="1"/>
    <xf numFmtId="0" fontId="0" fillId="0" borderId="0" xfId="0" applyAlignment="1">
      <alignment horizontal="center" vertical="center" wrapText="1"/>
    </xf>
    <xf numFmtId="0" fontId="0" fillId="0" borderId="57" xfId="0" applyBorder="1" applyAlignment="1">
      <alignment vertical="center" wrapText="1"/>
    </xf>
    <xf numFmtId="0" fontId="0" fillId="0" borderId="61" xfId="0" applyBorder="1" applyAlignment="1">
      <alignment vertical="center" wrapText="1"/>
    </xf>
    <xf numFmtId="0" fontId="17" fillId="0" borderId="0" xfId="0" applyFont="1" applyAlignment="1">
      <alignment horizontal="center" vertical="center" wrapText="1"/>
    </xf>
    <xf numFmtId="0" fontId="14" fillId="0" borderId="0" xfId="0" applyFont="1" applyAlignment="1">
      <alignment horizontal="center" vertical="center" wrapText="1"/>
    </xf>
    <xf numFmtId="0" fontId="17" fillId="0" borderId="57" xfId="0" applyFont="1" applyBorder="1" applyAlignment="1">
      <alignment horizontal="center" vertical="center" wrapText="1"/>
    </xf>
    <xf numFmtId="0" fontId="17" fillId="0" borderId="61" xfId="0" applyFont="1" applyBorder="1" applyAlignment="1">
      <alignment horizontal="center" vertical="center" wrapText="1"/>
    </xf>
    <xf numFmtId="14" fontId="17" fillId="0" borderId="0" xfId="0" applyNumberFormat="1" applyFont="1" applyAlignment="1">
      <alignment horizontal="center" vertical="center" wrapText="1"/>
    </xf>
    <xf numFmtId="14" fontId="14" fillId="0" borderId="0" xfId="0" applyNumberFormat="1" applyFont="1" applyAlignment="1">
      <alignment horizontal="center" vertical="center" wrapText="1"/>
    </xf>
    <xf numFmtId="0" fontId="17" fillId="0" borderId="39" xfId="0" applyFont="1" applyBorder="1" applyAlignment="1">
      <alignment horizontal="left" vertical="center" wrapText="1"/>
    </xf>
    <xf numFmtId="0" fontId="0" fillId="0" borderId="0" xfId="0" applyAlignment="1">
      <alignment horizontal="center" vertical="center"/>
    </xf>
    <xf numFmtId="0" fontId="19" fillId="6" borderId="0" xfId="0" applyFont="1" applyFill="1" applyAlignment="1">
      <alignment horizontal="center" vertical="center" wrapText="1"/>
    </xf>
    <xf numFmtId="0" fontId="20" fillId="6" borderId="0" xfId="0" applyFont="1" applyFill="1" applyAlignment="1">
      <alignment horizontal="center" vertical="center" wrapText="1"/>
    </xf>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19" fillId="0" borderId="0" xfId="0" applyFont="1" applyAlignment="1">
      <alignment horizontal="center" vertical="center" wrapText="1"/>
    </xf>
    <xf numFmtId="0" fontId="20" fillId="0" borderId="0" xfId="0" applyFont="1" applyAlignment="1">
      <alignment horizontal="center" vertical="center" wrapText="1"/>
    </xf>
    <xf numFmtId="0" fontId="23" fillId="0" borderId="0" xfId="0" applyFont="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vertical="center" wrapText="1"/>
    </xf>
    <xf numFmtId="0" fontId="21" fillId="0" borderId="0" xfId="0" applyFont="1" applyAlignment="1">
      <alignment vertical="center" wrapText="1"/>
    </xf>
    <xf numFmtId="9" fontId="0" fillId="0" borderId="0" xfId="0" applyNumberFormat="1" applyAlignment="1">
      <alignment vertical="center"/>
    </xf>
    <xf numFmtId="171" fontId="3" fillId="0" borderId="0" xfId="3" applyNumberFormat="1" applyFont="1" applyAlignment="1">
      <alignment vertical="center"/>
    </xf>
    <xf numFmtId="0" fontId="0" fillId="0" borderId="1" xfId="0" applyBorder="1" applyAlignment="1">
      <alignment vertical="center"/>
    </xf>
    <xf numFmtId="0" fontId="31" fillId="0" borderId="0" xfId="0" applyFont="1" applyAlignment="1">
      <alignment vertical="center" wrapText="1"/>
    </xf>
    <xf numFmtId="0" fontId="32" fillId="0" borderId="0" xfId="0" applyFont="1" applyAlignment="1">
      <alignment vertical="center" wrapText="1"/>
    </xf>
    <xf numFmtId="0" fontId="32" fillId="0" borderId="0" xfId="0" applyFont="1" applyAlignment="1">
      <alignment vertical="center"/>
    </xf>
    <xf numFmtId="0" fontId="31" fillId="0" borderId="0" xfId="0" applyFont="1" applyAlignment="1">
      <alignment horizontal="center" vertical="center" wrapText="1"/>
    </xf>
    <xf numFmtId="0" fontId="32" fillId="0" borderId="0" xfId="0" applyFont="1" applyAlignment="1">
      <alignment horizontal="center" vertical="center" wrapText="1"/>
    </xf>
    <xf numFmtId="0" fontId="12" fillId="5" borderId="1" xfId="0" applyFont="1" applyFill="1" applyBorder="1" applyAlignment="1">
      <alignment horizontal="center" vertical="center"/>
    </xf>
    <xf numFmtId="0" fontId="35" fillId="11" borderId="1" xfId="0" applyFont="1" applyFill="1" applyBorder="1" applyAlignment="1">
      <alignment horizontal="center" vertical="center" wrapText="1"/>
    </xf>
    <xf numFmtId="0" fontId="36" fillId="11" borderId="1" xfId="0" applyFont="1" applyFill="1" applyBorder="1" applyAlignment="1">
      <alignment horizontal="center" vertical="center" wrapText="1"/>
    </xf>
    <xf numFmtId="0" fontId="23" fillId="0" borderId="0" xfId="0" applyFont="1" applyAlignment="1">
      <alignment horizontal="center" vertical="center"/>
    </xf>
    <xf numFmtId="0" fontId="14" fillId="0" borderId="53" xfId="0" applyFont="1" applyBorder="1" applyAlignment="1">
      <alignment horizontal="center" vertical="center" wrapText="1"/>
    </xf>
    <xf numFmtId="0" fontId="29" fillId="10" borderId="23" xfId="573" applyFont="1" applyFill="1" applyBorder="1" applyAlignment="1">
      <alignment horizontal="center" vertical="center" wrapText="1"/>
    </xf>
    <xf numFmtId="168" fontId="10" fillId="0" borderId="0" xfId="0" applyNumberFormat="1"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9" fillId="0" borderId="0" xfId="0" applyFont="1" applyAlignment="1" applyProtection="1">
      <alignment vertical="center" wrapText="1"/>
      <protection locked="0"/>
    </xf>
    <xf numFmtId="0" fontId="33" fillId="0" borderId="60" xfId="0" applyFont="1" applyBorder="1" applyAlignment="1">
      <alignment horizontal="center" vertical="center" wrapText="1"/>
    </xf>
    <xf numFmtId="0" fontId="30" fillId="0" borderId="0" xfId="0" applyFont="1" applyAlignment="1">
      <alignment horizontal="center" vertical="center" wrapText="1"/>
    </xf>
    <xf numFmtId="2" fontId="14" fillId="0" borderId="0" xfId="0" applyNumberFormat="1" applyFont="1" applyAlignment="1">
      <alignment horizontal="center" vertical="center" wrapText="1"/>
    </xf>
    <xf numFmtId="0" fontId="32" fillId="0" borderId="0" xfId="0" applyFont="1" applyAlignment="1">
      <alignment horizontal="center" vertical="center"/>
    </xf>
    <xf numFmtId="0" fontId="17" fillId="0" borderId="59" xfId="0" applyFont="1" applyBorder="1" applyAlignment="1">
      <alignment horizontal="center" vertical="center" wrapText="1"/>
    </xf>
    <xf numFmtId="1" fontId="17" fillId="0" borderId="41" xfId="0" applyNumberFormat="1" applyFont="1" applyBorder="1" applyAlignment="1">
      <alignment horizontal="center" vertical="center" wrapText="1"/>
    </xf>
    <xf numFmtId="1" fontId="17" fillId="0" borderId="69" xfId="0" applyNumberFormat="1" applyFont="1" applyBorder="1" applyAlignment="1">
      <alignment horizontal="center" vertical="center" wrapText="1"/>
    </xf>
    <xf numFmtId="1" fontId="17" fillId="0" borderId="57" xfId="0" applyNumberFormat="1" applyFont="1" applyBorder="1" applyAlignment="1">
      <alignment horizontal="center" vertical="center" wrapText="1"/>
    </xf>
    <xf numFmtId="0" fontId="17" fillId="0" borderId="68" xfId="0" applyFont="1" applyBorder="1" applyAlignment="1">
      <alignment horizontal="center" vertical="center" wrapText="1"/>
    </xf>
    <xf numFmtId="0" fontId="17" fillId="0" borderId="41" xfId="0" applyFont="1" applyBorder="1" applyAlignment="1">
      <alignment horizontal="center" vertical="center" wrapText="1"/>
    </xf>
    <xf numFmtId="2" fontId="17" fillId="0" borderId="0" xfId="0" applyNumberFormat="1" applyFont="1" applyAlignment="1">
      <alignment horizontal="center" vertical="center" wrapText="1"/>
    </xf>
    <xf numFmtId="0" fontId="3" fillId="0" borderId="1" xfId="0" applyFont="1" applyBorder="1" applyAlignment="1">
      <alignment horizontal="center" vertical="center"/>
    </xf>
    <xf numFmtId="0" fontId="12" fillId="5" borderId="1" xfId="0" applyFont="1" applyFill="1" applyBorder="1" applyAlignment="1">
      <alignment horizontal="center" vertical="center" wrapText="1"/>
    </xf>
    <xf numFmtId="0" fontId="3" fillId="0" borderId="0" xfId="0" applyFont="1" applyAlignment="1">
      <alignment horizontal="center" vertical="center" wrapText="1"/>
    </xf>
    <xf numFmtId="2" fontId="8" fillId="0" borderId="1" xfId="0" applyNumberFormat="1" applyFont="1" applyBorder="1" applyAlignment="1">
      <alignment horizontal="center" vertical="center" wrapText="1"/>
    </xf>
    <xf numFmtId="166" fontId="0" fillId="0" borderId="0" xfId="576" applyFont="1" applyAlignment="1">
      <alignment vertical="center"/>
    </xf>
    <xf numFmtId="0" fontId="0" fillId="0" borderId="20" xfId="0" applyBorder="1" applyAlignment="1">
      <alignment vertical="center"/>
    </xf>
    <xf numFmtId="41" fontId="0" fillId="0" borderId="8" xfId="575" applyFont="1" applyBorder="1" applyAlignment="1">
      <alignment vertical="center"/>
    </xf>
    <xf numFmtId="41" fontId="0" fillId="0" borderId="53" xfId="575" applyFont="1" applyBorder="1" applyAlignment="1">
      <alignment vertical="center"/>
    </xf>
    <xf numFmtId="0" fontId="0" fillId="13" borderId="55" xfId="0" applyFill="1" applyBorder="1" applyAlignment="1">
      <alignment vertical="center"/>
    </xf>
    <xf numFmtId="0" fontId="21" fillId="0" borderId="0" xfId="0" applyFont="1" applyAlignment="1">
      <alignment horizontal="center" vertical="center" wrapText="1"/>
    </xf>
    <xf numFmtId="0" fontId="0" fillId="0" borderId="1" xfId="0" applyBorder="1" applyAlignment="1">
      <alignment horizontal="center" vertical="center" wrapText="1"/>
    </xf>
    <xf numFmtId="0" fontId="41" fillId="0" borderId="0" xfId="0" applyFont="1" applyAlignment="1">
      <alignment vertical="center" wrapText="1"/>
    </xf>
    <xf numFmtId="0" fontId="1" fillId="0" borderId="0" xfId="0" applyFont="1" applyAlignment="1">
      <alignment horizontal="center" vertical="center" wrapText="1"/>
    </xf>
    <xf numFmtId="0" fontId="23" fillId="0" borderId="0" xfId="0" applyFont="1" applyAlignment="1">
      <alignment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wrapText="1"/>
    </xf>
    <xf numFmtId="0" fontId="43" fillId="0" borderId="0" xfId="0" applyFont="1" applyAlignment="1">
      <alignment horizontal="center" vertical="center" wrapText="1"/>
    </xf>
    <xf numFmtId="0" fontId="44" fillId="0" borderId="0" xfId="0" applyFont="1" applyAlignment="1">
      <alignment horizontal="center" vertical="center" wrapText="1"/>
    </xf>
    <xf numFmtId="0" fontId="45" fillId="0" borderId="0" xfId="0" applyFont="1" applyAlignment="1">
      <alignment horizontal="center" vertical="center" wrapText="1"/>
    </xf>
    <xf numFmtId="0" fontId="36" fillId="0" borderId="0" xfId="0" applyFont="1" applyAlignment="1">
      <alignment horizontal="center" vertical="center" wrapText="1"/>
    </xf>
    <xf numFmtId="0" fontId="0" fillId="3" borderId="0" xfId="0" applyFill="1" applyAlignment="1">
      <alignment vertical="center"/>
    </xf>
    <xf numFmtId="0" fontId="10" fillId="0" borderId="0" xfId="0" applyFont="1" applyAlignment="1" applyProtection="1">
      <alignment vertical="center" wrapText="1"/>
      <protection locked="0"/>
    </xf>
    <xf numFmtId="0" fontId="34" fillId="0" borderId="0" xfId="0" applyFont="1" applyAlignment="1" applyProtection="1">
      <alignment horizontal="center" vertical="center" wrapText="1"/>
      <protection locked="0"/>
    </xf>
    <xf numFmtId="0" fontId="43" fillId="0" borderId="0" xfId="0" applyFont="1" applyAlignment="1" applyProtection="1">
      <alignment horizontal="center" vertical="center" wrapText="1"/>
      <protection locked="0"/>
    </xf>
    <xf numFmtId="0" fontId="44" fillId="0" borderId="0" xfId="0" applyFont="1" applyAlignment="1" applyProtection="1">
      <alignment horizontal="center" vertical="center" wrapText="1"/>
      <protection locked="0"/>
    </xf>
    <xf numFmtId="9" fontId="44" fillId="0" borderId="0" xfId="2" applyFont="1" applyAlignment="1" applyProtection="1">
      <alignment horizontal="center" vertical="center" wrapText="1"/>
      <protection locked="0"/>
    </xf>
    <xf numFmtId="0" fontId="45"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40" fillId="0" borderId="0" xfId="0" applyFont="1" applyAlignment="1" applyProtection="1">
      <alignment vertical="center" wrapText="1"/>
      <protection locked="0"/>
    </xf>
    <xf numFmtId="168" fontId="9" fillId="0" borderId="0" xfId="1" applyNumberFormat="1" applyFont="1" applyAlignment="1" applyProtection="1">
      <alignment vertical="center" wrapText="1"/>
      <protection locked="0"/>
    </xf>
    <xf numFmtId="168" fontId="9" fillId="0" borderId="0" xfId="1" applyNumberFormat="1" applyFont="1" applyAlignment="1" applyProtection="1">
      <alignment horizontal="center" vertical="center" wrapText="1"/>
      <protection locked="0"/>
    </xf>
    <xf numFmtId="0" fontId="46" fillId="0" borderId="0" xfId="0" applyFont="1" applyAlignment="1" applyProtection="1">
      <alignment horizontal="center" vertical="center"/>
      <protection locked="0"/>
    </xf>
    <xf numFmtId="168" fontId="5" fillId="0" borderId="0" xfId="1" applyNumberFormat="1" applyFont="1" applyAlignment="1" applyProtection="1">
      <alignment horizontal="center" vertical="center" wrapText="1"/>
      <protection locked="0"/>
    </xf>
    <xf numFmtId="0" fontId="5" fillId="0" borderId="0" xfId="0" applyFont="1" applyAlignment="1" applyProtection="1">
      <alignment vertical="center"/>
      <protection locked="0"/>
    </xf>
    <xf numFmtId="0" fontId="46" fillId="0" borderId="0" xfId="0" applyFont="1" applyAlignment="1" applyProtection="1">
      <alignment vertical="center" wrapText="1"/>
      <protection locked="0"/>
    </xf>
    <xf numFmtId="2" fontId="9" fillId="0" borderId="0" xfId="1" applyNumberFormat="1" applyFont="1" applyAlignment="1" applyProtection="1">
      <alignment vertical="center" wrapText="1"/>
      <protection locked="0"/>
    </xf>
    <xf numFmtId="0" fontId="39"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168" fontId="5" fillId="0" borderId="26" xfId="1" applyNumberFormat="1" applyFont="1" applyBorder="1" applyAlignment="1" applyProtection="1">
      <alignment horizontal="center" vertical="center" wrapText="1"/>
      <protection locked="0"/>
    </xf>
    <xf numFmtId="1" fontId="9" fillId="17" borderId="9" xfId="1" applyNumberFormat="1" applyFont="1" applyFill="1" applyBorder="1" applyAlignment="1" applyProtection="1">
      <alignment vertical="center" wrapText="1"/>
      <protection locked="0"/>
    </xf>
    <xf numFmtId="0" fontId="14" fillId="14" borderId="20" xfId="0" applyFont="1" applyFill="1" applyBorder="1" applyAlignment="1">
      <alignment horizontal="center" vertical="center" wrapText="1"/>
    </xf>
    <xf numFmtId="0" fontId="17" fillId="14" borderId="13" xfId="0" applyFont="1" applyFill="1" applyBorder="1" applyAlignment="1">
      <alignment horizontal="center" vertical="center" wrapText="1"/>
    </xf>
    <xf numFmtId="1" fontId="17" fillId="14" borderId="13" xfId="0" applyNumberFormat="1" applyFont="1" applyFill="1" applyBorder="1" applyAlignment="1">
      <alignment horizontal="center" vertical="center" wrapText="1"/>
    </xf>
    <xf numFmtId="14" fontId="17" fillId="14" borderId="13" xfId="0" applyNumberFormat="1" applyFont="1" applyFill="1" applyBorder="1" applyAlignment="1">
      <alignment horizontal="center" vertical="center" wrapText="1"/>
    </xf>
    <xf numFmtId="14" fontId="17" fillId="15" borderId="18" xfId="0" applyNumberFormat="1" applyFont="1" applyFill="1" applyBorder="1" applyAlignment="1">
      <alignment horizontal="center" vertical="center" wrapText="1"/>
    </xf>
    <xf numFmtId="1" fontId="17" fillId="14" borderId="18" xfId="0" applyNumberFormat="1" applyFont="1" applyFill="1" applyBorder="1" applyAlignment="1">
      <alignment horizontal="center" vertical="center" wrapText="1"/>
    </xf>
    <xf numFmtId="14" fontId="17" fillId="14" borderId="18" xfId="0" applyNumberFormat="1" applyFont="1" applyFill="1" applyBorder="1" applyAlignment="1">
      <alignment horizontal="center" vertical="center" wrapText="1"/>
    </xf>
    <xf numFmtId="0" fontId="13" fillId="16" borderId="24" xfId="0" applyFont="1" applyFill="1" applyBorder="1" applyAlignment="1">
      <alignment horizontal="center" vertical="center" wrapText="1"/>
    </xf>
    <xf numFmtId="0" fontId="13" fillId="16" borderId="9" xfId="0" applyFont="1" applyFill="1" applyBorder="1" applyAlignment="1">
      <alignment horizontal="center" vertical="center" wrapText="1"/>
    </xf>
    <xf numFmtId="0" fontId="14" fillId="16" borderId="9" xfId="0" applyFont="1" applyFill="1" applyBorder="1" applyAlignment="1">
      <alignment horizontal="center" vertical="center" wrapText="1"/>
    </xf>
    <xf numFmtId="170" fontId="14" fillId="16" borderId="55" xfId="0" applyNumberFormat="1" applyFont="1" applyFill="1" applyBorder="1" applyAlignment="1">
      <alignment horizontal="center" vertical="center" wrapText="1"/>
    </xf>
    <xf numFmtId="0" fontId="14" fillId="0" borderId="19" xfId="0" applyFont="1" applyBorder="1" applyAlignment="1">
      <alignment horizontal="center" vertical="center" wrapText="1"/>
    </xf>
    <xf numFmtId="0" fontId="30" fillId="0" borderId="19" xfId="0" applyFont="1" applyBorder="1" applyAlignment="1">
      <alignment horizontal="center" vertical="center" wrapText="1"/>
    </xf>
    <xf numFmtId="1" fontId="14" fillId="0" borderId="55" xfId="0" applyNumberFormat="1" applyFont="1" applyBorder="1" applyAlignment="1">
      <alignment horizontal="center" vertical="center" wrapText="1"/>
    </xf>
    <xf numFmtId="170" fontId="14" fillId="0" borderId="55" xfId="0" applyNumberFormat="1" applyFont="1" applyBorder="1" applyAlignment="1">
      <alignment horizontal="center" vertical="center" wrapText="1"/>
    </xf>
    <xf numFmtId="0" fontId="27" fillId="0" borderId="19" xfId="0" applyFont="1" applyBorder="1" applyAlignment="1">
      <alignment horizontal="center" vertical="center" wrapText="1"/>
    </xf>
    <xf numFmtId="0" fontId="6" fillId="0" borderId="9" xfId="0" applyFont="1" applyBorder="1" applyAlignment="1">
      <alignment horizontal="center" vertical="center" wrapText="1"/>
    </xf>
    <xf numFmtId="0" fontId="6" fillId="9" borderId="9" xfId="574" applyFont="1" applyFill="1" applyBorder="1" applyAlignment="1">
      <alignment horizontal="center" vertical="center" wrapText="1"/>
    </xf>
    <xf numFmtId="0" fontId="6" fillId="0" borderId="9" xfId="574" applyFont="1" applyBorder="1" applyAlignment="1">
      <alignment horizontal="center" vertical="center" wrapText="1"/>
    </xf>
    <xf numFmtId="0" fontId="3" fillId="0" borderId="9" xfId="0" applyFont="1" applyBorder="1" applyAlignment="1">
      <alignment horizontal="center" vertical="center" wrapText="1"/>
    </xf>
    <xf numFmtId="0" fontId="30" fillId="10" borderId="19" xfId="0" applyFont="1" applyFill="1" applyBorder="1" applyAlignment="1">
      <alignment horizontal="center" vertical="center" wrapText="1"/>
    </xf>
    <xf numFmtId="0" fontId="47" fillId="10" borderId="73" xfId="573" applyFont="1" applyFill="1" applyBorder="1" applyAlignment="1">
      <alignment horizontal="center" vertical="center" wrapText="1"/>
    </xf>
    <xf numFmtId="0" fontId="46" fillId="0" borderId="1" xfId="0" applyFont="1" applyBorder="1" applyAlignment="1">
      <alignment horizontal="center" vertical="center" wrapText="1"/>
    </xf>
    <xf numFmtId="0" fontId="6" fillId="0" borderId="1" xfId="0" applyFont="1" applyBorder="1" applyAlignment="1">
      <alignment horizontal="left" vertical="top" indent="5"/>
    </xf>
    <xf numFmtId="0" fontId="48" fillId="0" borderId="0" xfId="0" applyFont="1" applyAlignment="1" applyProtection="1">
      <alignment vertical="center" wrapText="1"/>
      <protection locked="0"/>
    </xf>
    <xf numFmtId="168" fontId="49" fillId="17" borderId="72" xfId="1" applyNumberFormat="1" applyFont="1" applyFill="1" applyBorder="1" applyAlignment="1" applyProtection="1">
      <alignment horizontal="center" vertical="center" wrapText="1"/>
      <protection locked="0"/>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0" fontId="13" fillId="16" borderId="44" xfId="0" applyFont="1" applyFill="1" applyBorder="1" applyAlignment="1">
      <alignment horizontal="center" vertical="center" wrapText="1"/>
    </xf>
    <xf numFmtId="0" fontId="18" fillId="16" borderId="21" xfId="0" applyFont="1" applyFill="1" applyBorder="1" applyAlignment="1">
      <alignment horizontal="center" vertical="center" wrapText="1"/>
    </xf>
    <xf numFmtId="0" fontId="18" fillId="12" borderId="21" xfId="0" applyFont="1" applyFill="1" applyBorder="1" applyAlignment="1">
      <alignment horizontal="center" vertical="center" wrapText="1"/>
    </xf>
    <xf numFmtId="0" fontId="18" fillId="12" borderId="24" xfId="0" applyFont="1" applyFill="1" applyBorder="1" applyAlignment="1">
      <alignment horizontal="center" vertical="center" wrapText="1"/>
    </xf>
    <xf numFmtId="0" fontId="18" fillId="17" borderId="9" xfId="0" applyFont="1" applyFill="1" applyBorder="1" applyAlignment="1">
      <alignment horizontal="center" vertical="center" wrapText="1"/>
    </xf>
    <xf numFmtId="0" fontId="18" fillId="17" borderId="25" xfId="0" applyFont="1" applyFill="1" applyBorder="1" applyAlignment="1">
      <alignment horizontal="center" vertical="center" wrapText="1"/>
    </xf>
    <xf numFmtId="2" fontId="33" fillId="10" borderId="1" xfId="0" applyNumberFormat="1" applyFont="1" applyFill="1" applyBorder="1" applyAlignment="1">
      <alignment horizontal="center" vertical="center" wrapText="1"/>
    </xf>
    <xf numFmtId="168" fontId="10" fillId="0" borderId="0" xfId="0" applyNumberFormat="1" applyFont="1" applyAlignment="1" applyProtection="1">
      <alignment vertical="center" wrapText="1"/>
      <protection locked="0"/>
    </xf>
    <xf numFmtId="0" fontId="13" fillId="16" borderId="59" xfId="0" applyFont="1" applyFill="1" applyBorder="1" applyAlignment="1">
      <alignment horizontal="center" vertical="center" wrapText="1"/>
    </xf>
    <xf numFmtId="0" fontId="17" fillId="4" borderId="19" xfId="0" applyFont="1" applyFill="1" applyBorder="1" applyAlignment="1">
      <alignment horizontal="center" vertical="center" wrapText="1"/>
    </xf>
    <xf numFmtId="1" fontId="14" fillId="0" borderId="1" xfId="0" applyNumberFormat="1" applyFont="1" applyBorder="1" applyAlignment="1">
      <alignment horizontal="center" vertical="center" wrapText="1"/>
    </xf>
    <xf numFmtId="0" fontId="30" fillId="0" borderId="16" xfId="0" applyFont="1" applyBorder="1" applyAlignment="1">
      <alignment horizontal="center" vertical="center" wrapText="1"/>
    </xf>
    <xf numFmtId="0" fontId="13" fillId="16" borderId="62" xfId="0" applyFont="1" applyFill="1" applyBorder="1" applyAlignment="1">
      <alignment vertical="center" wrapText="1"/>
    </xf>
    <xf numFmtId="0" fontId="12" fillId="0" borderId="0" xfId="0" applyFont="1" applyAlignment="1">
      <alignment horizontal="center" vertical="center" wrapText="1"/>
    </xf>
    <xf numFmtId="2" fontId="13" fillId="16" borderId="13" xfId="0" applyNumberFormat="1" applyFont="1" applyFill="1" applyBorder="1" applyAlignment="1">
      <alignment horizontal="center" vertical="center" wrapText="1"/>
    </xf>
    <xf numFmtId="0" fontId="18" fillId="16" borderId="9" xfId="0" applyFont="1" applyFill="1" applyBorder="1" applyAlignment="1">
      <alignment horizontal="center" vertical="center" wrapText="1"/>
    </xf>
    <xf numFmtId="14" fontId="17" fillId="0" borderId="13" xfId="0" applyNumberFormat="1" applyFont="1" applyBorder="1" applyAlignment="1">
      <alignment horizontal="center" vertical="center" wrapText="1"/>
    </xf>
    <xf numFmtId="0" fontId="14" fillId="4" borderId="20" xfId="0" applyFont="1" applyFill="1" applyBorder="1" applyAlignment="1">
      <alignment horizontal="center" vertical="center" wrapText="1"/>
    </xf>
    <xf numFmtId="0" fontId="17" fillId="4" borderId="13" xfId="0" applyFont="1" applyFill="1" applyBorder="1" applyAlignment="1">
      <alignment horizontal="center" vertical="center" wrapText="1"/>
    </xf>
    <xf numFmtId="1" fontId="17" fillId="4" borderId="13" xfId="0" applyNumberFormat="1" applyFont="1" applyFill="1" applyBorder="1" applyAlignment="1">
      <alignment horizontal="center" vertical="center" wrapText="1"/>
    </xf>
    <xf numFmtId="14" fontId="17" fillId="4" borderId="13" xfId="0" applyNumberFormat="1" applyFont="1" applyFill="1" applyBorder="1" applyAlignment="1">
      <alignment horizontal="center" vertical="center" wrapText="1"/>
    </xf>
    <xf numFmtId="2" fontId="17" fillId="4" borderId="15" xfId="0" applyNumberFormat="1" applyFont="1" applyFill="1" applyBorder="1" applyAlignment="1">
      <alignment horizontal="center" vertical="center" wrapText="1"/>
    </xf>
    <xf numFmtId="0" fontId="14" fillId="4" borderId="40" xfId="0" applyFont="1" applyFill="1" applyBorder="1" applyAlignment="1">
      <alignment horizontal="center" vertical="center" wrapText="1"/>
    </xf>
    <xf numFmtId="0" fontId="17" fillId="4" borderId="39" xfId="0" applyFont="1" applyFill="1" applyBorder="1" applyAlignment="1">
      <alignment horizontal="center" vertical="center" wrapText="1"/>
    </xf>
    <xf numFmtId="14" fontId="17" fillId="4" borderId="39" xfId="0" applyNumberFormat="1" applyFont="1" applyFill="1" applyBorder="1" applyAlignment="1">
      <alignment horizontal="center" vertical="center" wrapText="1"/>
    </xf>
    <xf numFmtId="14" fontId="14" fillId="4" borderId="70" xfId="0" applyNumberFormat="1" applyFont="1" applyFill="1" applyBorder="1" applyAlignment="1">
      <alignment horizontal="center" vertical="center" wrapText="1"/>
    </xf>
    <xf numFmtId="14" fontId="14" fillId="4" borderId="56" xfId="0" applyNumberFormat="1" applyFont="1" applyFill="1" applyBorder="1" applyAlignment="1">
      <alignment horizontal="center" vertical="center" wrapText="1"/>
    </xf>
    <xf numFmtId="14" fontId="17" fillId="4" borderId="4" xfId="0" applyNumberFormat="1" applyFont="1" applyFill="1" applyBorder="1" applyAlignment="1">
      <alignment horizontal="center" vertical="center" wrapText="1"/>
    </xf>
    <xf numFmtId="14" fontId="17" fillId="4" borderId="18" xfId="0" applyNumberFormat="1" applyFont="1" applyFill="1" applyBorder="1" applyAlignment="1">
      <alignment horizontal="center" vertical="center" wrapText="1"/>
    </xf>
    <xf numFmtId="0" fontId="17" fillId="4" borderId="18" xfId="0" applyFont="1" applyFill="1" applyBorder="1" applyAlignment="1">
      <alignment horizontal="center" vertical="center" wrapText="1"/>
    </xf>
    <xf numFmtId="2" fontId="17" fillId="4" borderId="18" xfId="0" applyNumberFormat="1" applyFont="1" applyFill="1" applyBorder="1" applyAlignment="1">
      <alignment horizontal="center" vertical="center" wrapText="1"/>
    </xf>
    <xf numFmtId="49" fontId="17" fillId="4" borderId="4" xfId="0" applyNumberFormat="1" applyFont="1" applyFill="1" applyBorder="1" applyAlignment="1">
      <alignment horizontal="center" vertical="center" wrapText="1"/>
    </xf>
    <xf numFmtId="49" fontId="17" fillId="4" borderId="18" xfId="0" applyNumberFormat="1" applyFont="1" applyFill="1" applyBorder="1" applyAlignment="1">
      <alignment horizontal="center" vertical="center" wrapText="1"/>
    </xf>
    <xf numFmtId="1" fontId="17" fillId="4" borderId="18" xfId="0" applyNumberFormat="1" applyFont="1" applyFill="1" applyBorder="1" applyAlignment="1">
      <alignment horizontal="center" vertical="center" wrapText="1"/>
    </xf>
    <xf numFmtId="1" fontId="17" fillId="4" borderId="4" xfId="0" applyNumberFormat="1" applyFont="1" applyFill="1" applyBorder="1" applyAlignment="1">
      <alignment horizontal="center" vertical="center" wrapText="1"/>
    </xf>
    <xf numFmtId="2" fontId="17" fillId="4" borderId="4" xfId="0" applyNumberFormat="1" applyFont="1" applyFill="1" applyBorder="1" applyAlignment="1">
      <alignment horizontal="center" vertical="center" wrapText="1"/>
    </xf>
    <xf numFmtId="0" fontId="17" fillId="4" borderId="4" xfId="0" applyFont="1" applyFill="1" applyBorder="1" applyAlignment="1">
      <alignment horizontal="center" vertical="center" wrapText="1"/>
    </xf>
    <xf numFmtId="0" fontId="14" fillId="0" borderId="58" xfId="0" applyFont="1" applyBorder="1" applyAlignment="1">
      <alignment horizontal="left" vertical="center" wrapText="1"/>
    </xf>
    <xf numFmtId="0" fontId="17" fillId="14" borderId="73" xfId="0" applyFont="1" applyFill="1" applyBorder="1" applyAlignment="1">
      <alignment horizontal="center" vertical="center" wrapText="1"/>
    </xf>
    <xf numFmtId="2" fontId="17" fillId="4" borderId="74" xfId="0" applyNumberFormat="1" applyFont="1" applyFill="1" applyBorder="1" applyAlignment="1">
      <alignment horizontal="center" vertical="center" wrapText="1"/>
    </xf>
    <xf numFmtId="2" fontId="14" fillId="4" borderId="74" xfId="0" applyNumberFormat="1" applyFont="1" applyFill="1" applyBorder="1" applyAlignment="1">
      <alignment horizontal="center" vertical="center" wrapText="1"/>
    </xf>
    <xf numFmtId="2" fontId="14" fillId="4" borderId="58" xfId="0" applyNumberFormat="1" applyFont="1" applyFill="1" applyBorder="1" applyAlignment="1">
      <alignment horizontal="center" vertical="center" wrapText="1"/>
    </xf>
    <xf numFmtId="0" fontId="17" fillId="4" borderId="61" xfId="0" applyFont="1" applyFill="1" applyBorder="1" applyAlignment="1">
      <alignment horizontal="center" vertical="center" wrapText="1"/>
    </xf>
    <xf numFmtId="0" fontId="17" fillId="4" borderId="73" xfId="0" applyFont="1" applyFill="1" applyBorder="1" applyAlignment="1">
      <alignment horizontal="center" vertical="center" wrapText="1"/>
    </xf>
    <xf numFmtId="14" fontId="14" fillId="4" borderId="55" xfId="0" applyNumberFormat="1" applyFont="1" applyFill="1" applyBorder="1" applyAlignment="1">
      <alignment horizontal="center" vertical="center" wrapText="1"/>
    </xf>
    <xf numFmtId="2" fontId="13" fillId="16" borderId="27" xfId="0" applyNumberFormat="1" applyFont="1" applyFill="1" applyBorder="1" applyAlignment="1">
      <alignment horizontal="center" vertical="center" wrapText="1"/>
    </xf>
    <xf numFmtId="0" fontId="18" fillId="12" borderId="9" xfId="0" applyFont="1" applyFill="1" applyBorder="1" applyAlignment="1">
      <alignment horizontal="center" vertical="center" wrapText="1"/>
    </xf>
    <xf numFmtId="2" fontId="13" fillId="16" borderId="18" xfId="0" applyNumberFormat="1" applyFont="1" applyFill="1" applyBorder="1" applyAlignment="1">
      <alignment horizontal="center" vertical="center" wrapText="1"/>
    </xf>
    <xf numFmtId="0" fontId="12" fillId="0" borderId="0" xfId="0" applyFont="1" applyAlignment="1">
      <alignment vertical="center"/>
    </xf>
    <xf numFmtId="0" fontId="0" fillId="0" borderId="8" xfId="0" applyBorder="1" applyAlignment="1">
      <alignment horizontal="center" vertical="center" wrapText="1"/>
    </xf>
    <xf numFmtId="0" fontId="50" fillId="16" borderId="75" xfId="574" applyFont="1" applyFill="1" applyBorder="1" applyAlignment="1">
      <alignment horizontal="center" vertical="center" wrapText="1"/>
    </xf>
    <xf numFmtId="0" fontId="50" fillId="16" borderId="60" xfId="574" applyFont="1" applyFill="1" applyBorder="1" applyAlignment="1">
      <alignment horizontal="center" vertical="center" wrapText="1"/>
    </xf>
    <xf numFmtId="0" fontId="3" fillId="0" borderId="53" xfId="0" applyFont="1" applyBorder="1" applyAlignment="1">
      <alignment horizontal="center" vertical="center"/>
    </xf>
    <xf numFmtId="0" fontId="3" fillId="0" borderId="14" xfId="0" applyFont="1" applyBorder="1" applyAlignment="1">
      <alignment horizontal="center" vertical="center"/>
    </xf>
    <xf numFmtId="0" fontId="29" fillId="16" borderId="27" xfId="0" applyFont="1" applyFill="1" applyBorder="1" applyAlignment="1" applyProtection="1">
      <alignment horizontal="center" vertical="center" wrapText="1"/>
      <protection locked="0"/>
    </xf>
    <xf numFmtId="0" fontId="29" fillId="16" borderId="28" xfId="0" applyFont="1" applyFill="1" applyBorder="1" applyAlignment="1" applyProtection="1">
      <alignment horizontal="center" vertical="center" wrapText="1"/>
      <protection locked="0"/>
    </xf>
    <xf numFmtId="0" fontId="29" fillId="16" borderId="29" xfId="0" applyFont="1" applyFill="1" applyBorder="1" applyAlignment="1" applyProtection="1">
      <alignment horizontal="center" vertical="center" wrapText="1"/>
      <protection locked="0"/>
    </xf>
    <xf numFmtId="0" fontId="29" fillId="16" borderId="23" xfId="0" applyFont="1" applyFill="1" applyBorder="1" applyAlignment="1" applyProtection="1">
      <alignment horizontal="center" vertical="center" wrapText="1"/>
      <protection locked="0"/>
    </xf>
    <xf numFmtId="0" fontId="29" fillId="17" borderId="23" xfId="0" applyFont="1" applyFill="1" applyBorder="1" applyAlignment="1" applyProtection="1">
      <alignment horizontal="center" vertical="center" wrapText="1"/>
      <protection locked="0"/>
    </xf>
    <xf numFmtId="1" fontId="47" fillId="0" borderId="44" xfId="2" applyNumberFormat="1" applyFont="1" applyBorder="1" applyAlignment="1" applyProtection="1">
      <alignment vertical="center" wrapText="1"/>
      <protection locked="0"/>
    </xf>
    <xf numFmtId="1" fontId="47" fillId="0" borderId="32" xfId="2" applyNumberFormat="1" applyFont="1" applyBorder="1" applyAlignment="1" applyProtection="1">
      <alignment vertical="center" wrapText="1"/>
      <protection locked="0"/>
    </xf>
    <xf numFmtId="1" fontId="47" fillId="0" borderId="33" xfId="2" applyNumberFormat="1" applyFont="1" applyBorder="1" applyAlignment="1" applyProtection="1">
      <alignment vertical="center" wrapText="1"/>
      <protection locked="0"/>
    </xf>
    <xf numFmtId="0" fontId="47" fillId="0" borderId="44" xfId="0" applyFont="1" applyBorder="1" applyAlignment="1" applyProtection="1">
      <alignment vertical="center" wrapText="1"/>
      <protection locked="0"/>
    </xf>
    <xf numFmtId="0" fontId="47" fillId="0" borderId="32" xfId="0" applyFont="1" applyBorder="1" applyAlignment="1" applyProtection="1">
      <alignment vertical="center" wrapText="1"/>
      <protection locked="0"/>
    </xf>
    <xf numFmtId="0" fontId="47" fillId="0" borderId="33" xfId="0" applyFont="1" applyBorder="1" applyAlignment="1" applyProtection="1">
      <alignment vertical="center" wrapText="1"/>
      <protection locked="0"/>
    </xf>
    <xf numFmtId="0" fontId="47" fillId="0" borderId="39" xfId="0" applyFont="1" applyBorder="1" applyAlignment="1" applyProtection="1">
      <alignment vertical="center" wrapText="1"/>
      <protection locked="0"/>
    </xf>
    <xf numFmtId="0" fontId="47" fillId="0" borderId="4" xfId="0" applyFont="1" applyBorder="1" applyAlignment="1" applyProtection="1">
      <alignment vertical="center" wrapText="1"/>
      <protection locked="0"/>
    </xf>
    <xf numFmtId="0" fontId="47" fillId="0" borderId="51" xfId="0" applyFont="1" applyBorder="1" applyAlignment="1" applyProtection="1">
      <alignment vertical="center" wrapText="1"/>
      <protection locked="0"/>
    </xf>
    <xf numFmtId="0" fontId="47" fillId="0" borderId="39" xfId="0" applyFont="1" applyBorder="1" applyAlignment="1" applyProtection="1">
      <alignment horizontal="left" vertical="center" wrapText="1"/>
      <protection locked="0"/>
    </xf>
    <xf numFmtId="0" fontId="47" fillId="0" borderId="4" xfId="0" applyFont="1" applyBorder="1" applyAlignment="1" applyProtection="1">
      <alignment horizontal="left" vertical="center" wrapText="1"/>
      <protection locked="0"/>
    </xf>
    <xf numFmtId="0" fontId="47" fillId="0" borderId="51" xfId="0" applyFont="1" applyBorder="1" applyAlignment="1" applyProtection="1">
      <alignment horizontal="left" vertical="center" wrapText="1"/>
      <protection locked="0"/>
    </xf>
    <xf numFmtId="0" fontId="47" fillId="0" borderId="47" xfId="0" applyFont="1" applyBorder="1" applyAlignment="1" applyProtection="1">
      <alignment vertical="center" wrapText="1"/>
      <protection locked="0"/>
    </xf>
    <xf numFmtId="0" fontId="47" fillId="0" borderId="45" xfId="0" applyFont="1" applyBorder="1" applyAlignment="1" applyProtection="1">
      <alignment vertical="center" wrapText="1"/>
      <protection locked="0"/>
    </xf>
    <xf numFmtId="0" fontId="47" fillId="0" borderId="35" xfId="0" applyFont="1" applyBorder="1" applyAlignment="1" applyProtection="1">
      <alignment vertical="center" wrapText="1"/>
      <protection locked="0"/>
    </xf>
    <xf numFmtId="9" fontId="47" fillId="0" borderId="12" xfId="2" applyFont="1" applyBorder="1" applyAlignment="1" applyProtection="1">
      <alignment vertical="center" wrapText="1"/>
      <protection locked="0"/>
    </xf>
    <xf numFmtId="9" fontId="47" fillId="0" borderId="14" xfId="2" applyFont="1" applyBorder="1" applyAlignment="1" applyProtection="1">
      <alignment vertical="center" wrapText="1"/>
      <protection locked="0"/>
    </xf>
    <xf numFmtId="9" fontId="47" fillId="0" borderId="14" xfId="2" applyFont="1" applyBorder="1" applyAlignment="1" applyProtection="1">
      <alignment horizontal="center" vertical="center" wrapText="1"/>
      <protection locked="0"/>
    </xf>
    <xf numFmtId="9" fontId="47" fillId="0" borderId="17" xfId="2" applyFont="1" applyBorder="1" applyAlignment="1" applyProtection="1">
      <alignment horizontal="center" vertical="center" wrapText="1"/>
      <protection locked="0"/>
    </xf>
    <xf numFmtId="0" fontId="47" fillId="0" borderId="13" xfId="0" applyFont="1" applyBorder="1" applyAlignment="1" applyProtection="1">
      <alignment vertical="center" wrapText="1"/>
      <protection locked="0"/>
    </xf>
    <xf numFmtId="0" fontId="47" fillId="0" borderId="3" xfId="0" applyFont="1" applyBorder="1" applyAlignment="1" applyProtection="1">
      <alignment vertical="center" wrapText="1"/>
      <protection locked="0"/>
    </xf>
    <xf numFmtId="9" fontId="5" fillId="0" borderId="1" xfId="2" applyFont="1" applyBorder="1" applyAlignment="1">
      <alignment horizontal="center" vertical="center" wrapText="1"/>
    </xf>
    <xf numFmtId="0" fontId="50" fillId="16" borderId="24" xfId="0" applyFont="1" applyFill="1" applyBorder="1" applyAlignment="1" applyProtection="1">
      <alignment vertical="center"/>
      <protection locked="0"/>
    </xf>
    <xf numFmtId="0" fontId="36" fillId="0" borderId="24" xfId="0" applyFont="1" applyBorder="1" applyAlignment="1" applyProtection="1">
      <alignment horizontal="center" vertical="center" wrapText="1"/>
      <protection locked="0"/>
    </xf>
    <xf numFmtId="0" fontId="36" fillId="0" borderId="21" xfId="0" applyFont="1" applyBorder="1" applyAlignment="1" applyProtection="1">
      <alignment vertical="center" wrapText="1"/>
      <protection locked="0"/>
    </xf>
    <xf numFmtId="0" fontId="36" fillId="0" borderId="22" xfId="0" applyFont="1" applyBorder="1" applyAlignment="1" applyProtection="1">
      <alignment vertical="center" wrapText="1"/>
      <protection locked="0"/>
    </xf>
    <xf numFmtId="0" fontId="0" fillId="0" borderId="16" xfId="0" applyBorder="1" applyAlignment="1">
      <alignment horizontal="center" vertical="center"/>
    </xf>
    <xf numFmtId="0" fontId="3" fillId="0" borderId="17" xfId="0" applyFont="1" applyBorder="1" applyAlignment="1">
      <alignment horizontal="center" vertical="center"/>
    </xf>
    <xf numFmtId="0" fontId="8" fillId="0" borderId="16" xfId="0" applyFont="1" applyBorder="1" applyAlignment="1">
      <alignment horizontal="center" vertical="center" wrapText="1"/>
    </xf>
    <xf numFmtId="2" fontId="8" fillId="0" borderId="8" xfId="0" applyNumberFormat="1" applyFont="1" applyBorder="1" applyAlignment="1">
      <alignment horizontal="center" vertical="center" wrapText="1"/>
    </xf>
    <xf numFmtId="0" fontId="50" fillId="16" borderId="66" xfId="0" applyFont="1" applyFill="1" applyBorder="1" applyAlignment="1">
      <alignment horizontal="center" vertical="center"/>
    </xf>
    <xf numFmtId="0" fontId="50" fillId="16" borderId="9" xfId="0" applyFont="1" applyFill="1" applyBorder="1" applyAlignment="1">
      <alignment horizontal="center" vertical="center"/>
    </xf>
    <xf numFmtId="0" fontId="3" fillId="9" borderId="53" xfId="0" applyFont="1" applyFill="1" applyBorder="1" applyAlignment="1">
      <alignment horizontal="center" vertical="center"/>
    </xf>
    <xf numFmtId="0" fontId="3" fillId="9" borderId="14" xfId="0" applyFont="1" applyFill="1" applyBorder="1" applyAlignment="1">
      <alignment horizontal="center" vertical="center"/>
    </xf>
    <xf numFmtId="0" fontId="3" fillId="9" borderId="17" xfId="0" applyFont="1" applyFill="1" applyBorder="1" applyAlignment="1">
      <alignment horizontal="center" vertical="center"/>
    </xf>
    <xf numFmtId="0" fontId="17" fillId="0" borderId="73" xfId="0" applyFont="1" applyBorder="1" applyAlignment="1">
      <alignment horizontal="center" vertical="center" wrapText="1"/>
    </xf>
    <xf numFmtId="2" fontId="17" fillId="0" borderId="15" xfId="0" applyNumberFormat="1" applyFont="1" applyBorder="1" applyAlignment="1">
      <alignment horizontal="center" vertical="center" wrapText="1"/>
    </xf>
    <xf numFmtId="0" fontId="17" fillId="0" borderId="19" xfId="0" applyFont="1" applyBorder="1" applyAlignment="1">
      <alignment horizontal="center" vertical="center" wrapText="1"/>
    </xf>
    <xf numFmtId="14" fontId="17" fillId="0" borderId="18" xfId="0" applyNumberFormat="1" applyFont="1" applyBorder="1" applyAlignment="1">
      <alignment horizontal="center" vertical="center" wrapText="1"/>
    </xf>
    <xf numFmtId="14" fontId="17" fillId="0" borderId="39" xfId="0" applyNumberFormat="1" applyFont="1" applyBorder="1" applyAlignment="1">
      <alignment horizontal="center" vertical="center" wrapText="1"/>
    </xf>
    <xf numFmtId="14" fontId="17" fillId="0" borderId="4" xfId="0" applyNumberFormat="1" applyFont="1" applyBorder="1" applyAlignment="1">
      <alignment horizontal="center" vertical="center" wrapText="1"/>
    </xf>
    <xf numFmtId="0" fontId="17" fillId="0" borderId="18" xfId="0" applyFont="1" applyBorder="1" applyAlignment="1">
      <alignment horizontal="center" vertical="center" wrapText="1"/>
    </xf>
    <xf numFmtId="0" fontId="17" fillId="0" borderId="4" xfId="0" applyFont="1" applyBorder="1" applyAlignment="1">
      <alignment horizontal="center" vertical="center" wrapText="1"/>
    </xf>
    <xf numFmtId="9" fontId="36" fillId="0" borderId="22" xfId="0" applyNumberFormat="1" applyFont="1" applyBorder="1" applyAlignment="1" applyProtection="1">
      <alignment vertical="center" wrapText="1"/>
      <protection locked="0"/>
    </xf>
    <xf numFmtId="0" fontId="29" fillId="4" borderId="49" xfId="0" applyFont="1" applyFill="1" applyBorder="1" applyAlignment="1" applyProtection="1">
      <alignment horizontal="center" vertical="center" wrapText="1"/>
      <protection locked="0"/>
    </xf>
    <xf numFmtId="0" fontId="29" fillId="4" borderId="28" xfId="0" applyFont="1" applyFill="1" applyBorder="1" applyAlignment="1" applyProtection="1">
      <alignment horizontal="center" vertical="center" wrapText="1"/>
      <protection locked="0"/>
    </xf>
    <xf numFmtId="0" fontId="29" fillId="4" borderId="29" xfId="0" applyFont="1" applyFill="1" applyBorder="1" applyAlignment="1" applyProtection="1">
      <alignment horizontal="center" vertical="center" wrapText="1"/>
      <protection locked="0"/>
    </xf>
    <xf numFmtId="0" fontId="36" fillId="4" borderId="21" xfId="0" applyFont="1" applyFill="1" applyBorder="1" applyAlignment="1" applyProtection="1">
      <alignment vertical="center" wrapText="1"/>
      <protection locked="0"/>
    </xf>
    <xf numFmtId="0" fontId="36" fillId="4" borderId="22" xfId="0" applyFont="1" applyFill="1" applyBorder="1" applyAlignment="1" applyProtection="1">
      <alignment vertical="center" wrapText="1"/>
      <protection locked="0"/>
    </xf>
    <xf numFmtId="9" fontId="10" fillId="0" borderId="0" xfId="0" applyNumberFormat="1" applyFont="1" applyAlignment="1" applyProtection="1">
      <alignment vertical="center" wrapText="1"/>
      <protection locked="0"/>
    </xf>
    <xf numFmtId="14" fontId="14" fillId="4" borderId="13" xfId="0" applyNumberFormat="1" applyFont="1" applyFill="1" applyBorder="1" applyAlignment="1">
      <alignment horizontal="center" vertical="center" wrapText="1"/>
    </xf>
    <xf numFmtId="0" fontId="36" fillId="18" borderId="1" xfId="0" applyFont="1" applyFill="1" applyBorder="1" applyAlignment="1">
      <alignment horizontal="center" vertical="center" wrapText="1"/>
    </xf>
    <xf numFmtId="2" fontId="17" fillId="0" borderId="9" xfId="0" applyNumberFormat="1" applyFont="1" applyBorder="1" applyAlignment="1">
      <alignment horizontal="center" vertical="center" wrapText="1"/>
    </xf>
    <xf numFmtId="0" fontId="0" fillId="0" borderId="9" xfId="0" applyBorder="1" applyAlignment="1">
      <alignment horizontal="center" vertical="center" wrapText="1"/>
    </xf>
    <xf numFmtId="2" fontId="14" fillId="0" borderId="9" xfId="0" applyNumberFormat="1" applyFont="1" applyBorder="1" applyAlignment="1">
      <alignment horizontal="center" vertical="center" wrapText="1"/>
    </xf>
    <xf numFmtId="0" fontId="6" fillId="0" borderId="1" xfId="0" applyFont="1" applyBorder="1"/>
    <xf numFmtId="168" fontId="6" fillId="0" borderId="2" xfId="1" applyNumberFormat="1" applyFont="1" applyBorder="1" applyAlignment="1">
      <alignment horizontal="center"/>
    </xf>
    <xf numFmtId="168" fontId="6" fillId="0" borderId="3" xfId="1" applyNumberFormat="1" applyFont="1" applyBorder="1" applyAlignment="1">
      <alignment horizontal="center"/>
    </xf>
    <xf numFmtId="0" fontId="6" fillId="0" borderId="5" xfId="0" applyFont="1" applyBorder="1" applyAlignment="1">
      <alignment horizontal="center"/>
    </xf>
    <xf numFmtId="0" fontId="6" fillId="0" borderId="49" xfId="0" applyFont="1" applyBorder="1" applyAlignment="1">
      <alignment horizontal="center"/>
    </xf>
    <xf numFmtId="0" fontId="6" fillId="0" borderId="6" xfId="0" applyFont="1" applyBorder="1" applyAlignment="1">
      <alignment horizontal="center"/>
    </xf>
    <xf numFmtId="0" fontId="6" fillId="0" borderId="48" xfId="0" applyFont="1" applyBorder="1" applyAlignment="1">
      <alignment horizontal="center"/>
    </xf>
    <xf numFmtId="0" fontId="6" fillId="0" borderId="7" xfId="0" applyFont="1" applyBorder="1" applyAlignment="1">
      <alignment horizontal="center"/>
    </xf>
    <xf numFmtId="0" fontId="6" fillId="0" borderId="50" xfId="0" applyFont="1" applyBorder="1" applyAlignment="1">
      <alignment horizontal="center"/>
    </xf>
    <xf numFmtId="168" fontId="6" fillId="0" borderId="11" xfId="1" applyNumberFormat="1" applyFont="1" applyBorder="1" applyAlignment="1">
      <alignment horizontal="right"/>
    </xf>
    <xf numFmtId="168" fontId="6" fillId="0" borderId="12" xfId="1" applyNumberFormat="1" applyFont="1" applyBorder="1" applyAlignment="1">
      <alignment horizontal="right"/>
    </xf>
    <xf numFmtId="0" fontId="6" fillId="0" borderId="34" xfId="0" applyFont="1" applyBorder="1"/>
    <xf numFmtId="0" fontId="6" fillId="0" borderId="35" xfId="0" applyFont="1" applyBorder="1"/>
    <xf numFmtId="0" fontId="5" fillId="0" borderId="1" xfId="0" applyFont="1" applyBorder="1"/>
    <xf numFmtId="168" fontId="6" fillId="0" borderId="2" xfId="1" applyNumberFormat="1" applyFont="1" applyBorder="1"/>
    <xf numFmtId="168" fontId="6" fillId="0" borderId="3" xfId="1" applyNumberFormat="1" applyFont="1" applyBorder="1"/>
    <xf numFmtId="0" fontId="6" fillId="0" borderId="28" xfId="0" applyFont="1" applyBorder="1" applyAlignment="1">
      <alignment horizontal="center" vertical="center"/>
    </xf>
    <xf numFmtId="0" fontId="6" fillId="0" borderId="46" xfId="0" applyFont="1" applyBorder="1" applyAlignment="1">
      <alignment horizontal="center" vertic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5" fillId="0" borderId="28" xfId="0" applyFont="1" applyBorder="1"/>
    <xf numFmtId="14" fontId="6" fillId="0" borderId="1" xfId="0" applyNumberFormat="1" applyFont="1" applyBorder="1"/>
    <xf numFmtId="0" fontId="6" fillId="3" borderId="1" xfId="0" applyFont="1" applyFill="1" applyBorder="1"/>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168" fontId="6" fillId="0" borderId="1" xfId="1" applyNumberFormat="1" applyFont="1" applyBorder="1"/>
    <xf numFmtId="0" fontId="5" fillId="2" borderId="1" xfId="0" applyFont="1" applyFill="1" applyBorder="1" applyAlignment="1">
      <alignment horizontal="center"/>
    </xf>
    <xf numFmtId="0" fontId="5" fillId="2" borderId="2" xfId="0" applyFont="1" applyFill="1" applyBorder="1" applyAlignment="1">
      <alignment horizontal="center"/>
    </xf>
    <xf numFmtId="168" fontId="6" fillId="0" borderId="1" xfId="0" applyNumberFormat="1" applyFont="1" applyBorder="1"/>
    <xf numFmtId="3" fontId="6" fillId="0" borderId="1" xfId="0" applyNumberFormat="1" applyFont="1" applyBorder="1"/>
    <xf numFmtId="0" fontId="6" fillId="0" borderId="2" xfId="0" applyFont="1" applyBorder="1" applyAlignment="1">
      <alignment horizontal="center"/>
    </xf>
    <xf numFmtId="0" fontId="6" fillId="0" borderId="3" xfId="0" applyFont="1" applyBorder="1" applyAlignment="1">
      <alignment horizontal="center"/>
    </xf>
    <xf numFmtId="0" fontId="6" fillId="0" borderId="1" xfId="0" applyFont="1" applyBorder="1" applyAlignment="1">
      <alignment horizontal="right"/>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2" xfId="0" applyFont="1" applyBorder="1" applyAlignment="1">
      <alignment horizontal="right"/>
    </xf>
    <xf numFmtId="0" fontId="6" fillId="0" borderId="3" xfId="0" applyFont="1" applyBorder="1" applyAlignment="1">
      <alignment horizontal="right"/>
    </xf>
    <xf numFmtId="0" fontId="7" fillId="0" borderId="0" xfId="0" applyFont="1" applyAlignment="1">
      <alignment horizontal="center"/>
    </xf>
    <xf numFmtId="0" fontId="5" fillId="0" borderId="2" xfId="0" applyFont="1" applyBorder="1"/>
    <xf numFmtId="0" fontId="5" fillId="0" borderId="3" xfId="0" applyFont="1" applyBorder="1"/>
    <xf numFmtId="0" fontId="5" fillId="0" borderId="34" xfId="0" applyFont="1" applyBorder="1"/>
    <xf numFmtId="0" fontId="5" fillId="0" borderId="38" xfId="0" applyFont="1" applyBorder="1"/>
    <xf numFmtId="168" fontId="6" fillId="0" borderId="31" xfId="1" applyNumberFormat="1" applyFont="1" applyBorder="1" applyAlignment="1">
      <alignment horizontal="right"/>
    </xf>
    <xf numFmtId="168" fontId="6" fillId="0" borderId="33" xfId="1" applyNumberFormat="1" applyFont="1" applyBorder="1" applyAlignment="1">
      <alignment horizontal="right"/>
    </xf>
    <xf numFmtId="0" fontId="47" fillId="0" borderId="44" xfId="0" applyFont="1" applyBorder="1" applyAlignment="1" applyProtection="1">
      <alignment horizontal="center" vertical="center" wrapText="1"/>
      <protection locked="0"/>
    </xf>
    <xf numFmtId="0" fontId="47" fillId="0" borderId="32" xfId="0" applyFont="1" applyBorder="1" applyAlignment="1" applyProtection="1">
      <alignment horizontal="center" vertical="center" wrapText="1"/>
      <protection locked="0"/>
    </xf>
    <xf numFmtId="0" fontId="47" fillId="0" borderId="33" xfId="0" applyFont="1" applyBorder="1" applyAlignment="1" applyProtection="1">
      <alignment horizontal="center" vertical="center" wrapText="1"/>
      <protection locked="0"/>
    </xf>
    <xf numFmtId="0" fontId="47" fillId="0" borderId="39" xfId="0" applyFont="1" applyBorder="1" applyAlignment="1" applyProtection="1">
      <alignment horizontal="center" vertical="center" wrapText="1"/>
      <protection locked="0"/>
    </xf>
    <xf numFmtId="0" fontId="47" fillId="0" borderId="4" xfId="0" applyFont="1" applyBorder="1" applyAlignment="1" applyProtection="1">
      <alignment horizontal="center" vertical="center" wrapText="1"/>
      <protection locked="0"/>
    </xf>
    <xf numFmtId="0" fontId="47" fillId="0" borderId="51" xfId="0" applyFont="1" applyBorder="1" applyAlignment="1" applyProtection="1">
      <alignment horizontal="center" vertical="center" wrapText="1"/>
      <protection locked="0"/>
    </xf>
    <xf numFmtId="0" fontId="47" fillId="0" borderId="47" xfId="0" applyFont="1" applyBorder="1" applyAlignment="1" applyProtection="1">
      <alignment horizontal="center" vertical="center" wrapText="1"/>
      <protection locked="0"/>
    </xf>
    <xf numFmtId="0" fontId="47" fillId="0" borderId="45" xfId="0" applyFont="1" applyBorder="1" applyAlignment="1" applyProtection="1">
      <alignment horizontal="center" vertical="center" wrapText="1"/>
      <protection locked="0"/>
    </xf>
    <xf numFmtId="0" fontId="47" fillId="0" borderId="35" xfId="0" applyFont="1" applyBorder="1" applyAlignment="1" applyProtection="1">
      <alignment horizontal="center" vertical="center" wrapText="1"/>
      <protection locked="0"/>
    </xf>
    <xf numFmtId="1" fontId="47" fillId="0" borderId="44" xfId="2" applyNumberFormat="1" applyFont="1" applyBorder="1" applyAlignment="1" applyProtection="1">
      <alignment horizontal="center" vertical="center" wrapText="1"/>
      <protection locked="0"/>
    </xf>
    <xf numFmtId="1" fontId="47" fillId="0" borderId="32" xfId="2" applyNumberFormat="1" applyFont="1" applyBorder="1" applyAlignment="1" applyProtection="1">
      <alignment horizontal="center" vertical="center" wrapText="1"/>
      <protection locked="0"/>
    </xf>
    <xf numFmtId="1" fontId="47" fillId="0" borderId="33" xfId="2" applyNumberFormat="1" applyFont="1" applyBorder="1" applyAlignment="1" applyProtection="1">
      <alignment horizontal="center" vertical="center" wrapText="1"/>
      <protection locked="0"/>
    </xf>
    <xf numFmtId="0" fontId="47" fillId="0" borderId="44" xfId="0" applyFont="1" applyBorder="1" applyAlignment="1" applyProtection="1">
      <alignment horizontal="left" vertical="center" wrapText="1"/>
      <protection locked="0"/>
    </xf>
    <xf numFmtId="0" fontId="47" fillId="0" borderId="32" xfId="0" applyFont="1" applyBorder="1" applyAlignment="1" applyProtection="1">
      <alignment horizontal="left" vertical="center" wrapText="1"/>
      <protection locked="0"/>
    </xf>
    <xf numFmtId="0" fontId="47" fillId="0" borderId="33" xfId="0" applyFont="1" applyBorder="1" applyAlignment="1" applyProtection="1">
      <alignment horizontal="left" vertical="center" wrapText="1"/>
      <protection locked="0"/>
    </xf>
    <xf numFmtId="0" fontId="47" fillId="0" borderId="39" xfId="0" applyFont="1" applyBorder="1" applyAlignment="1" applyProtection="1">
      <alignment horizontal="left" vertical="center" wrapText="1"/>
      <protection locked="0"/>
    </xf>
    <xf numFmtId="0" fontId="47" fillId="0" borderId="4" xfId="0" applyFont="1" applyBorder="1" applyAlignment="1" applyProtection="1">
      <alignment horizontal="left" vertical="center" wrapText="1"/>
      <protection locked="0"/>
    </xf>
    <xf numFmtId="0" fontId="47" fillId="0" borderId="51" xfId="0" applyFont="1" applyBorder="1" applyAlignment="1" applyProtection="1">
      <alignment horizontal="left" vertical="center" wrapText="1"/>
      <protection locked="0"/>
    </xf>
    <xf numFmtId="0" fontId="47" fillId="0" borderId="47" xfId="0" applyFont="1" applyBorder="1" applyAlignment="1" applyProtection="1">
      <alignment horizontal="left" vertical="center" wrapText="1"/>
      <protection locked="0"/>
    </xf>
    <xf numFmtId="0" fontId="47" fillId="0" borderId="45" xfId="0" applyFont="1" applyBorder="1" applyAlignment="1" applyProtection="1">
      <alignment horizontal="left" vertical="center" wrapText="1"/>
      <protection locked="0"/>
    </xf>
    <xf numFmtId="0" fontId="47" fillId="0" borderId="35" xfId="0" applyFont="1" applyBorder="1" applyAlignment="1" applyProtection="1">
      <alignment horizontal="left" vertical="center" wrapText="1"/>
      <protection locked="0"/>
    </xf>
    <xf numFmtId="0" fontId="29" fillId="16" borderId="24" xfId="0" applyFont="1" applyFill="1" applyBorder="1" applyAlignment="1" applyProtection="1">
      <alignment horizontal="center" vertical="center" wrapText="1"/>
      <protection locked="0"/>
    </xf>
    <xf numFmtId="0" fontId="29" fillId="16" borderId="25" xfId="0" applyFont="1" applyFill="1" applyBorder="1" applyAlignment="1" applyProtection="1">
      <alignment horizontal="center" vertical="center" wrapText="1"/>
      <protection locked="0"/>
    </xf>
    <xf numFmtId="0" fontId="29" fillId="16" borderId="26" xfId="0" applyFont="1" applyFill="1" applyBorder="1" applyAlignment="1" applyProtection="1">
      <alignment horizontal="center" vertical="center" wrapText="1"/>
      <protection locked="0"/>
    </xf>
    <xf numFmtId="0" fontId="29" fillId="17" borderId="24" xfId="0" applyFont="1" applyFill="1" applyBorder="1" applyAlignment="1" applyProtection="1">
      <alignment horizontal="center" vertical="center" wrapText="1"/>
      <protection locked="0"/>
    </xf>
    <xf numFmtId="0" fontId="29" fillId="17" borderId="25" xfId="0" applyFont="1" applyFill="1" applyBorder="1" applyAlignment="1" applyProtection="1">
      <alignment horizontal="center" vertical="center" wrapText="1"/>
      <protection locked="0"/>
    </xf>
    <xf numFmtId="0" fontId="29" fillId="17" borderId="26" xfId="0" applyFont="1" applyFill="1" applyBorder="1" applyAlignment="1" applyProtection="1">
      <alignment horizontal="center" vertical="center" wrapText="1"/>
      <protection locked="0"/>
    </xf>
    <xf numFmtId="0" fontId="29" fillId="16" borderId="58" xfId="573" applyFont="1" applyFill="1" applyBorder="1" applyAlignment="1">
      <alignment horizontal="center" vertical="center" wrapText="1"/>
    </xf>
    <xf numFmtId="0" fontId="29" fillId="16" borderId="61" xfId="573" applyFont="1" applyFill="1" applyBorder="1" applyAlignment="1">
      <alignment horizontal="center" vertical="center" wrapText="1"/>
    </xf>
    <xf numFmtId="0" fontId="29" fillId="16" borderId="58" xfId="0" applyFont="1" applyFill="1" applyBorder="1" applyAlignment="1" applyProtection="1">
      <alignment horizontal="center" vertical="center" wrapText="1"/>
      <protection locked="0"/>
    </xf>
    <xf numFmtId="0" fontId="29" fillId="16" borderId="61" xfId="0" applyFont="1" applyFill="1" applyBorder="1" applyAlignment="1" applyProtection="1">
      <alignment horizontal="center" vertical="center" wrapText="1"/>
      <protection locked="0"/>
    </xf>
    <xf numFmtId="0" fontId="29" fillId="16" borderId="66" xfId="0" applyFont="1" applyFill="1" applyBorder="1" applyAlignment="1" applyProtection="1">
      <alignment horizontal="center" vertical="center" wrapText="1"/>
      <protection locked="0"/>
    </xf>
    <xf numFmtId="1" fontId="47" fillId="0" borderId="39" xfId="2" applyNumberFormat="1" applyFont="1" applyBorder="1" applyAlignment="1" applyProtection="1">
      <alignment horizontal="center" vertical="center" wrapText="1"/>
      <protection locked="0"/>
    </xf>
    <xf numFmtId="1" fontId="47" fillId="0" borderId="4" xfId="2" applyNumberFormat="1" applyFont="1" applyBorder="1" applyAlignment="1" applyProtection="1">
      <alignment horizontal="center" vertical="center" wrapText="1"/>
      <protection locked="0"/>
    </xf>
    <xf numFmtId="1" fontId="47" fillId="0" borderId="51" xfId="2" applyNumberFormat="1" applyFont="1" applyBorder="1" applyAlignment="1" applyProtection="1">
      <alignment horizontal="center" vertical="center" wrapText="1"/>
      <protection locked="0"/>
    </xf>
    <xf numFmtId="1" fontId="47" fillId="0" borderId="47" xfId="2" applyNumberFormat="1" applyFont="1" applyBorder="1" applyAlignment="1" applyProtection="1">
      <alignment horizontal="center" vertical="center" wrapText="1"/>
      <protection locked="0"/>
    </xf>
    <xf numFmtId="1" fontId="47" fillId="0" borderId="45" xfId="2" applyNumberFormat="1" applyFont="1" applyBorder="1" applyAlignment="1" applyProtection="1">
      <alignment horizontal="center" vertical="center" wrapText="1"/>
      <protection locked="0"/>
    </xf>
    <xf numFmtId="1" fontId="47" fillId="0" borderId="35" xfId="2" applyNumberFormat="1" applyFont="1" applyBorder="1" applyAlignment="1" applyProtection="1">
      <alignment horizontal="center" vertical="center" wrapText="1"/>
      <protection locked="0"/>
    </xf>
    <xf numFmtId="0" fontId="47" fillId="0" borderId="24" xfId="0" applyFont="1" applyBorder="1" applyAlignment="1" applyProtection="1">
      <alignment horizontal="center" vertical="center" wrapText="1"/>
      <protection locked="0"/>
    </xf>
    <xf numFmtId="0" fontId="47" fillId="0" borderId="25" xfId="0" applyFont="1" applyBorder="1" applyAlignment="1" applyProtection="1">
      <alignment horizontal="center" vertical="center" wrapText="1"/>
      <protection locked="0"/>
    </xf>
    <xf numFmtId="0" fontId="47" fillId="0" borderId="26" xfId="0" applyFont="1" applyBorder="1" applyAlignment="1" applyProtection="1">
      <alignment horizontal="center" vertical="center" wrapText="1"/>
      <protection locked="0"/>
    </xf>
    <xf numFmtId="165" fontId="47" fillId="17" borderId="15" xfId="3" applyFont="1" applyFill="1" applyBorder="1" applyAlignment="1" applyProtection="1">
      <alignment horizontal="center" vertical="center" wrapText="1"/>
      <protection locked="0"/>
    </xf>
    <xf numFmtId="165" fontId="47" fillId="17" borderId="16" xfId="3" applyFont="1" applyFill="1" applyBorder="1" applyAlignment="1" applyProtection="1">
      <alignment horizontal="center" vertical="center" wrapText="1"/>
      <protection locked="0"/>
    </xf>
    <xf numFmtId="165" fontId="47" fillId="17" borderId="17" xfId="3" applyFont="1" applyFill="1" applyBorder="1" applyAlignment="1" applyProtection="1">
      <alignment horizontal="center" vertical="center" wrapText="1"/>
      <protection locked="0"/>
    </xf>
    <xf numFmtId="168" fontId="47" fillId="0" borderId="22" xfId="1" applyNumberFormat="1" applyFont="1" applyBorder="1" applyAlignment="1" applyProtection="1">
      <alignment horizontal="center" vertical="center" wrapText="1"/>
      <protection locked="0"/>
    </xf>
    <xf numFmtId="168" fontId="47" fillId="0" borderId="23" xfId="1" applyNumberFormat="1" applyFont="1" applyBorder="1" applyAlignment="1" applyProtection="1">
      <alignment horizontal="center" vertical="center" wrapText="1"/>
      <protection locked="0"/>
    </xf>
    <xf numFmtId="168" fontId="47" fillId="17" borderId="22" xfId="1" applyNumberFormat="1" applyFont="1" applyFill="1" applyBorder="1" applyAlignment="1" applyProtection="1">
      <alignment horizontal="left" vertical="center" wrapText="1"/>
      <protection locked="0"/>
    </xf>
    <xf numFmtId="168" fontId="47" fillId="17" borderId="23" xfId="1" applyNumberFormat="1" applyFont="1" applyFill="1" applyBorder="1" applyAlignment="1" applyProtection="1">
      <alignment horizontal="left" vertical="center" wrapText="1"/>
      <protection locked="0"/>
    </xf>
    <xf numFmtId="14" fontId="47" fillId="0" borderId="22" xfId="0" applyNumberFormat="1" applyFont="1" applyBorder="1" applyAlignment="1" applyProtection="1">
      <alignment vertical="center" wrapText="1"/>
      <protection locked="0"/>
    </xf>
    <xf numFmtId="0" fontId="47" fillId="0" borderId="23" xfId="0" applyFont="1" applyBorder="1" applyAlignment="1" applyProtection="1">
      <alignment vertical="center" wrapText="1"/>
      <protection locked="0"/>
    </xf>
    <xf numFmtId="0" fontId="29" fillId="4" borderId="11" xfId="0" applyFont="1" applyFill="1" applyBorder="1" applyAlignment="1" applyProtection="1">
      <alignment horizontal="center" vertical="center" wrapText="1"/>
      <protection locked="0"/>
    </xf>
    <xf numFmtId="0" fontId="29" fillId="4" borderId="12" xfId="0" applyFont="1" applyFill="1" applyBorder="1" applyAlignment="1" applyProtection="1">
      <alignment horizontal="center" vertical="center" wrapText="1"/>
      <protection locked="0"/>
    </xf>
    <xf numFmtId="0" fontId="29" fillId="16" borderId="52" xfId="0" applyFont="1" applyFill="1" applyBorder="1" applyAlignment="1" applyProtection="1">
      <alignment horizontal="center" vertical="center" wrapText="1"/>
      <protection locked="0"/>
    </xf>
    <xf numFmtId="0" fontId="29" fillId="16" borderId="71" xfId="0" applyFont="1" applyFill="1" applyBorder="1" applyAlignment="1" applyProtection="1">
      <alignment horizontal="center" vertical="center" wrapText="1"/>
      <protection locked="0"/>
    </xf>
    <xf numFmtId="0" fontId="29" fillId="16" borderId="59" xfId="0" applyFont="1" applyFill="1" applyBorder="1" applyAlignment="1" applyProtection="1">
      <alignment horizontal="left" vertical="center" wrapText="1"/>
      <protection locked="0"/>
    </xf>
    <xf numFmtId="0" fontId="29" fillId="16" borderId="57" xfId="0" applyFont="1" applyFill="1" applyBorder="1" applyAlignment="1" applyProtection="1">
      <alignment horizontal="left" vertical="center" wrapText="1"/>
      <protection locked="0"/>
    </xf>
    <xf numFmtId="0" fontId="29" fillId="16" borderId="52" xfId="0" applyFont="1" applyFill="1" applyBorder="1" applyAlignment="1" applyProtection="1">
      <alignment horizontal="left" vertical="center" wrapText="1"/>
      <protection locked="0"/>
    </xf>
    <xf numFmtId="0" fontId="29" fillId="16" borderId="0" xfId="0" applyFont="1" applyFill="1" applyAlignment="1" applyProtection="1">
      <alignment horizontal="left" vertical="center" wrapText="1"/>
      <protection locked="0"/>
    </xf>
    <xf numFmtId="0" fontId="29" fillId="16" borderId="58" xfId="0" applyFont="1" applyFill="1" applyBorder="1" applyAlignment="1" applyProtection="1">
      <alignment horizontal="left" vertical="center" wrapText="1"/>
      <protection locked="0"/>
    </xf>
    <xf numFmtId="0" fontId="29" fillId="16" borderId="61" xfId="0" applyFont="1" applyFill="1" applyBorder="1" applyAlignment="1" applyProtection="1">
      <alignment horizontal="left" vertical="center" wrapText="1"/>
      <protection locked="0"/>
    </xf>
    <xf numFmtId="0" fontId="29" fillId="16" borderId="62" xfId="0" applyFont="1" applyFill="1" applyBorder="1" applyAlignment="1" applyProtection="1">
      <alignment horizontal="left" vertical="center" wrapText="1"/>
      <protection locked="0"/>
    </xf>
    <xf numFmtId="0" fontId="29" fillId="16" borderId="71" xfId="0" applyFont="1" applyFill="1" applyBorder="1" applyAlignment="1" applyProtection="1">
      <alignment horizontal="left" vertical="center" wrapText="1"/>
      <protection locked="0"/>
    </xf>
    <xf numFmtId="0" fontId="29" fillId="16" borderId="58" xfId="0" applyFont="1" applyFill="1" applyBorder="1" applyAlignment="1" applyProtection="1">
      <alignment vertical="center" wrapText="1"/>
      <protection locked="0"/>
    </xf>
    <xf numFmtId="0" fontId="29" fillId="16" borderId="66" xfId="0" applyFont="1" applyFill="1" applyBorder="1" applyAlignment="1" applyProtection="1">
      <alignment vertical="center" wrapText="1"/>
      <protection locked="0"/>
    </xf>
    <xf numFmtId="0" fontId="47" fillId="0" borderId="13" xfId="0" applyFont="1" applyBorder="1" applyAlignment="1" applyProtection="1">
      <alignment horizontal="center" vertical="center" wrapText="1"/>
      <protection locked="0"/>
    </xf>
    <xf numFmtId="0" fontId="47" fillId="0" borderId="1" xfId="0" applyFont="1" applyBorder="1" applyAlignment="1" applyProtection="1">
      <alignment horizontal="center" vertical="center" wrapText="1"/>
      <protection locked="0"/>
    </xf>
    <xf numFmtId="0" fontId="47" fillId="0" borderId="10" xfId="0" applyFont="1" applyBorder="1" applyAlignment="1" applyProtection="1">
      <alignment horizontal="center" vertical="center" wrapText="1"/>
      <protection locked="0"/>
    </xf>
    <xf numFmtId="0" fontId="47" fillId="0" borderId="11" xfId="0" applyFont="1" applyBorder="1" applyAlignment="1" applyProtection="1">
      <alignment horizontal="center" vertical="center" wrapText="1"/>
      <protection locked="0"/>
    </xf>
    <xf numFmtId="168" fontId="47" fillId="0" borderId="13" xfId="1" applyNumberFormat="1" applyFont="1" applyBorder="1" applyAlignment="1" applyProtection="1">
      <alignment vertical="center" wrapText="1"/>
      <protection locked="0"/>
    </xf>
    <xf numFmtId="168" fontId="47" fillId="0" borderId="1" xfId="1" applyNumberFormat="1" applyFont="1" applyBorder="1" applyAlignment="1" applyProtection="1">
      <alignment vertical="center" wrapText="1"/>
      <protection locked="0"/>
    </xf>
    <xf numFmtId="168" fontId="47" fillId="0" borderId="14" xfId="1" applyNumberFormat="1" applyFont="1" applyBorder="1" applyAlignment="1" applyProtection="1">
      <alignment vertical="center" wrapText="1"/>
      <protection locked="0"/>
    </xf>
    <xf numFmtId="168" fontId="47" fillId="16" borderId="13" xfId="1" applyNumberFormat="1" applyFont="1" applyFill="1" applyBorder="1" applyAlignment="1" applyProtection="1">
      <alignment vertical="center" wrapText="1"/>
      <protection locked="0"/>
    </xf>
    <xf numFmtId="168" fontId="47" fillId="16" borderId="1" xfId="1" applyNumberFormat="1" applyFont="1" applyFill="1" applyBorder="1" applyAlignment="1" applyProtection="1">
      <alignment vertical="center" wrapText="1"/>
      <protection locked="0"/>
    </xf>
    <xf numFmtId="168" fontId="47" fillId="16" borderId="14" xfId="1" applyNumberFormat="1" applyFont="1" applyFill="1" applyBorder="1" applyAlignment="1" applyProtection="1">
      <alignment vertical="center" wrapText="1"/>
      <protection locked="0"/>
    </xf>
    <xf numFmtId="14" fontId="47" fillId="0" borderId="22" xfId="0" applyNumberFormat="1" applyFont="1" applyBorder="1" applyAlignment="1" applyProtection="1">
      <alignment horizontal="center" vertical="center" wrapText="1"/>
      <protection locked="0"/>
    </xf>
    <xf numFmtId="14" fontId="47" fillId="0" borderId="23" xfId="0" applyNumberFormat="1" applyFont="1" applyBorder="1" applyAlignment="1" applyProtection="1">
      <alignment horizontal="center" vertical="center" wrapText="1"/>
      <protection locked="0"/>
    </xf>
    <xf numFmtId="0" fontId="47" fillId="0" borderId="22" xfId="0" applyFont="1" applyBorder="1" applyAlignment="1" applyProtection="1">
      <alignment horizontal="center" vertical="center" wrapText="1"/>
      <protection locked="0"/>
    </xf>
    <xf numFmtId="0" fontId="47" fillId="0" borderId="23" xfId="0" applyFont="1" applyBorder="1" applyAlignment="1" applyProtection="1">
      <alignment horizontal="center" vertical="center" wrapText="1"/>
      <protection locked="0"/>
    </xf>
    <xf numFmtId="0" fontId="47" fillId="0" borderId="15" xfId="0" applyFont="1" applyBorder="1" applyAlignment="1" applyProtection="1">
      <alignment horizontal="center" vertical="center" wrapText="1"/>
      <protection locked="0"/>
    </xf>
    <xf numFmtId="0" fontId="47" fillId="0" borderId="16" xfId="0" applyFont="1" applyBorder="1" applyAlignment="1" applyProtection="1">
      <alignment horizontal="center" vertical="center" wrapText="1"/>
      <protection locked="0"/>
    </xf>
    <xf numFmtId="0" fontId="47" fillId="0" borderId="20" xfId="0" applyFont="1" applyBorder="1" applyAlignment="1" applyProtection="1">
      <alignment horizontal="right" vertical="center" wrapText="1"/>
      <protection locked="0"/>
    </xf>
    <xf numFmtId="0" fontId="47" fillId="0" borderId="8" xfId="0" applyFont="1" applyBorder="1" applyAlignment="1" applyProtection="1">
      <alignment horizontal="right" vertical="center" wrapText="1"/>
      <protection locked="0"/>
    </xf>
    <xf numFmtId="0" fontId="47" fillId="0" borderId="53" xfId="0" applyFont="1" applyBorder="1" applyAlignment="1" applyProtection="1">
      <alignment horizontal="right" vertical="center" wrapText="1"/>
      <protection locked="0"/>
    </xf>
    <xf numFmtId="14" fontId="47" fillId="0" borderId="13" xfId="0" applyNumberFormat="1" applyFont="1" applyBorder="1" applyAlignment="1" applyProtection="1">
      <alignment horizontal="right" vertical="center" wrapText="1"/>
      <protection locked="0"/>
    </xf>
    <xf numFmtId="0" fontId="47" fillId="0" borderId="1" xfId="0" applyFont="1" applyBorder="1" applyAlignment="1" applyProtection="1">
      <alignment horizontal="right" vertical="center" wrapText="1"/>
      <protection locked="0"/>
    </xf>
    <xf numFmtId="0" fontId="47" fillId="0" borderId="14" xfId="0" applyFont="1" applyBorder="1" applyAlignment="1" applyProtection="1">
      <alignment horizontal="right" vertical="center" wrapText="1"/>
      <protection locked="0"/>
    </xf>
    <xf numFmtId="168" fontId="47" fillId="17" borderId="13" xfId="1" applyNumberFormat="1" applyFont="1" applyFill="1" applyBorder="1" applyAlignment="1" applyProtection="1">
      <alignment vertical="center" wrapText="1"/>
      <protection locked="0"/>
    </xf>
    <xf numFmtId="168" fontId="47" fillId="17" borderId="1" xfId="1" applyNumberFormat="1" applyFont="1" applyFill="1" applyBorder="1" applyAlignment="1" applyProtection="1">
      <alignment vertical="center" wrapText="1"/>
      <protection locked="0"/>
    </xf>
    <xf numFmtId="168" fontId="47" fillId="17" borderId="14" xfId="1" applyNumberFormat="1" applyFont="1" applyFill="1" applyBorder="1" applyAlignment="1" applyProtection="1">
      <alignment vertical="center" wrapText="1"/>
      <protection locked="0"/>
    </xf>
    <xf numFmtId="168" fontId="47" fillId="16" borderId="1" xfId="1" applyNumberFormat="1" applyFont="1" applyFill="1" applyBorder="1" applyAlignment="1" applyProtection="1">
      <alignment horizontal="center" vertical="center" wrapText="1"/>
      <protection locked="0"/>
    </xf>
    <xf numFmtId="168" fontId="47" fillId="16" borderId="14" xfId="1" applyNumberFormat="1" applyFont="1" applyFill="1" applyBorder="1" applyAlignment="1" applyProtection="1">
      <alignment horizontal="center" vertical="center" wrapText="1"/>
      <protection locked="0"/>
    </xf>
    <xf numFmtId="0" fontId="47" fillId="0" borderId="21" xfId="0" applyFont="1" applyBorder="1" applyAlignment="1" applyProtection="1">
      <alignment horizontal="left" vertical="center" wrapText="1"/>
      <protection locked="0"/>
    </xf>
    <xf numFmtId="0" fontId="47" fillId="0" borderId="22" xfId="0" applyFont="1" applyBorder="1" applyAlignment="1" applyProtection="1">
      <alignment horizontal="left" vertical="center" wrapText="1"/>
      <protection locked="0"/>
    </xf>
    <xf numFmtId="0" fontId="47" fillId="0" borderId="23" xfId="0" applyFont="1" applyBorder="1" applyAlignment="1" applyProtection="1">
      <alignment horizontal="left" vertical="center" wrapText="1"/>
      <protection locked="0"/>
    </xf>
    <xf numFmtId="2" fontId="47" fillId="0" borderId="22" xfId="0" applyNumberFormat="1" applyFont="1" applyBorder="1" applyAlignment="1" applyProtection="1">
      <alignment horizontal="center" vertical="center" wrapText="1"/>
      <protection locked="0"/>
    </xf>
    <xf numFmtId="2" fontId="47" fillId="0" borderId="23" xfId="0" applyNumberFormat="1" applyFont="1" applyBorder="1" applyAlignment="1" applyProtection="1">
      <alignment horizontal="center" vertical="center" wrapText="1"/>
      <protection locked="0"/>
    </xf>
    <xf numFmtId="0" fontId="29" fillId="17" borderId="21" xfId="0" applyFont="1" applyFill="1" applyBorder="1" applyAlignment="1" applyProtection="1">
      <alignment horizontal="center" vertical="center" wrapText="1"/>
      <protection locked="0"/>
    </xf>
    <xf numFmtId="0" fontId="29" fillId="17" borderId="22" xfId="0" applyFont="1" applyFill="1" applyBorder="1" applyAlignment="1" applyProtection="1">
      <alignment horizontal="center" vertical="center" wrapText="1"/>
      <protection locked="0"/>
    </xf>
    <xf numFmtId="0" fontId="29" fillId="16" borderId="21" xfId="0" applyFont="1" applyFill="1" applyBorder="1" applyAlignment="1" applyProtection="1">
      <alignment horizontal="center" vertical="center" wrapText="1"/>
      <protection locked="0"/>
    </xf>
    <xf numFmtId="0" fontId="29" fillId="16" borderId="22" xfId="0" applyFont="1" applyFill="1" applyBorder="1" applyAlignment="1" applyProtection="1">
      <alignment horizontal="center" vertical="center" wrapText="1"/>
      <protection locked="0"/>
    </xf>
    <xf numFmtId="0" fontId="47" fillId="0" borderId="22" xfId="0" applyFont="1" applyBorder="1" applyAlignment="1" applyProtection="1">
      <alignment vertical="center" wrapText="1"/>
      <protection locked="0"/>
    </xf>
    <xf numFmtId="14" fontId="47" fillId="0" borderId="21" xfId="0" applyNumberFormat="1" applyFont="1" applyBorder="1" applyAlignment="1" applyProtection="1">
      <alignment horizontal="center" vertical="center" wrapText="1"/>
      <protection locked="0"/>
    </xf>
    <xf numFmtId="14" fontId="47" fillId="0" borderId="67" xfId="0" applyNumberFormat="1" applyFont="1" applyBorder="1" applyAlignment="1" applyProtection="1">
      <alignment horizontal="center" vertical="center" wrapText="1"/>
      <protection locked="0"/>
    </xf>
    <xf numFmtId="0" fontId="29" fillId="16" borderId="21" xfId="0" applyFont="1" applyFill="1" applyBorder="1" applyAlignment="1" applyProtection="1">
      <alignment vertical="center" wrapText="1"/>
      <protection locked="0"/>
    </xf>
    <xf numFmtId="0" fontId="29" fillId="16" borderId="37" xfId="0" applyFont="1" applyFill="1" applyBorder="1" applyAlignment="1" applyProtection="1">
      <alignment vertical="center" wrapText="1"/>
      <protection locked="0"/>
    </xf>
    <xf numFmtId="0" fontId="29" fillId="16" borderId="24" xfId="0" applyFont="1" applyFill="1" applyBorder="1" applyAlignment="1" applyProtection="1">
      <alignment horizontal="left" vertical="center" wrapText="1"/>
      <protection locked="0"/>
    </xf>
    <xf numFmtId="0" fontId="29" fillId="16" borderId="25" xfId="0" applyFont="1" applyFill="1" applyBorder="1" applyAlignment="1" applyProtection="1">
      <alignment horizontal="left" vertical="center" wrapText="1"/>
      <protection locked="0"/>
    </xf>
    <xf numFmtId="14" fontId="47" fillId="0" borderId="22" xfId="0" applyNumberFormat="1" applyFont="1" applyBorder="1" applyAlignment="1" applyProtection="1">
      <alignment horizontal="right" vertical="center" wrapText="1"/>
      <protection locked="0"/>
    </xf>
    <xf numFmtId="0" fontId="47" fillId="0" borderId="22" xfId="0" applyFont="1" applyBorder="1" applyAlignment="1" applyProtection="1">
      <alignment horizontal="right" vertical="center" wrapText="1"/>
      <protection locked="0"/>
    </xf>
    <xf numFmtId="0" fontId="29" fillId="16" borderId="59" xfId="0" applyFont="1" applyFill="1" applyBorder="1" applyAlignment="1" applyProtection="1">
      <alignment vertical="center" wrapText="1"/>
      <protection locked="0"/>
    </xf>
    <xf numFmtId="0" fontId="29" fillId="16" borderId="57" xfId="0" applyFont="1" applyFill="1" applyBorder="1" applyAlignment="1" applyProtection="1">
      <alignment vertical="center" wrapText="1"/>
      <protection locked="0"/>
    </xf>
    <xf numFmtId="0" fontId="29" fillId="16" borderId="52" xfId="0" applyFont="1" applyFill="1" applyBorder="1" applyAlignment="1" applyProtection="1">
      <alignment vertical="center" wrapText="1"/>
      <protection locked="0"/>
    </xf>
    <xf numFmtId="0" fontId="29" fillId="16" borderId="0" xfId="0" applyFont="1" applyFill="1" applyAlignment="1" applyProtection="1">
      <alignment vertical="center" wrapText="1"/>
      <protection locked="0"/>
    </xf>
    <xf numFmtId="0" fontId="29" fillId="16" borderId="61" xfId="0" applyFont="1" applyFill="1" applyBorder="1" applyAlignment="1" applyProtection="1">
      <alignment vertical="center" wrapText="1"/>
      <protection locked="0"/>
    </xf>
    <xf numFmtId="0" fontId="13" fillId="16" borderId="24" xfId="0" applyFont="1" applyFill="1" applyBorder="1" applyAlignment="1" applyProtection="1">
      <alignment horizontal="center" vertical="center"/>
      <protection locked="0"/>
    </xf>
    <xf numFmtId="0" fontId="13" fillId="16" borderId="25" xfId="0" applyFont="1" applyFill="1" applyBorder="1" applyAlignment="1" applyProtection="1">
      <alignment horizontal="center" vertical="center"/>
      <protection locked="0"/>
    </xf>
    <xf numFmtId="168" fontId="29" fillId="16" borderId="59" xfId="1" applyNumberFormat="1" applyFont="1" applyFill="1" applyBorder="1" applyAlignment="1">
      <alignment horizontal="center" vertical="center" wrapText="1"/>
    </xf>
    <xf numFmtId="168" fontId="29" fillId="16" borderId="57" xfId="1" applyNumberFormat="1" applyFont="1" applyFill="1" applyBorder="1" applyAlignment="1">
      <alignment horizontal="center" vertical="center" wrapText="1"/>
    </xf>
    <xf numFmtId="168" fontId="29" fillId="16" borderId="62" xfId="1" applyNumberFormat="1" applyFont="1" applyFill="1" applyBorder="1" applyAlignment="1">
      <alignment horizontal="center" vertical="center" wrapText="1"/>
    </xf>
    <xf numFmtId="0" fontId="29" fillId="16" borderId="21" xfId="0" applyFont="1" applyFill="1" applyBorder="1" applyAlignment="1" applyProtection="1">
      <alignment horizontal="left" vertical="center" wrapText="1"/>
      <protection locked="0"/>
    </xf>
    <xf numFmtId="0" fontId="29" fillId="16" borderId="37" xfId="0" applyFont="1" applyFill="1" applyBorder="1" applyAlignment="1" applyProtection="1">
      <alignment horizontal="left" vertical="center" wrapText="1"/>
      <protection locked="0"/>
    </xf>
    <xf numFmtId="14" fontId="47" fillId="0" borderId="21" xfId="0" applyNumberFormat="1" applyFont="1" applyBorder="1" applyAlignment="1" applyProtection="1">
      <alignment vertical="center" wrapText="1"/>
      <protection locked="0"/>
    </xf>
    <xf numFmtId="0" fontId="47" fillId="0" borderId="21" xfId="0" applyFont="1" applyBorder="1" applyAlignment="1" applyProtection="1">
      <alignment horizontal="center" vertical="center" wrapText="1"/>
      <protection locked="0"/>
    </xf>
    <xf numFmtId="14" fontId="47" fillId="0" borderId="67" xfId="0" applyNumberFormat="1" applyFont="1" applyBorder="1" applyAlignment="1" applyProtection="1">
      <alignment vertical="center" wrapText="1"/>
      <protection locked="0"/>
    </xf>
    <xf numFmtId="168" fontId="47" fillId="0" borderId="67" xfId="1" applyNumberFormat="1" applyFont="1" applyBorder="1" applyAlignment="1" applyProtection="1">
      <alignment horizontal="center" vertical="center" wrapText="1"/>
      <protection locked="0"/>
    </xf>
    <xf numFmtId="168" fontId="47" fillId="16" borderId="21" xfId="1" applyNumberFormat="1" applyFont="1" applyFill="1" applyBorder="1" applyAlignment="1" applyProtection="1">
      <alignment horizontal="left" vertical="center" wrapText="1"/>
      <protection locked="0"/>
    </xf>
    <xf numFmtId="168" fontId="47" fillId="16" borderId="22" xfId="1" applyNumberFormat="1" applyFont="1" applyFill="1" applyBorder="1" applyAlignment="1" applyProtection="1">
      <alignment horizontal="left" vertical="center" wrapText="1"/>
      <protection locked="0"/>
    </xf>
    <xf numFmtId="168" fontId="47" fillId="16" borderId="23" xfId="1" applyNumberFormat="1" applyFont="1" applyFill="1" applyBorder="1" applyAlignment="1" applyProtection="1">
      <alignment horizontal="left" vertical="center" wrapText="1"/>
      <protection locked="0"/>
    </xf>
    <xf numFmtId="165" fontId="47" fillId="16" borderId="38" xfId="3" applyFont="1" applyFill="1" applyBorder="1" applyAlignment="1" applyProtection="1">
      <alignment horizontal="center" vertical="center" wrapText="1"/>
      <protection locked="0"/>
    </xf>
    <xf numFmtId="165" fontId="47" fillId="16" borderId="16" xfId="3" applyFont="1" applyFill="1" applyBorder="1" applyAlignment="1" applyProtection="1">
      <alignment horizontal="center" vertical="center" wrapText="1"/>
      <protection locked="0"/>
    </xf>
    <xf numFmtId="165" fontId="47" fillId="16" borderId="17" xfId="3" applyFont="1" applyFill="1" applyBorder="1" applyAlignment="1" applyProtection="1">
      <alignment horizontal="center" vertical="center" wrapText="1"/>
      <protection locked="0"/>
    </xf>
    <xf numFmtId="165" fontId="47" fillId="16" borderId="15" xfId="3" applyFont="1" applyFill="1" applyBorder="1" applyAlignment="1" applyProtection="1">
      <alignment horizontal="center" vertical="center" wrapText="1"/>
      <protection locked="0"/>
    </xf>
    <xf numFmtId="0" fontId="47" fillId="0" borderId="67" xfId="0" applyFont="1" applyBorder="1" applyAlignment="1" applyProtection="1">
      <alignment horizontal="left" vertical="center" wrapText="1"/>
      <protection locked="0"/>
    </xf>
    <xf numFmtId="0" fontId="47" fillId="0" borderId="37" xfId="0" applyFont="1" applyBorder="1" applyAlignment="1" applyProtection="1">
      <alignment horizontal="left" vertical="center" wrapText="1"/>
      <protection locked="0"/>
    </xf>
    <xf numFmtId="1" fontId="47" fillId="0" borderId="21" xfId="0" applyNumberFormat="1" applyFont="1" applyBorder="1" applyAlignment="1" applyProtection="1">
      <alignment horizontal="center" vertical="center" wrapText="1"/>
      <protection locked="0"/>
    </xf>
    <xf numFmtId="1" fontId="47" fillId="0" borderId="22" xfId="0" applyNumberFormat="1" applyFont="1" applyBorder="1" applyAlignment="1" applyProtection="1">
      <alignment horizontal="center" vertical="center" wrapText="1"/>
      <protection locked="0"/>
    </xf>
    <xf numFmtId="1" fontId="47" fillId="0" borderId="23" xfId="0" applyNumberFormat="1" applyFont="1" applyBorder="1" applyAlignment="1" applyProtection="1">
      <alignment horizontal="center" vertical="center" wrapText="1"/>
      <protection locked="0"/>
    </xf>
    <xf numFmtId="0" fontId="47" fillId="0" borderId="67" xfId="0" applyFont="1" applyBorder="1" applyAlignment="1" applyProtection="1">
      <alignment horizontal="center" vertical="center" wrapText="1"/>
      <protection locked="0"/>
    </xf>
    <xf numFmtId="2" fontId="47" fillId="0" borderId="67" xfId="0" applyNumberFormat="1" applyFont="1" applyBorder="1" applyAlignment="1" applyProtection="1">
      <alignment horizontal="center" vertical="center" wrapText="1"/>
      <protection locked="0"/>
    </xf>
    <xf numFmtId="168" fontId="47" fillId="0" borderId="21" xfId="1" applyNumberFormat="1" applyFont="1" applyBorder="1" applyAlignment="1" applyProtection="1">
      <alignment horizontal="center" vertical="center" wrapText="1"/>
      <protection locked="0"/>
    </xf>
    <xf numFmtId="0" fontId="39" fillId="0" borderId="0" xfId="0" applyFont="1" applyAlignment="1" applyProtection="1">
      <alignment horizontal="center" vertical="center" wrapText="1"/>
      <protection locked="0"/>
    </xf>
    <xf numFmtId="0" fontId="29" fillId="16" borderId="31" xfId="0" applyFont="1" applyFill="1" applyBorder="1" applyAlignment="1" applyProtection="1">
      <alignment horizontal="center" vertical="center" wrapText="1"/>
      <protection locked="0"/>
    </xf>
    <xf numFmtId="0" fontId="29" fillId="16" borderId="5" xfId="0" applyFont="1" applyFill="1" applyBorder="1" applyAlignment="1" applyProtection="1">
      <alignment horizontal="center" vertical="center" wrapText="1"/>
      <protection locked="0"/>
    </xf>
    <xf numFmtId="0" fontId="29" fillId="16" borderId="10" xfId="0" applyFont="1" applyFill="1" applyBorder="1" applyAlignment="1" applyProtection="1">
      <alignment horizontal="center" vertical="center" wrapText="1"/>
      <protection locked="0"/>
    </xf>
    <xf numFmtId="0" fontId="29" fillId="16" borderId="11" xfId="0" applyFont="1" applyFill="1" applyBorder="1" applyAlignment="1" applyProtection="1">
      <alignment horizontal="center" vertical="center" wrapText="1"/>
      <protection locked="0"/>
    </xf>
    <xf numFmtId="0" fontId="29" fillId="16" borderId="12" xfId="0" applyFont="1" applyFill="1" applyBorder="1" applyAlignment="1" applyProtection="1">
      <alignment horizontal="center" vertical="center" wrapText="1"/>
      <protection locked="0"/>
    </xf>
    <xf numFmtId="0" fontId="29" fillId="4" borderId="36" xfId="0" applyFont="1" applyFill="1" applyBorder="1" applyAlignment="1" applyProtection="1">
      <alignment horizontal="center" vertical="center" wrapText="1"/>
      <protection locked="0"/>
    </xf>
    <xf numFmtId="0" fontId="47" fillId="0" borderId="10" xfId="0" applyFont="1" applyBorder="1" applyAlignment="1" applyProtection="1">
      <alignment horizontal="right" vertical="center" wrapText="1"/>
      <protection locked="0"/>
    </xf>
    <xf numFmtId="0" fontId="47" fillId="0" borderId="11" xfId="0" applyFont="1" applyBorder="1" applyAlignment="1" applyProtection="1">
      <alignment horizontal="right" vertical="center" wrapText="1"/>
      <protection locked="0"/>
    </xf>
    <xf numFmtId="0" fontId="47" fillId="0" borderId="12" xfId="0" applyFont="1" applyBorder="1" applyAlignment="1" applyProtection="1">
      <alignment horizontal="right" vertical="center" wrapText="1"/>
      <protection locked="0"/>
    </xf>
    <xf numFmtId="0" fontId="34" fillId="0" borderId="0" xfId="0" applyFont="1" applyAlignment="1" applyProtection="1">
      <alignment horizontal="center" vertical="center" wrapText="1"/>
      <protection locked="0"/>
    </xf>
    <xf numFmtId="0" fontId="47" fillId="17" borderId="22" xfId="1" applyNumberFormat="1" applyFont="1" applyFill="1" applyBorder="1" applyAlignment="1" applyProtection="1">
      <alignment horizontal="left" vertical="center" wrapText="1"/>
      <protection locked="0"/>
    </xf>
    <xf numFmtId="0" fontId="47" fillId="0" borderId="50" xfId="0" applyFont="1" applyBorder="1" applyAlignment="1" applyProtection="1">
      <alignment horizontal="right" vertical="center" wrapText="1"/>
      <protection locked="0"/>
    </xf>
    <xf numFmtId="168" fontId="47" fillId="0" borderId="3" xfId="1" applyNumberFormat="1" applyFont="1" applyBorder="1" applyAlignment="1" applyProtection="1">
      <alignment vertical="center" wrapText="1"/>
      <protection locked="0"/>
    </xf>
    <xf numFmtId="168" fontId="47" fillId="16" borderId="3" xfId="1" applyNumberFormat="1" applyFont="1" applyFill="1" applyBorder="1" applyAlignment="1" applyProtection="1">
      <alignment vertical="center" wrapText="1"/>
      <protection locked="0"/>
    </xf>
    <xf numFmtId="0" fontId="3" fillId="0" borderId="1" xfId="0" applyFont="1" applyBorder="1" applyAlignment="1" applyProtection="1">
      <alignment horizontal="center" vertical="center" wrapText="1"/>
      <protection locked="0"/>
    </xf>
    <xf numFmtId="168" fontId="29" fillId="16" borderId="24" xfId="1" applyNumberFormat="1" applyFont="1" applyFill="1" applyBorder="1" applyAlignment="1">
      <alignment horizontal="center" vertical="center" wrapText="1"/>
    </xf>
    <xf numFmtId="168" fontId="29" fillId="16" borderId="25" xfId="1" applyNumberFormat="1" applyFont="1" applyFill="1" applyBorder="1" applyAlignment="1">
      <alignment horizontal="center" vertical="center" wrapText="1"/>
    </xf>
    <xf numFmtId="168" fontId="29" fillId="16" borderId="26" xfId="1" applyNumberFormat="1" applyFont="1" applyFill="1" applyBorder="1" applyAlignment="1">
      <alignment horizontal="center" vertical="center" wrapText="1"/>
    </xf>
    <xf numFmtId="14" fontId="47" fillId="0" borderId="3" xfId="0" applyNumberFormat="1" applyFont="1" applyBorder="1" applyAlignment="1" applyProtection="1">
      <alignment horizontal="right" vertical="center" wrapText="1"/>
      <protection locked="0"/>
    </xf>
    <xf numFmtId="0" fontId="5" fillId="0" borderId="28"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8" xfId="0" applyFont="1" applyBorder="1" applyAlignment="1">
      <alignment horizontal="center" vertical="center" wrapText="1"/>
    </xf>
    <xf numFmtId="0" fontId="29" fillId="16" borderId="10" xfId="0" applyFont="1" applyFill="1" applyBorder="1" applyAlignment="1" applyProtection="1">
      <alignment horizontal="center" vertical="center"/>
      <protection locked="0"/>
    </xf>
    <xf numFmtId="0" fontId="29" fillId="16" borderId="27" xfId="0" applyFont="1" applyFill="1" applyBorder="1" applyAlignment="1" applyProtection="1">
      <alignment horizontal="center" vertical="center"/>
      <protection locked="0"/>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39"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2" fontId="0" fillId="0" borderId="39"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3" fillId="0" borderId="34" xfId="0" applyFont="1" applyBorder="1" applyAlignment="1">
      <alignment horizontal="center"/>
    </xf>
    <xf numFmtId="0" fontId="3" fillId="0" borderId="45" xfId="0" applyFont="1" applyBorder="1" applyAlignment="1">
      <alignment horizontal="center"/>
    </xf>
    <xf numFmtId="0" fontId="3" fillId="0" borderId="35" xfId="0" applyFont="1" applyBorder="1" applyAlignment="1">
      <alignment horizontal="center"/>
    </xf>
    <xf numFmtId="0" fontId="3" fillId="2" borderId="31"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14" fontId="0" fillId="0" borderId="39"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3" fillId="0" borderId="22" xfId="0" applyNumberFormat="1" applyFont="1" applyBorder="1" applyAlignment="1">
      <alignment horizontal="center"/>
    </xf>
    <xf numFmtId="2" fontId="3" fillId="0" borderId="23" xfId="0" applyNumberFormat="1"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39" xfId="0" applyFont="1" applyBorder="1" applyAlignment="1">
      <alignment horizontal="center"/>
    </xf>
    <xf numFmtId="0" fontId="3" fillId="0" borderId="4" xfId="0" applyFont="1" applyBorder="1" applyAlignment="1">
      <alignment horizontal="center"/>
    </xf>
    <xf numFmtId="0" fontId="3" fillId="0" borderId="51" xfId="0" applyFont="1" applyBorder="1" applyAlignment="1">
      <alignment horizontal="center"/>
    </xf>
    <xf numFmtId="0" fontId="3" fillId="0" borderId="47" xfId="0" applyFont="1" applyBorder="1" applyAlignment="1">
      <alignment horizontal="center"/>
    </xf>
    <xf numFmtId="14" fontId="0" fillId="0" borderId="2" xfId="0" applyNumberFormat="1" applyBorder="1" applyAlignment="1">
      <alignment horizontal="center"/>
    </xf>
    <xf numFmtId="14" fontId="0" fillId="0" borderId="3" xfId="0" applyNumberForma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3" fillId="2" borderId="36" xfId="0" applyFont="1" applyFill="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8" xfId="0" applyFont="1" applyBorder="1" applyAlignment="1">
      <alignment horizontal="center"/>
    </xf>
    <xf numFmtId="0" fontId="3" fillId="2" borderId="1" xfId="0" applyFont="1" applyFill="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170" fontId="3" fillId="0" borderId="22"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2" fontId="3" fillId="0" borderId="24" xfId="0" applyNumberFormat="1" applyFont="1" applyBorder="1" applyAlignment="1">
      <alignment horizontal="center"/>
    </xf>
    <xf numFmtId="2" fontId="3" fillId="0" borderId="25" xfId="0" applyNumberFormat="1" applyFont="1" applyBorder="1" applyAlignment="1">
      <alignment horizontal="center"/>
    </xf>
    <xf numFmtId="2" fontId="3" fillId="0" borderId="26" xfId="0" applyNumberFormat="1" applyFont="1" applyBorder="1" applyAlignment="1">
      <alignment horizontal="center"/>
    </xf>
    <xf numFmtId="0" fontId="3" fillId="0" borderId="37" xfId="0" applyFont="1" applyBorder="1" applyAlignment="1">
      <alignment horizontal="center"/>
    </xf>
    <xf numFmtId="2" fontId="3" fillId="0" borderId="37" xfId="0" applyNumberFormat="1"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3" fillId="0" borderId="0" xfId="0" applyFont="1" applyAlignment="1">
      <alignment horizontal="center" vertical="center" wrapText="1"/>
    </xf>
    <xf numFmtId="0" fontId="7" fillId="0" borderId="0" xfId="0" applyFont="1" applyAlignment="1">
      <alignment horizontal="center" vertical="center" wrapText="1"/>
    </xf>
    <xf numFmtId="0" fontId="32" fillId="0" borderId="0" xfId="0" applyFont="1" applyAlignment="1">
      <alignment horizontal="center" vertical="center"/>
    </xf>
    <xf numFmtId="0" fontId="39" fillId="0" borderId="0" xfId="0" applyFont="1" applyAlignment="1">
      <alignment horizontal="center" vertical="center"/>
    </xf>
    <xf numFmtId="0" fontId="17" fillId="0" borderId="55" xfId="0" applyFont="1" applyBorder="1" applyAlignment="1">
      <alignment horizontal="center" vertical="center" wrapText="1"/>
    </xf>
    <xf numFmtId="0" fontId="17" fillId="0" borderId="19" xfId="0" applyFont="1" applyBorder="1" applyAlignment="1">
      <alignment horizontal="center" vertical="center" wrapText="1"/>
    </xf>
    <xf numFmtId="0" fontId="13" fillId="16" borderId="9" xfId="0" applyFont="1" applyFill="1" applyBorder="1" applyAlignment="1">
      <alignment horizontal="center" vertical="center" wrapText="1"/>
    </xf>
    <xf numFmtId="0" fontId="0" fillId="0" borderId="55" xfId="0" applyBorder="1" applyAlignment="1">
      <alignment horizontal="center" vertical="center" wrapText="1"/>
    </xf>
    <xf numFmtId="0" fontId="0" fillId="0" borderId="19" xfId="0" applyBorder="1" applyAlignment="1">
      <alignment horizontal="center" vertical="center" wrapText="1"/>
    </xf>
    <xf numFmtId="0" fontId="34" fillId="0" borderId="0" xfId="0" applyFont="1" applyAlignment="1">
      <alignment horizontal="center" vertical="center" wrapText="1"/>
    </xf>
    <xf numFmtId="0" fontId="21" fillId="16" borderId="24" xfId="0" applyFont="1" applyFill="1" applyBorder="1" applyAlignment="1">
      <alignment horizontal="center" vertical="center"/>
    </xf>
    <xf numFmtId="0" fontId="21" fillId="16" borderId="67" xfId="0" applyFont="1" applyFill="1" applyBorder="1" applyAlignment="1">
      <alignment horizontal="center" vertical="center"/>
    </xf>
    <xf numFmtId="0" fontId="18" fillId="16" borderId="55" xfId="0" applyFont="1" applyFill="1" applyBorder="1" applyAlignment="1">
      <alignment horizontal="center" vertical="center" wrapText="1"/>
    </xf>
    <xf numFmtId="0" fontId="18" fillId="16" borderId="19" xfId="0" applyFont="1" applyFill="1" applyBorder="1" applyAlignment="1">
      <alignment horizontal="center" vertical="center" wrapText="1"/>
    </xf>
    <xf numFmtId="0" fontId="21" fillId="16" borderId="1" xfId="0" applyFont="1" applyFill="1" applyBorder="1" applyAlignment="1">
      <alignment horizontal="center" vertical="center" wrapText="1"/>
    </xf>
    <xf numFmtId="0" fontId="13" fillId="16" borderId="42" xfId="0" applyFont="1" applyFill="1" applyBorder="1" applyAlignment="1">
      <alignment horizontal="center" vertical="center" wrapText="1"/>
    </xf>
    <xf numFmtId="0" fontId="13" fillId="16" borderId="60" xfId="0" applyFont="1" applyFill="1" applyBorder="1" applyAlignment="1">
      <alignment horizontal="center" vertical="center" wrapText="1"/>
    </xf>
    <xf numFmtId="0" fontId="38" fillId="0" borderId="59" xfId="0" applyFont="1" applyBorder="1" applyAlignment="1">
      <alignment horizontal="center" vertical="center" wrapText="1"/>
    </xf>
    <xf numFmtId="0" fontId="38" fillId="0" borderId="68" xfId="0" applyFont="1" applyBorder="1" applyAlignment="1">
      <alignment horizontal="center" vertical="center" wrapText="1"/>
    </xf>
    <xf numFmtId="0" fontId="38" fillId="0" borderId="58" xfId="0" applyFont="1" applyBorder="1" applyAlignment="1">
      <alignment horizontal="center" vertical="center" wrapText="1"/>
    </xf>
    <xf numFmtId="0" fontId="38" fillId="0" borderId="65" xfId="0" applyFont="1" applyBorder="1" applyAlignment="1">
      <alignment horizontal="center" vertical="center" wrapText="1"/>
    </xf>
    <xf numFmtId="0" fontId="29" fillId="16" borderId="59" xfId="0" applyFont="1" applyFill="1" applyBorder="1" applyAlignment="1">
      <alignment horizontal="center" vertical="center" wrapText="1"/>
    </xf>
    <xf numFmtId="0" fontId="29" fillId="16" borderId="52" xfId="0" applyFont="1" applyFill="1" applyBorder="1" applyAlignment="1">
      <alignment horizontal="center" vertical="center" wrapText="1"/>
    </xf>
    <xf numFmtId="2" fontId="42" fillId="4" borderId="5" xfId="0" applyNumberFormat="1" applyFont="1" applyFill="1" applyBorder="1" applyAlignment="1">
      <alignment horizontal="center" vertical="center" wrapText="1"/>
    </xf>
    <xf numFmtId="2" fontId="42" fillId="4" borderId="54" xfId="0" applyNumberFormat="1" applyFont="1" applyFill="1" applyBorder="1" applyAlignment="1">
      <alignment horizontal="center" vertical="center" wrapText="1"/>
    </xf>
    <xf numFmtId="2" fontId="42" fillId="4" borderId="64" xfId="0" applyNumberFormat="1" applyFont="1" applyFill="1" applyBorder="1" applyAlignment="1">
      <alignment horizontal="center" vertical="center" wrapText="1"/>
    </xf>
    <xf numFmtId="2" fontId="42" fillId="4" borderId="66" xfId="0" applyNumberFormat="1" applyFont="1" applyFill="1" applyBorder="1" applyAlignment="1">
      <alignment horizontal="center" vertical="center" wrapText="1"/>
    </xf>
    <xf numFmtId="0" fontId="13" fillId="16" borderId="24" xfId="0" applyFont="1" applyFill="1" applyBorder="1" applyAlignment="1">
      <alignment horizontal="center" vertical="center" wrapText="1"/>
    </xf>
    <xf numFmtId="0" fontId="13" fillId="16" borderId="26" xfId="0" applyFont="1" applyFill="1" applyBorder="1" applyAlignment="1">
      <alignment horizontal="center" vertical="center" wrapText="1"/>
    </xf>
    <xf numFmtId="14" fontId="17" fillId="4" borderId="55" xfId="0" applyNumberFormat="1" applyFont="1" applyFill="1" applyBorder="1" applyAlignment="1">
      <alignment horizontal="center" vertical="center" wrapText="1"/>
    </xf>
    <xf numFmtId="0" fontId="17" fillId="4" borderId="19" xfId="0" applyFont="1" applyFill="1" applyBorder="1" applyAlignment="1">
      <alignment horizontal="center" vertical="center" wrapText="1"/>
    </xf>
    <xf numFmtId="49" fontId="17" fillId="4" borderId="55" xfId="0" applyNumberFormat="1" applyFont="1" applyFill="1" applyBorder="1" applyAlignment="1">
      <alignment horizontal="center" vertical="center" wrapText="1"/>
    </xf>
    <xf numFmtId="49" fontId="17" fillId="4" borderId="19" xfId="0" applyNumberFormat="1" applyFont="1" applyFill="1" applyBorder="1" applyAlignment="1">
      <alignment horizontal="center" vertical="center" wrapText="1"/>
    </xf>
    <xf numFmtId="14" fontId="17" fillId="0" borderId="55" xfId="0" applyNumberFormat="1" applyFont="1" applyBorder="1" applyAlignment="1">
      <alignment horizontal="center" vertical="center" wrapText="1"/>
    </xf>
    <xf numFmtId="2" fontId="42" fillId="0" borderId="55" xfId="0" applyNumberFormat="1" applyFont="1" applyBorder="1" applyAlignment="1">
      <alignment horizontal="center" vertical="center" wrapText="1"/>
    </xf>
    <xf numFmtId="2" fontId="42" fillId="0" borderId="19" xfId="0" applyNumberFormat="1" applyFont="1" applyBorder="1" applyAlignment="1">
      <alignment horizontal="center" vertical="center" wrapText="1"/>
    </xf>
    <xf numFmtId="2" fontId="17" fillId="0" borderId="59" xfId="0" applyNumberFormat="1" applyFont="1" applyBorder="1" applyAlignment="1">
      <alignment horizontal="center" vertical="center" wrapText="1"/>
    </xf>
    <xf numFmtId="2" fontId="17" fillId="0" borderId="62" xfId="0" applyNumberFormat="1" applyFont="1" applyBorder="1" applyAlignment="1">
      <alignment horizontal="center" vertical="center" wrapText="1"/>
    </xf>
    <xf numFmtId="2" fontId="17" fillId="0" borderId="58" xfId="0" applyNumberFormat="1" applyFont="1" applyBorder="1" applyAlignment="1">
      <alignment horizontal="center" vertical="center" wrapText="1"/>
    </xf>
    <xf numFmtId="2" fontId="17" fillId="0" borderId="66" xfId="0" applyNumberFormat="1" applyFont="1" applyBorder="1" applyAlignment="1">
      <alignment horizontal="center" vertical="center" wrapText="1"/>
    </xf>
    <xf numFmtId="168" fontId="29" fillId="5" borderId="24" xfId="1" applyNumberFormat="1" applyFont="1" applyFill="1" applyBorder="1" applyAlignment="1">
      <alignment horizontal="center" vertical="center" wrapText="1"/>
    </xf>
    <xf numFmtId="168" fontId="29" fillId="5" borderId="25" xfId="1" applyNumberFormat="1" applyFont="1" applyFill="1" applyBorder="1" applyAlignment="1">
      <alignment horizontal="center" vertical="center" wrapText="1"/>
    </xf>
    <xf numFmtId="168" fontId="29" fillId="5" borderId="26" xfId="1" applyNumberFormat="1" applyFont="1" applyFill="1" applyBorder="1" applyAlignment="1">
      <alignment horizontal="center" vertical="center" wrapText="1"/>
    </xf>
    <xf numFmtId="0" fontId="29" fillId="10" borderId="24" xfId="573" applyFont="1" applyFill="1" applyBorder="1" applyAlignment="1">
      <alignment horizontal="center" vertical="center" wrapText="1"/>
    </xf>
    <xf numFmtId="0" fontId="29" fillId="10" borderId="25" xfId="573" applyFont="1" applyFill="1" applyBorder="1" applyAlignment="1">
      <alignment horizontal="center" vertical="center" wrapText="1"/>
    </xf>
    <xf numFmtId="0" fontId="29" fillId="10" borderId="67" xfId="573" applyFont="1" applyFill="1" applyBorder="1" applyAlignment="1">
      <alignment horizontal="center" vertical="center" wrapText="1"/>
    </xf>
    <xf numFmtId="0" fontId="1" fillId="0" borderId="63" xfId="0" applyFont="1" applyBorder="1" applyAlignment="1">
      <alignment horizontal="left" vertical="center" wrapText="1"/>
    </xf>
    <xf numFmtId="0" fontId="3" fillId="8" borderId="2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31" xfId="0" applyFont="1" applyFill="1" applyBorder="1" applyAlignment="1">
      <alignment horizontal="center" vertical="center"/>
    </xf>
    <xf numFmtId="0" fontId="26" fillId="0" borderId="13"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34" xfId="0" applyFont="1" applyBorder="1" applyAlignment="1">
      <alignment horizontal="center" vertical="center" wrapText="1"/>
    </xf>
    <xf numFmtId="0" fontId="13" fillId="6" borderId="1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7" fillId="0" borderId="15" xfId="0" applyFont="1" applyBorder="1" applyAlignment="1">
      <alignment horizontal="center" vertical="center" wrapText="1"/>
    </xf>
    <xf numFmtId="0" fontId="27" fillId="0" borderId="17" xfId="0" applyFont="1" applyBorder="1" applyAlignment="1">
      <alignment horizontal="center" vertical="center" wrapText="1"/>
    </xf>
    <xf numFmtId="0" fontId="21" fillId="0" borderId="0" xfId="0" applyFont="1" applyAlignment="1">
      <alignment horizontal="center" vertical="center" wrapText="1"/>
    </xf>
    <xf numFmtId="0" fontId="0" fillId="4" borderId="9" xfId="0" applyFill="1" applyBorder="1" applyAlignment="1">
      <alignment horizontal="center" vertical="center"/>
    </xf>
    <xf numFmtId="0" fontId="25" fillId="0" borderId="0" xfId="0" applyFont="1" applyAlignment="1">
      <alignment horizontal="center" vertical="center"/>
    </xf>
    <xf numFmtId="0" fontId="3" fillId="4" borderId="2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3" fillId="16" borderId="72" xfId="0" applyFont="1" applyFill="1" applyBorder="1" applyAlignment="1">
      <alignment horizontal="center" vertical="center" wrapText="1"/>
    </xf>
    <xf numFmtId="0" fontId="13" fillId="16" borderId="56" xfId="0" applyFont="1" applyFill="1" applyBorder="1" applyAlignment="1">
      <alignment horizontal="center" vertical="center" wrapText="1"/>
    </xf>
    <xf numFmtId="0" fontId="13" fillId="16" borderId="44" xfId="0" applyFont="1" applyFill="1" applyBorder="1" applyAlignment="1">
      <alignment horizontal="center" vertical="center" wrapText="1"/>
    </xf>
    <xf numFmtId="0" fontId="13" fillId="16" borderId="33" xfId="0" applyFont="1" applyFill="1" applyBorder="1" applyAlignment="1">
      <alignment horizontal="center" vertical="center" wrapText="1"/>
    </xf>
    <xf numFmtId="0" fontId="26" fillId="0" borderId="43" xfId="0" applyFont="1" applyBorder="1" applyAlignment="1">
      <alignment horizontal="center" vertical="center" wrapText="1"/>
    </xf>
    <xf numFmtId="0" fontId="26" fillId="0" borderId="54" xfId="0" applyFont="1" applyBorder="1" applyAlignment="1">
      <alignment horizontal="center" vertical="center" wrapText="1"/>
    </xf>
    <xf numFmtId="0" fontId="26" fillId="0" borderId="58" xfId="0" applyFont="1" applyBorder="1" applyAlignment="1">
      <alignment horizontal="center" vertical="center" wrapText="1"/>
    </xf>
    <xf numFmtId="0" fontId="26" fillId="0" borderId="66" xfId="0" applyFont="1" applyBorder="1" applyAlignment="1">
      <alignment horizontal="center" vertical="center" wrapText="1"/>
    </xf>
    <xf numFmtId="0" fontId="3" fillId="0" borderId="9" xfId="0" applyFont="1" applyBorder="1" applyAlignment="1">
      <alignment horizontal="center" vertical="center" wrapText="1"/>
    </xf>
    <xf numFmtId="0" fontId="13" fillId="16" borderId="32" xfId="0" applyFont="1" applyFill="1" applyBorder="1" applyAlignment="1">
      <alignment horizontal="center" vertical="center" wrapText="1"/>
    </xf>
    <xf numFmtId="0" fontId="13" fillId="16" borderId="59" xfId="0" applyFont="1" applyFill="1" applyBorder="1" applyAlignment="1">
      <alignment horizontal="center" vertical="center" wrapText="1"/>
    </xf>
    <xf numFmtId="0" fontId="13" fillId="16" borderId="62" xfId="0" applyFont="1" applyFill="1" applyBorder="1" applyAlignment="1">
      <alignment horizontal="center" vertical="center" wrapText="1"/>
    </xf>
    <xf numFmtId="0" fontId="13" fillId="16" borderId="58" xfId="0" applyFont="1" applyFill="1" applyBorder="1" applyAlignment="1">
      <alignment horizontal="center" vertical="center" wrapText="1"/>
    </xf>
    <xf numFmtId="0" fontId="13" fillId="16" borderId="66" xfId="0" applyFont="1" applyFill="1" applyBorder="1" applyAlignment="1">
      <alignment horizontal="center" vertical="center" wrapText="1"/>
    </xf>
    <xf numFmtId="0" fontId="14" fillId="16" borderId="9" xfId="0" applyFont="1" applyFill="1" applyBorder="1" applyAlignment="1">
      <alignment horizontal="center" vertical="center" wrapText="1"/>
    </xf>
    <xf numFmtId="0" fontId="50" fillId="16" borderId="59" xfId="0" applyFont="1" applyFill="1" applyBorder="1" applyAlignment="1">
      <alignment horizontal="center" vertical="center" wrapText="1"/>
    </xf>
    <xf numFmtId="0" fontId="50" fillId="16" borderId="62" xfId="0" applyFont="1" applyFill="1" applyBorder="1" applyAlignment="1">
      <alignment horizontal="center" vertical="center" wrapText="1"/>
    </xf>
    <xf numFmtId="0" fontId="50" fillId="16" borderId="58" xfId="0" applyFont="1" applyFill="1" applyBorder="1" applyAlignment="1">
      <alignment horizontal="center" vertical="center" wrapText="1"/>
    </xf>
    <xf numFmtId="0" fontId="50" fillId="16" borderId="66" xfId="0" applyFont="1" applyFill="1" applyBorder="1" applyAlignment="1">
      <alignment horizontal="center" vertical="center" wrapText="1"/>
    </xf>
    <xf numFmtId="0" fontId="50" fillId="16" borderId="24" xfId="0" applyFont="1" applyFill="1" applyBorder="1" applyAlignment="1">
      <alignment horizontal="center" vertical="center" wrapText="1"/>
    </xf>
    <xf numFmtId="0" fontId="50" fillId="16" borderId="25" xfId="0" applyFont="1" applyFill="1" applyBorder="1" applyAlignment="1">
      <alignment horizontal="center" vertical="center" wrapText="1"/>
    </xf>
    <xf numFmtId="0" fontId="50" fillId="16" borderId="26" xfId="0" applyFont="1" applyFill="1" applyBorder="1" applyAlignment="1">
      <alignment horizontal="center" vertical="center" wrapText="1"/>
    </xf>
    <xf numFmtId="0" fontId="51" fillId="0" borderId="10" xfId="0" applyFont="1" applyBorder="1" applyAlignment="1">
      <alignment horizontal="center" vertical="center"/>
    </xf>
    <xf numFmtId="0" fontId="51" fillId="0" borderId="11" xfId="0" applyFont="1" applyBorder="1" applyAlignment="1">
      <alignment horizontal="center" vertical="center"/>
    </xf>
    <xf numFmtId="0" fontId="51" fillId="0" borderId="12" xfId="0" applyFont="1" applyBorder="1" applyAlignment="1">
      <alignment horizontal="center" vertical="center"/>
    </xf>
    <xf numFmtId="0" fontId="51" fillId="0" borderId="15" xfId="0" applyFont="1" applyBorder="1" applyAlignment="1">
      <alignment horizontal="center" vertical="center"/>
    </xf>
    <xf numFmtId="0" fontId="51" fillId="0" borderId="16" xfId="0" applyFont="1" applyBorder="1" applyAlignment="1">
      <alignment horizontal="center" vertical="center"/>
    </xf>
    <xf numFmtId="0" fontId="51" fillId="0" borderId="17" xfId="0" applyFont="1" applyBorder="1" applyAlignment="1">
      <alignment horizontal="center" vertical="center"/>
    </xf>
    <xf numFmtId="0" fontId="52" fillId="0" borderId="21" xfId="0" applyFont="1" applyBorder="1" applyAlignment="1">
      <alignment horizontal="center" vertical="center" wrapText="1"/>
    </xf>
    <xf numFmtId="0" fontId="52" fillId="0" borderId="23" xfId="0" applyFont="1" applyBorder="1" applyAlignment="1">
      <alignment horizontal="center" vertical="center" wrapText="1"/>
    </xf>
    <xf numFmtId="0" fontId="53" fillId="0" borderId="21" xfId="0" applyFont="1" applyBorder="1" applyAlignment="1">
      <alignment horizontal="center" vertical="center"/>
    </xf>
    <xf numFmtId="0" fontId="53" fillId="0" borderId="23" xfId="0" applyFont="1" applyBorder="1" applyAlignment="1">
      <alignment horizontal="center" vertical="center"/>
    </xf>
    <xf numFmtId="0" fontId="51" fillId="0" borderId="21" xfId="0" applyFont="1" applyBorder="1" applyAlignment="1">
      <alignment horizontal="center" vertical="center"/>
    </xf>
    <xf numFmtId="0" fontId="51" fillId="0" borderId="23" xfId="0" applyFont="1" applyBorder="1" applyAlignment="1">
      <alignment horizontal="center" vertical="center"/>
    </xf>
    <xf numFmtId="0" fontId="50" fillId="16" borderId="24" xfId="574" applyFont="1" applyFill="1" applyBorder="1" applyAlignment="1">
      <alignment horizontal="center" vertical="center" wrapText="1"/>
    </xf>
    <xf numFmtId="0" fontId="50" fillId="16" borderId="25" xfId="574" applyFont="1" applyFill="1" applyBorder="1" applyAlignment="1">
      <alignment horizontal="center" vertical="center" wrapText="1"/>
    </xf>
    <xf numFmtId="0" fontId="50" fillId="16" borderId="26" xfId="574" applyFont="1" applyFill="1" applyBorder="1" applyAlignment="1">
      <alignment horizontal="center" vertical="center" wrapText="1"/>
    </xf>
    <xf numFmtId="0" fontId="50" fillId="16" borderId="58" xfId="574" applyFont="1" applyFill="1" applyBorder="1" applyAlignment="1">
      <alignment horizontal="center" vertical="center" wrapText="1"/>
    </xf>
    <xf numFmtId="0" fontId="50" fillId="16" borderId="61" xfId="574" applyFont="1" applyFill="1" applyBorder="1" applyAlignment="1">
      <alignment horizontal="center" vertical="center" wrapText="1"/>
    </xf>
    <xf numFmtId="0" fontId="50" fillId="16" borderId="65" xfId="574" applyFont="1" applyFill="1" applyBorder="1" applyAlignment="1">
      <alignment horizontal="center" vertical="center" wrapText="1"/>
    </xf>
    <xf numFmtId="0" fontId="26" fillId="0" borderId="40" xfId="0" applyFont="1" applyBorder="1" applyAlignment="1">
      <alignment horizontal="center" vertical="center"/>
    </xf>
    <xf numFmtId="0" fontId="26" fillId="0" borderId="70" xfId="0" applyFont="1" applyBorder="1" applyAlignment="1">
      <alignment horizontal="center" vertical="center"/>
    </xf>
    <xf numFmtId="0" fontId="26" fillId="0" borderId="50" xfId="0" applyFont="1" applyBorder="1" applyAlignment="1">
      <alignment horizontal="center" vertical="center"/>
    </xf>
    <xf numFmtId="0" fontId="50" fillId="16" borderId="21" xfId="574" applyFont="1" applyFill="1" applyBorder="1" applyAlignment="1">
      <alignment horizontal="center" vertical="center" wrapText="1"/>
    </xf>
    <xf numFmtId="0" fontId="50" fillId="16" borderId="22" xfId="574" applyFont="1" applyFill="1" applyBorder="1" applyAlignment="1">
      <alignment horizontal="center" vertical="center" wrapText="1"/>
    </xf>
    <xf numFmtId="0" fontId="50" fillId="16" borderId="23" xfId="574" applyFont="1" applyFill="1" applyBorder="1" applyAlignment="1">
      <alignment horizontal="center" vertical="center" wrapText="1"/>
    </xf>
    <xf numFmtId="0" fontId="3" fillId="0" borderId="20" xfId="0" applyFont="1" applyBorder="1" applyAlignment="1">
      <alignment horizontal="center" vertical="center"/>
    </xf>
    <xf numFmtId="0" fontId="3" fillId="0" borderId="8" xfId="0" applyFont="1" applyBorder="1" applyAlignment="1">
      <alignment horizontal="center" vertical="center"/>
    </xf>
    <xf numFmtId="0" fontId="3" fillId="0" borderId="13" xfId="0" applyFont="1" applyBorder="1" applyAlignment="1">
      <alignment horizontal="center" vertical="center"/>
    </xf>
    <xf numFmtId="0" fontId="3" fillId="0" borderId="1" xfId="0" applyFont="1" applyBorder="1" applyAlignment="1">
      <alignment horizontal="center" vertical="center"/>
    </xf>
    <xf numFmtId="0" fontId="3" fillId="0" borderId="39"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6" fillId="0" borderId="47" xfId="0" applyFont="1" applyBorder="1" applyAlignment="1">
      <alignment horizontal="center" vertical="center"/>
    </xf>
    <xf numFmtId="0" fontId="26" fillId="0" borderId="45" xfId="0" applyFont="1" applyBorder="1" applyAlignment="1">
      <alignment horizontal="center" vertical="center"/>
    </xf>
    <xf numFmtId="0" fontId="26" fillId="0" borderId="38" xfId="0" applyFont="1" applyBorder="1" applyAlignment="1">
      <alignment horizontal="center" vertical="center"/>
    </xf>
    <xf numFmtId="0" fontId="50" fillId="16" borderId="13" xfId="0" applyFont="1" applyFill="1" applyBorder="1" applyAlignment="1">
      <alignment horizontal="center" vertical="center"/>
    </xf>
    <xf numFmtId="0" fontId="50" fillId="16" borderId="1" xfId="0" applyFont="1" applyFill="1" applyBorder="1" applyAlignment="1">
      <alignment horizontal="center" vertical="center"/>
    </xf>
    <xf numFmtId="0" fontId="50" fillId="16" borderId="14" xfId="0" applyFont="1" applyFill="1" applyBorder="1" applyAlignment="1">
      <alignment horizontal="center" vertical="center"/>
    </xf>
    <xf numFmtId="0" fontId="50" fillId="16" borderId="27" xfId="0" applyFont="1" applyFill="1" applyBorder="1" applyAlignment="1">
      <alignment horizontal="center" vertical="center"/>
    </xf>
    <xf numFmtId="0" fontId="50" fillId="16" borderId="28" xfId="0" applyFont="1" applyFill="1" applyBorder="1" applyAlignment="1">
      <alignment horizontal="center" vertical="center"/>
    </xf>
    <xf numFmtId="0" fontId="50" fillId="16" borderId="29" xfId="0" applyFont="1" applyFill="1" applyBorder="1" applyAlignment="1">
      <alignment horizontal="center" vertical="center"/>
    </xf>
    <xf numFmtId="0" fontId="5" fillId="0" borderId="1" xfId="0" applyFont="1" applyBorder="1" applyAlignment="1">
      <alignment horizontal="center" vertical="center"/>
    </xf>
    <xf numFmtId="0" fontId="50" fillId="16" borderId="21" xfId="0" applyFont="1" applyFill="1" applyBorder="1" applyAlignment="1">
      <alignment horizontal="center" vertical="center"/>
    </xf>
    <xf numFmtId="0" fontId="50" fillId="16" borderId="22" xfId="0" applyFont="1" applyFill="1" applyBorder="1" applyAlignment="1">
      <alignment horizontal="center" vertical="center"/>
    </xf>
    <xf numFmtId="0" fontId="50" fillId="16" borderId="23" xfId="0" applyFont="1" applyFill="1" applyBorder="1" applyAlignment="1">
      <alignment horizontal="center" vertical="center"/>
    </xf>
    <xf numFmtId="0" fontId="50" fillId="16" borderId="74" xfId="0" applyFont="1" applyFill="1" applyBorder="1" applyAlignment="1">
      <alignment horizontal="center" vertical="center"/>
    </xf>
    <xf numFmtId="0" fontId="50" fillId="16" borderId="75" xfId="0" applyFont="1" applyFill="1" applyBorder="1" applyAlignment="1">
      <alignment horizontal="center" vertical="center"/>
    </xf>
    <xf numFmtId="0" fontId="50" fillId="16" borderId="64" xfId="0" applyFont="1" applyFill="1" applyBorder="1" applyAlignment="1">
      <alignment horizontal="center" vertical="center"/>
    </xf>
    <xf numFmtId="0" fontId="26" fillId="0" borderId="20" xfId="0" applyFont="1" applyBorder="1" applyAlignment="1">
      <alignment horizontal="center" vertical="center" wrapText="1"/>
    </xf>
    <xf numFmtId="0" fontId="26" fillId="0" borderId="8" xfId="0" applyFont="1" applyBorder="1" applyAlignment="1">
      <alignment horizontal="center" vertical="center" wrapText="1"/>
    </xf>
  </cellXfs>
  <cellStyles count="579">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xfId="577"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Hipervínculo visitado" xfId="578"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aje" xfId="2" builtinId="5"/>
  </cellStyles>
  <dxfs count="48">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619" y="78440"/>
          <a:ext cx="1379234" cy="1109383"/>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54428"/>
          <a:ext cx="1379234" cy="1120269"/>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1" y="138546"/>
          <a:ext cx="1194955" cy="961159"/>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6" y="142875"/>
          <a:ext cx="847724" cy="580159"/>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85725"/>
          <a:ext cx="1194955" cy="961159"/>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466725"/>
          <a:ext cx="1104900" cy="961159"/>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x14ac:dyDescent="0.2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x14ac:dyDescent="0.25">
      <c r="A7" s="391" t="s">
        <v>201</v>
      </c>
      <c r="B7" s="391"/>
      <c r="C7" s="391"/>
      <c r="D7" s="391"/>
      <c r="E7" s="391"/>
      <c r="F7" s="391"/>
      <c r="G7" s="391"/>
      <c r="H7" s="391"/>
      <c r="I7" s="391"/>
      <c r="J7" s="391"/>
      <c r="K7" s="391"/>
    </row>
    <row r="8" spans="1:11" x14ac:dyDescent="0.25">
      <c r="A8" s="391" t="s">
        <v>202</v>
      </c>
      <c r="B8" s="391"/>
      <c r="C8" s="391"/>
      <c r="D8" s="391"/>
      <c r="E8" s="391"/>
      <c r="F8" s="391"/>
      <c r="G8" s="391"/>
      <c r="H8" s="391"/>
      <c r="I8" s="391"/>
      <c r="J8" s="391"/>
      <c r="K8" s="391"/>
    </row>
    <row r="9" spans="1:11" x14ac:dyDescent="0.25">
      <c r="A9" s="391" t="s">
        <v>203</v>
      </c>
      <c r="B9" s="391"/>
      <c r="C9" s="391"/>
      <c r="D9" s="391"/>
      <c r="E9" s="391"/>
      <c r="F9" s="391"/>
      <c r="G9" s="391"/>
      <c r="H9" s="391"/>
      <c r="I9" s="391"/>
      <c r="J9" s="391"/>
      <c r="K9" s="391"/>
    </row>
    <row r="10" spans="1:11" x14ac:dyDescent="0.25">
      <c r="A10" s="391" t="s">
        <v>472</v>
      </c>
      <c r="B10" s="391"/>
      <c r="C10" s="391"/>
      <c r="D10" s="391"/>
      <c r="E10" s="391"/>
      <c r="F10" s="391"/>
      <c r="G10" s="391"/>
      <c r="H10" s="391"/>
      <c r="I10" s="391"/>
      <c r="J10" s="391"/>
      <c r="K10" s="391"/>
    </row>
    <row r="11" spans="1:11" x14ac:dyDescent="0.25">
      <c r="D11" s="72"/>
      <c r="E11" s="72"/>
      <c r="F11" s="72"/>
      <c r="G11" s="72"/>
      <c r="H11" s="72"/>
      <c r="I11" s="72"/>
    </row>
    <row r="12" spans="1:11" x14ac:dyDescent="0.25">
      <c r="A12" s="379" t="s">
        <v>196</v>
      </c>
      <c r="B12" s="379"/>
      <c r="C12" s="379"/>
      <c r="D12" s="379"/>
      <c r="E12" s="379"/>
      <c r="F12" s="379"/>
      <c r="G12" s="379"/>
      <c r="H12" s="379"/>
      <c r="I12" s="379"/>
      <c r="J12" s="379"/>
      <c r="K12" s="379"/>
    </row>
    <row r="13" spans="1:11" ht="35.25" customHeight="1" x14ac:dyDescent="0.25">
      <c r="A13" s="47" t="s">
        <v>13</v>
      </c>
      <c r="B13" s="386" t="s">
        <v>71</v>
      </c>
      <c r="C13" s="387"/>
      <c r="D13" s="387"/>
      <c r="E13" s="387"/>
      <c r="F13" s="387"/>
      <c r="G13" s="387"/>
      <c r="H13" s="387"/>
      <c r="I13" s="387"/>
      <c r="J13" s="387"/>
      <c r="K13" s="388"/>
    </row>
    <row r="14" spans="1:11" x14ac:dyDescent="0.25">
      <c r="A14" s="54" t="s">
        <v>14</v>
      </c>
      <c r="B14" s="370" t="s">
        <v>15</v>
      </c>
      <c r="C14" s="371"/>
      <c r="D14" s="370" t="s">
        <v>16</v>
      </c>
      <c r="E14" s="371"/>
      <c r="F14" s="370" t="s">
        <v>17</v>
      </c>
      <c r="G14" s="371"/>
      <c r="H14" s="370" t="s">
        <v>18</v>
      </c>
      <c r="I14" s="371"/>
      <c r="J14" s="370" t="s">
        <v>19</v>
      </c>
      <c r="K14" s="371"/>
    </row>
    <row r="15" spans="1:11" x14ac:dyDescent="0.25">
      <c r="A15" s="26" t="s">
        <v>0</v>
      </c>
      <c r="B15" s="352" t="s">
        <v>44</v>
      </c>
      <c r="C15" s="352"/>
      <c r="D15" s="352" t="s">
        <v>72</v>
      </c>
      <c r="E15" s="352"/>
      <c r="F15" s="352" t="s">
        <v>72</v>
      </c>
      <c r="G15" s="352"/>
      <c r="H15" s="352" t="s">
        <v>72</v>
      </c>
      <c r="I15" s="352"/>
      <c r="J15" s="352" t="s">
        <v>72</v>
      </c>
      <c r="K15" s="352"/>
    </row>
    <row r="16" spans="1:11" x14ac:dyDescent="0.25">
      <c r="A16" s="26" t="s">
        <v>5</v>
      </c>
      <c r="B16" s="352" t="s">
        <v>45</v>
      </c>
      <c r="C16" s="352"/>
      <c r="D16" s="352" t="s">
        <v>73</v>
      </c>
      <c r="E16" s="352"/>
      <c r="F16" s="352" t="s">
        <v>73</v>
      </c>
      <c r="G16" s="352"/>
      <c r="H16" s="352" t="s">
        <v>73</v>
      </c>
      <c r="I16" s="352"/>
      <c r="J16" s="352" t="s">
        <v>73</v>
      </c>
      <c r="K16" s="352"/>
    </row>
    <row r="17" spans="1:13" x14ac:dyDescent="0.25">
      <c r="A17" s="26" t="s">
        <v>6</v>
      </c>
      <c r="B17" s="352">
        <v>2203000</v>
      </c>
      <c r="C17" s="352"/>
      <c r="D17" s="352">
        <v>2222800</v>
      </c>
      <c r="E17" s="352"/>
      <c r="F17" s="352">
        <v>2222800</v>
      </c>
      <c r="G17" s="352"/>
      <c r="H17" s="352">
        <v>2222800</v>
      </c>
      <c r="I17" s="352"/>
      <c r="J17" s="352">
        <v>2222800</v>
      </c>
      <c r="K17" s="352"/>
    </row>
    <row r="18" spans="1:13" x14ac:dyDescent="0.25">
      <c r="A18" s="26" t="s">
        <v>1</v>
      </c>
      <c r="B18" s="352" t="s">
        <v>46</v>
      </c>
      <c r="C18" s="352"/>
      <c r="D18" s="352" t="s">
        <v>71</v>
      </c>
      <c r="E18" s="352"/>
      <c r="F18" s="352" t="s">
        <v>71</v>
      </c>
      <c r="G18" s="352"/>
      <c r="H18" s="352" t="s">
        <v>71</v>
      </c>
      <c r="I18" s="352"/>
      <c r="J18" s="352" t="s">
        <v>71</v>
      </c>
      <c r="K18" s="352"/>
    </row>
    <row r="19" spans="1:13" x14ac:dyDescent="0.25">
      <c r="A19" s="368" t="s">
        <v>8</v>
      </c>
      <c r="B19" s="53" t="s">
        <v>22</v>
      </c>
      <c r="C19" s="53" t="s">
        <v>21</v>
      </c>
      <c r="D19" s="355"/>
      <c r="E19" s="356"/>
      <c r="F19" s="355"/>
      <c r="G19" s="356"/>
      <c r="H19" s="355"/>
      <c r="I19" s="356"/>
      <c r="J19" s="355"/>
      <c r="K19" s="356"/>
    </row>
    <row r="20" spans="1:13" x14ac:dyDescent="0.25">
      <c r="A20" s="369"/>
      <c r="B20" s="53" t="s">
        <v>47</v>
      </c>
      <c r="C20" s="48">
        <v>0.5</v>
      </c>
      <c r="D20" s="357"/>
      <c r="E20" s="358"/>
      <c r="F20" s="357"/>
      <c r="G20" s="358"/>
      <c r="H20" s="357"/>
      <c r="I20" s="358"/>
      <c r="J20" s="357"/>
      <c r="K20" s="358"/>
    </row>
    <row r="21" spans="1:13" x14ac:dyDescent="0.25">
      <c r="A21" s="369"/>
      <c r="B21" s="50" t="s">
        <v>57</v>
      </c>
      <c r="C21" s="46">
        <v>0.5</v>
      </c>
      <c r="D21" s="359"/>
      <c r="E21" s="360"/>
      <c r="F21" s="359"/>
      <c r="G21" s="360"/>
      <c r="H21" s="359"/>
      <c r="I21" s="360"/>
      <c r="J21" s="359"/>
      <c r="K21" s="360"/>
    </row>
    <row r="22" spans="1:13" x14ac:dyDescent="0.25">
      <c r="A22" s="26" t="s">
        <v>7</v>
      </c>
      <c r="B22" s="389" t="s">
        <v>48</v>
      </c>
      <c r="C22" s="390"/>
      <c r="D22" s="385" t="s">
        <v>74</v>
      </c>
      <c r="E22" s="385"/>
      <c r="F22" s="385" t="s">
        <v>77</v>
      </c>
      <c r="G22" s="385"/>
      <c r="H22" s="385" t="s">
        <v>80</v>
      </c>
      <c r="I22" s="385"/>
      <c r="J22" s="385" t="s">
        <v>82</v>
      </c>
      <c r="K22" s="385"/>
    </row>
    <row r="23" spans="1:13" x14ac:dyDescent="0.25">
      <c r="A23" s="26" t="s">
        <v>219</v>
      </c>
      <c r="B23" s="366">
        <v>8945764395</v>
      </c>
      <c r="C23" s="367"/>
      <c r="D23" s="366">
        <v>520468033</v>
      </c>
      <c r="E23" s="367"/>
      <c r="F23" s="366">
        <v>430794338</v>
      </c>
      <c r="G23" s="367"/>
      <c r="H23" s="366">
        <v>523499973</v>
      </c>
      <c r="I23" s="367"/>
      <c r="J23" s="366">
        <v>602738568</v>
      </c>
      <c r="K23" s="367"/>
    </row>
    <row r="24" spans="1:13" x14ac:dyDescent="0.25">
      <c r="A24" s="26" t="s">
        <v>204</v>
      </c>
      <c r="B24" s="353">
        <f>B23*C20</f>
        <v>4472882197.5</v>
      </c>
      <c r="C24" s="354"/>
      <c r="D24" s="353">
        <f>D23</f>
        <v>520468033</v>
      </c>
      <c r="E24" s="354"/>
      <c r="F24" s="353">
        <f>F23</f>
        <v>430794338</v>
      </c>
      <c r="G24" s="354"/>
      <c r="H24" s="353">
        <f>H23</f>
        <v>523499973</v>
      </c>
      <c r="I24" s="354"/>
      <c r="J24" s="353">
        <f>J23</f>
        <v>602738568</v>
      </c>
      <c r="K24" s="354"/>
    </row>
    <row r="25" spans="1:13" x14ac:dyDescent="0.25">
      <c r="A25" s="26" t="s">
        <v>231</v>
      </c>
      <c r="B25" s="353">
        <f>4862000059-1350000000</f>
        <v>3512000059</v>
      </c>
      <c r="C25" s="354"/>
      <c r="D25" s="353">
        <v>598596543</v>
      </c>
      <c r="E25" s="354"/>
      <c r="F25" s="353">
        <v>515280218</v>
      </c>
      <c r="G25" s="354"/>
      <c r="H25" s="353">
        <v>648975616</v>
      </c>
      <c r="I25" s="354"/>
      <c r="J25" s="353">
        <v>655173739</v>
      </c>
      <c r="K25" s="354"/>
      <c r="M25" s="49"/>
    </row>
    <row r="26" spans="1:13" x14ac:dyDescent="0.25">
      <c r="A26" s="26" t="s">
        <v>220</v>
      </c>
      <c r="B26" s="352" t="s">
        <v>49</v>
      </c>
      <c r="C26" s="352"/>
      <c r="D26" s="352" t="s">
        <v>75</v>
      </c>
      <c r="E26" s="352"/>
      <c r="F26" s="352" t="s">
        <v>78</v>
      </c>
      <c r="G26" s="352"/>
      <c r="H26" s="352" t="s">
        <v>81</v>
      </c>
      <c r="I26" s="352"/>
      <c r="J26" s="352" t="s">
        <v>83</v>
      </c>
      <c r="K26" s="352"/>
    </row>
    <row r="27" spans="1:13" x14ac:dyDescent="0.25">
      <c r="A27" s="26" t="s">
        <v>10</v>
      </c>
      <c r="B27" s="373">
        <v>41060</v>
      </c>
      <c r="C27" s="352"/>
      <c r="D27" s="373">
        <v>40714</v>
      </c>
      <c r="E27" s="352"/>
      <c r="F27" s="373">
        <v>40273</v>
      </c>
      <c r="G27" s="352"/>
      <c r="H27" s="373">
        <v>40003</v>
      </c>
      <c r="I27" s="352"/>
      <c r="J27" s="373">
        <v>41145</v>
      </c>
      <c r="K27" s="352"/>
    </row>
    <row r="28" spans="1:13" x14ac:dyDescent="0.25">
      <c r="A28" s="26" t="s">
        <v>3</v>
      </c>
      <c r="B28" s="373">
        <v>41074</v>
      </c>
      <c r="C28" s="352"/>
      <c r="D28" s="373">
        <v>40714</v>
      </c>
      <c r="E28" s="352"/>
      <c r="F28" s="373">
        <v>40288</v>
      </c>
      <c r="G28" s="352"/>
      <c r="H28" s="373">
        <v>40003</v>
      </c>
      <c r="I28" s="352"/>
      <c r="J28" s="373">
        <v>41149</v>
      </c>
      <c r="K28" s="352"/>
      <c r="L28" s="49"/>
      <c r="M28" s="49"/>
    </row>
    <row r="29" spans="1:13" x14ac:dyDescent="0.25">
      <c r="A29" s="26" t="s">
        <v>9</v>
      </c>
      <c r="B29" s="373">
        <v>41523</v>
      </c>
      <c r="C29" s="352"/>
      <c r="D29" s="373">
        <v>41060</v>
      </c>
      <c r="E29" s="352"/>
      <c r="F29" s="373">
        <v>40755</v>
      </c>
      <c r="G29" s="352"/>
      <c r="H29" s="373">
        <v>40390</v>
      </c>
      <c r="I29" s="352"/>
      <c r="J29" s="373">
        <v>41394</v>
      </c>
      <c r="K29" s="352"/>
      <c r="L29" s="49"/>
    </row>
    <row r="30" spans="1:13" x14ac:dyDescent="0.25">
      <c r="A30" s="26" t="s">
        <v>11</v>
      </c>
      <c r="B30" s="373">
        <v>41598</v>
      </c>
      <c r="C30" s="352"/>
      <c r="D30" s="373">
        <v>41226</v>
      </c>
      <c r="E30" s="352"/>
      <c r="F30" s="373">
        <v>40928</v>
      </c>
      <c r="G30" s="352"/>
      <c r="H30" s="373">
        <v>40928</v>
      </c>
      <c r="I30" s="352"/>
      <c r="J30" s="373">
        <v>41149</v>
      </c>
      <c r="K30" s="352"/>
    </row>
    <row r="31" spans="1:13" x14ac:dyDescent="0.25">
      <c r="A31" s="26" t="s">
        <v>12</v>
      </c>
      <c r="B31" s="352" t="s">
        <v>50</v>
      </c>
      <c r="C31" s="352"/>
      <c r="D31" s="352" t="s">
        <v>76</v>
      </c>
      <c r="E31" s="352"/>
      <c r="F31" s="352" t="s">
        <v>79</v>
      </c>
      <c r="G31" s="352"/>
      <c r="H31" s="352" t="s">
        <v>79</v>
      </c>
      <c r="I31" s="352"/>
      <c r="J31" s="352" t="s">
        <v>84</v>
      </c>
      <c r="K31" s="352"/>
    </row>
    <row r="32" spans="1:13" x14ac:dyDescent="0.25">
      <c r="A32" s="26" t="s">
        <v>4</v>
      </c>
      <c r="B32" s="352" t="s">
        <v>51</v>
      </c>
      <c r="C32" s="352"/>
      <c r="D32" s="352" t="s">
        <v>51</v>
      </c>
      <c r="E32" s="352"/>
      <c r="F32" s="352" t="s">
        <v>51</v>
      </c>
      <c r="G32" s="352"/>
      <c r="H32" s="352" t="s">
        <v>51</v>
      </c>
      <c r="I32" s="352"/>
      <c r="J32" s="352" t="s">
        <v>51</v>
      </c>
      <c r="K32" s="352"/>
      <c r="L32" s="17"/>
    </row>
    <row r="33" spans="1:13" ht="15.75" thickBot="1" x14ac:dyDescent="0.3">
      <c r="A33" s="28" t="s">
        <v>40</v>
      </c>
      <c r="B33" s="394">
        <v>1</v>
      </c>
      <c r="C33" s="395"/>
      <c r="D33" s="392">
        <v>1</v>
      </c>
      <c r="E33" s="393"/>
      <c r="F33" s="392">
        <v>1</v>
      </c>
      <c r="G33" s="393"/>
      <c r="H33" s="392">
        <v>1</v>
      </c>
      <c r="I33" s="393"/>
      <c r="J33" s="392">
        <v>1</v>
      </c>
      <c r="K33" s="393"/>
    </row>
    <row r="34" spans="1:13" x14ac:dyDescent="0.25">
      <c r="A34" s="33" t="s">
        <v>39</v>
      </c>
      <c r="B34" s="396">
        <f>SUMIFS(B25:K25,B33:K33,1)</f>
        <v>5930026175</v>
      </c>
      <c r="C34" s="397"/>
      <c r="D34" s="30"/>
      <c r="E34" s="30"/>
      <c r="F34" s="30"/>
      <c r="G34" s="30"/>
      <c r="H34" s="30"/>
      <c r="I34" s="30"/>
      <c r="J34" s="30"/>
      <c r="K34" s="30"/>
      <c r="L34" s="32"/>
      <c r="M34" s="57"/>
    </row>
    <row r="35" spans="1:13" ht="15.75" thickBot="1" x14ac:dyDescent="0.3">
      <c r="A35" s="34" t="s">
        <v>41</v>
      </c>
      <c r="B35" s="363">
        <f>IF(B34&gt;2.5*2250000000,45,IF(B34&gt;2*2250000000,30,IF(B34&gt;1.5*2250000000,15,0)))</f>
        <v>45</v>
      </c>
      <c r="C35" s="364"/>
      <c r="D35" s="30"/>
      <c r="E35" s="30"/>
      <c r="F35" s="30"/>
      <c r="G35" s="30"/>
      <c r="H35" s="30"/>
      <c r="I35" s="30"/>
      <c r="J35" s="30"/>
      <c r="K35" s="30"/>
      <c r="M35" s="57"/>
    </row>
    <row r="36" spans="1:13" x14ac:dyDescent="0.25">
      <c r="A36" s="30"/>
      <c r="B36" s="30"/>
      <c r="C36" s="30"/>
      <c r="D36" s="30"/>
      <c r="E36" s="30"/>
      <c r="F36" s="30"/>
      <c r="G36" s="30"/>
      <c r="H36" s="30"/>
      <c r="I36" s="30"/>
      <c r="J36" s="30"/>
      <c r="K36" s="30"/>
      <c r="M36" s="57"/>
    </row>
    <row r="37" spans="1:13" x14ac:dyDescent="0.25">
      <c r="A37" s="102" t="s">
        <v>196</v>
      </c>
      <c r="B37" s="108"/>
      <c r="C37" s="108"/>
      <c r="D37" s="108"/>
      <c r="E37" s="108"/>
      <c r="F37" s="108"/>
      <c r="G37" s="108"/>
      <c r="H37" s="108"/>
      <c r="I37" s="108"/>
      <c r="J37" s="108"/>
      <c r="K37" s="103"/>
    </row>
    <row r="38" spans="1:13" x14ac:dyDescent="0.25">
      <c r="A38" s="47" t="s">
        <v>13</v>
      </c>
      <c r="B38" s="102" t="s">
        <v>85</v>
      </c>
      <c r="C38" s="108"/>
      <c r="D38" s="108"/>
      <c r="E38" s="108"/>
      <c r="F38" s="108"/>
      <c r="G38" s="108"/>
      <c r="H38" s="108"/>
      <c r="I38" s="108"/>
      <c r="J38" s="108"/>
      <c r="K38" s="103"/>
    </row>
    <row r="39" spans="1:13" x14ac:dyDescent="0.25">
      <c r="A39" s="54" t="s">
        <v>14</v>
      </c>
      <c r="B39" s="370" t="s">
        <v>15</v>
      </c>
      <c r="C39" s="371"/>
      <c r="D39" s="370" t="s">
        <v>16</v>
      </c>
      <c r="E39" s="371"/>
      <c r="F39" s="370" t="s">
        <v>17</v>
      </c>
      <c r="G39" s="371"/>
      <c r="H39" s="370" t="s">
        <v>18</v>
      </c>
      <c r="I39" s="371"/>
      <c r="J39" s="370" t="s">
        <v>19</v>
      </c>
      <c r="K39" s="371"/>
    </row>
    <row r="40" spans="1:13" x14ac:dyDescent="0.25">
      <c r="A40" s="26" t="s">
        <v>0</v>
      </c>
      <c r="B40" s="352" t="s">
        <v>171</v>
      </c>
      <c r="C40" s="352"/>
      <c r="D40" s="352" t="s">
        <v>172</v>
      </c>
      <c r="E40" s="352"/>
      <c r="F40" s="352" t="s">
        <v>97</v>
      </c>
      <c r="G40" s="352"/>
      <c r="H40" s="352" t="s">
        <v>97</v>
      </c>
      <c r="I40" s="352"/>
      <c r="J40" s="352" t="s">
        <v>173</v>
      </c>
      <c r="K40" s="352"/>
    </row>
    <row r="41" spans="1:13" x14ac:dyDescent="0.25">
      <c r="A41" s="26" t="s">
        <v>5</v>
      </c>
      <c r="B41" s="352" t="s">
        <v>174</v>
      </c>
      <c r="C41" s="352"/>
      <c r="D41" s="352" t="s">
        <v>175</v>
      </c>
      <c r="E41" s="352"/>
      <c r="F41" s="352" t="s">
        <v>176</v>
      </c>
      <c r="G41" s="352"/>
      <c r="H41" s="352" t="s">
        <v>176</v>
      </c>
      <c r="I41" s="352"/>
      <c r="J41" s="352" t="s">
        <v>177</v>
      </c>
      <c r="K41" s="352"/>
    </row>
    <row r="42" spans="1:13" x14ac:dyDescent="0.25">
      <c r="A42" s="26" t="s">
        <v>6</v>
      </c>
      <c r="B42" s="352">
        <v>6260693</v>
      </c>
      <c r="C42" s="352"/>
      <c r="D42" s="352">
        <v>2203000</v>
      </c>
      <c r="E42" s="352"/>
      <c r="F42" s="352">
        <v>6210644</v>
      </c>
      <c r="G42" s="352"/>
      <c r="H42" s="352">
        <v>6210644</v>
      </c>
      <c r="I42" s="352"/>
      <c r="J42" s="352">
        <v>5714983</v>
      </c>
      <c r="K42" s="352"/>
    </row>
    <row r="43" spans="1:13" x14ac:dyDescent="0.25">
      <c r="A43" s="26" t="s">
        <v>1</v>
      </c>
      <c r="B43" s="352" t="s">
        <v>86</v>
      </c>
      <c r="C43" s="352"/>
      <c r="D43" s="352" t="s">
        <v>86</v>
      </c>
      <c r="E43" s="352"/>
      <c r="F43" s="352" t="s">
        <v>86</v>
      </c>
      <c r="G43" s="352"/>
      <c r="H43" s="53" t="s">
        <v>86</v>
      </c>
      <c r="I43" s="53"/>
      <c r="J43" s="352" t="s">
        <v>178</v>
      </c>
      <c r="K43" s="352"/>
    </row>
    <row r="44" spans="1:13" x14ac:dyDescent="0.25">
      <c r="A44" s="368" t="s">
        <v>8</v>
      </c>
      <c r="B44" s="355"/>
      <c r="C44" s="356"/>
      <c r="D44" s="355"/>
      <c r="E44" s="356"/>
      <c r="F44" s="355"/>
      <c r="G44" s="356"/>
      <c r="H44" s="355"/>
      <c r="I44" s="356"/>
      <c r="J44" s="53" t="s">
        <v>22</v>
      </c>
      <c r="K44" s="53" t="s">
        <v>21</v>
      </c>
    </row>
    <row r="45" spans="1:13" x14ac:dyDescent="0.25">
      <c r="A45" s="369"/>
      <c r="B45" s="357"/>
      <c r="C45" s="358"/>
      <c r="D45" s="357"/>
      <c r="E45" s="358"/>
      <c r="F45" s="357"/>
      <c r="G45" s="358"/>
      <c r="H45" s="357"/>
      <c r="I45" s="358"/>
      <c r="J45" s="53" t="s">
        <v>86</v>
      </c>
      <c r="K45" s="48">
        <v>0.5</v>
      </c>
    </row>
    <row r="46" spans="1:13" x14ac:dyDescent="0.25">
      <c r="A46" s="369"/>
      <c r="B46" s="359"/>
      <c r="C46" s="360"/>
      <c r="D46" s="359"/>
      <c r="E46" s="360"/>
      <c r="F46" s="359"/>
      <c r="G46" s="360"/>
      <c r="H46" s="359"/>
      <c r="I46" s="360"/>
      <c r="J46" s="53" t="s">
        <v>179</v>
      </c>
      <c r="K46" s="48">
        <v>0.5</v>
      </c>
    </row>
    <row r="47" spans="1:13" x14ac:dyDescent="0.25">
      <c r="A47" s="26" t="s">
        <v>7</v>
      </c>
      <c r="B47" s="352" t="s">
        <v>92</v>
      </c>
      <c r="C47" s="352"/>
      <c r="D47" s="352" t="s">
        <v>180</v>
      </c>
      <c r="E47" s="352"/>
      <c r="F47" s="352" t="s">
        <v>181</v>
      </c>
      <c r="G47" s="352"/>
      <c r="H47" s="352" t="s">
        <v>182</v>
      </c>
      <c r="I47" s="352"/>
      <c r="J47" s="352" t="s">
        <v>93</v>
      </c>
      <c r="K47" s="352"/>
    </row>
    <row r="48" spans="1:13" x14ac:dyDescent="0.25">
      <c r="A48" s="26" t="s">
        <v>219</v>
      </c>
      <c r="B48" s="353">
        <v>2315578505</v>
      </c>
      <c r="C48" s="354"/>
      <c r="D48" s="353">
        <v>428129200</v>
      </c>
      <c r="E48" s="354"/>
      <c r="F48" s="353">
        <v>300000000</v>
      </c>
      <c r="G48" s="354"/>
      <c r="H48" s="353">
        <v>384097975</v>
      </c>
      <c r="I48" s="354"/>
      <c r="J48" s="353">
        <v>278028800</v>
      </c>
      <c r="K48" s="354"/>
    </row>
    <row r="49" spans="1:13" x14ac:dyDescent="0.25">
      <c r="A49" s="26" t="s">
        <v>204</v>
      </c>
      <c r="B49" s="353">
        <f>B48</f>
        <v>2315578505</v>
      </c>
      <c r="C49" s="354"/>
      <c r="D49" s="353">
        <f>D48</f>
        <v>428129200</v>
      </c>
      <c r="E49" s="354"/>
      <c r="F49" s="353">
        <f>F48</f>
        <v>300000000</v>
      </c>
      <c r="G49" s="354"/>
      <c r="H49" s="353">
        <f>H48</f>
        <v>384097975</v>
      </c>
      <c r="I49" s="354"/>
      <c r="J49" s="353">
        <f>J48*K45</f>
        <v>139014400</v>
      </c>
      <c r="K49" s="354"/>
    </row>
    <row r="50" spans="1:13" x14ac:dyDescent="0.25">
      <c r="A50" s="26" t="s">
        <v>220</v>
      </c>
      <c r="B50" s="352" t="s">
        <v>183</v>
      </c>
      <c r="C50" s="352"/>
      <c r="D50" s="352" t="s">
        <v>184</v>
      </c>
      <c r="E50" s="352"/>
      <c r="F50" s="352" t="s">
        <v>185</v>
      </c>
      <c r="G50" s="352"/>
      <c r="H50" s="352" t="s">
        <v>185</v>
      </c>
      <c r="I50" s="352"/>
      <c r="J50" s="352" t="s">
        <v>186</v>
      </c>
      <c r="K50" s="352"/>
    </row>
    <row r="51" spans="1:13" x14ac:dyDescent="0.25">
      <c r="A51" s="26" t="s">
        <v>231</v>
      </c>
      <c r="B51" s="353">
        <v>3738915751</v>
      </c>
      <c r="C51" s="354"/>
      <c r="D51" s="353">
        <v>492396541</v>
      </c>
      <c r="E51" s="354"/>
      <c r="F51" s="353">
        <v>371905816</v>
      </c>
      <c r="G51" s="354"/>
      <c r="H51" s="353">
        <v>459425927</v>
      </c>
      <c r="I51" s="354"/>
      <c r="J51" s="353">
        <v>172334213</v>
      </c>
      <c r="K51" s="354"/>
      <c r="M51" s="58"/>
    </row>
    <row r="52" spans="1:13" x14ac:dyDescent="0.25">
      <c r="A52" s="26" t="s">
        <v>10</v>
      </c>
      <c r="B52" s="373">
        <v>38353</v>
      </c>
      <c r="C52" s="352"/>
      <c r="D52" s="373">
        <v>40787</v>
      </c>
      <c r="E52" s="352"/>
      <c r="F52" s="373">
        <v>39814</v>
      </c>
      <c r="G52" s="352"/>
      <c r="H52" s="373">
        <v>40179</v>
      </c>
      <c r="I52" s="352"/>
      <c r="J52" s="373">
        <v>39968</v>
      </c>
      <c r="K52" s="352"/>
      <c r="L52" s="49"/>
      <c r="M52" s="49"/>
    </row>
    <row r="53" spans="1:13" x14ac:dyDescent="0.25">
      <c r="A53" s="26" t="s">
        <v>3</v>
      </c>
      <c r="B53" s="373">
        <v>38353</v>
      </c>
      <c r="C53" s="352"/>
      <c r="D53" s="373">
        <v>40798</v>
      </c>
      <c r="E53" s="352"/>
      <c r="F53" s="373">
        <v>39818</v>
      </c>
      <c r="G53" s="352"/>
      <c r="H53" s="373">
        <v>40179</v>
      </c>
      <c r="I53" s="352"/>
      <c r="J53" s="373">
        <v>39990</v>
      </c>
      <c r="K53" s="352"/>
      <c r="L53" s="49"/>
    </row>
    <row r="54" spans="1:13" x14ac:dyDescent="0.25">
      <c r="A54" s="26" t="s">
        <v>9</v>
      </c>
      <c r="B54" s="373">
        <v>41639</v>
      </c>
      <c r="C54" s="352"/>
      <c r="D54" s="373">
        <v>41163</v>
      </c>
      <c r="E54" s="352"/>
      <c r="F54" s="373">
        <v>40178</v>
      </c>
      <c r="G54" s="352"/>
      <c r="H54" s="373">
        <v>40543</v>
      </c>
      <c r="I54" s="352"/>
      <c r="J54" s="373">
        <v>40908</v>
      </c>
      <c r="K54" s="352"/>
    </row>
    <row r="55" spans="1:13" x14ac:dyDescent="0.25">
      <c r="A55" s="26" t="s">
        <v>11</v>
      </c>
      <c r="B55" s="373">
        <v>41642</v>
      </c>
      <c r="C55" s="352"/>
      <c r="D55" s="352"/>
      <c r="E55" s="352"/>
      <c r="F55" s="352"/>
      <c r="G55" s="352"/>
      <c r="H55" s="352"/>
      <c r="I55" s="352"/>
      <c r="J55" s="373">
        <v>40974</v>
      </c>
      <c r="K55" s="352"/>
    </row>
    <row r="56" spans="1:13" x14ac:dyDescent="0.25">
      <c r="A56" s="26" t="s">
        <v>12</v>
      </c>
      <c r="B56" s="352" t="s">
        <v>187</v>
      </c>
      <c r="C56" s="352"/>
      <c r="D56" s="352"/>
      <c r="E56" s="352"/>
      <c r="F56" s="352" t="s">
        <v>188</v>
      </c>
      <c r="G56" s="352"/>
      <c r="H56" s="352" t="s">
        <v>188</v>
      </c>
      <c r="I56" s="352"/>
      <c r="J56" s="352" t="s">
        <v>189</v>
      </c>
      <c r="K56" s="352"/>
    </row>
    <row r="57" spans="1:13" x14ac:dyDescent="0.25">
      <c r="A57" s="26" t="s">
        <v>4</v>
      </c>
      <c r="B57" s="352" t="s">
        <v>190</v>
      </c>
      <c r="C57" s="352"/>
      <c r="D57" s="352" t="s">
        <v>190</v>
      </c>
      <c r="E57" s="352"/>
      <c r="F57" s="352" t="s">
        <v>190</v>
      </c>
      <c r="G57" s="352"/>
      <c r="H57" s="352" t="s">
        <v>190</v>
      </c>
      <c r="I57" s="352"/>
      <c r="J57" s="352" t="s">
        <v>190</v>
      </c>
      <c r="K57" s="352"/>
    </row>
    <row r="58" spans="1:13" ht="15.75" thickBot="1" x14ac:dyDescent="0.3">
      <c r="A58" s="28" t="s">
        <v>40</v>
      </c>
      <c r="B58" s="372">
        <v>1</v>
      </c>
      <c r="C58" s="372"/>
      <c r="D58" s="365">
        <v>1</v>
      </c>
      <c r="E58" s="365"/>
      <c r="F58" s="365">
        <v>1</v>
      </c>
      <c r="G58" s="365"/>
      <c r="H58" s="365">
        <v>1</v>
      </c>
      <c r="I58" s="365"/>
      <c r="J58" s="365">
        <v>1</v>
      </c>
      <c r="K58" s="365"/>
      <c r="L58" s="32"/>
      <c r="M58" s="57"/>
    </row>
    <row r="59" spans="1:13" x14ac:dyDescent="0.25">
      <c r="A59" s="33" t="s">
        <v>39</v>
      </c>
      <c r="B59" s="361">
        <f>B51+D51+F51+H51+J51</f>
        <v>5234978248</v>
      </c>
      <c r="C59" s="362"/>
      <c r="D59" s="30"/>
      <c r="E59" s="30"/>
      <c r="F59" s="30"/>
      <c r="G59" s="30"/>
      <c r="H59" s="30"/>
      <c r="I59" s="30"/>
      <c r="J59" s="30"/>
      <c r="K59" s="30"/>
      <c r="L59" s="57"/>
      <c r="M59" s="57"/>
    </row>
    <row r="60" spans="1:13" ht="15.75" thickBot="1" x14ac:dyDescent="0.3">
      <c r="A60" s="34" t="s">
        <v>41</v>
      </c>
      <c r="B60" s="363">
        <f>IF(B59&gt;2.5*2250000000,45,IF(B59&gt;2*2250000000,30,IF(B59&gt;1.5*2250000000,15,0)))</f>
        <v>30</v>
      </c>
      <c r="C60" s="364"/>
      <c r="D60" s="30"/>
      <c r="E60" s="30"/>
      <c r="F60" s="30"/>
      <c r="G60" s="30"/>
      <c r="H60" s="30"/>
      <c r="I60" s="30"/>
      <c r="J60" s="30"/>
      <c r="K60" s="30"/>
      <c r="M60" s="57"/>
    </row>
    <row r="61" spans="1:13" x14ac:dyDescent="0.25">
      <c r="A61" s="30"/>
      <c r="B61" s="30"/>
      <c r="C61" s="30"/>
      <c r="D61" s="30"/>
      <c r="E61" s="30"/>
      <c r="F61" s="30"/>
      <c r="G61" s="30"/>
      <c r="H61" s="30"/>
      <c r="I61" s="30"/>
      <c r="J61" s="30"/>
      <c r="K61" s="30"/>
    </row>
    <row r="62" spans="1:13" x14ac:dyDescent="0.25">
      <c r="A62" s="379" t="s">
        <v>196</v>
      </c>
      <c r="B62" s="379"/>
      <c r="C62" s="379"/>
      <c r="D62" s="379"/>
      <c r="E62" s="379"/>
      <c r="F62" s="379"/>
      <c r="G62" s="379"/>
      <c r="H62" s="379"/>
      <c r="I62" s="379"/>
      <c r="J62" s="379"/>
      <c r="K62" s="379"/>
    </row>
    <row r="63" spans="1:13" x14ac:dyDescent="0.25">
      <c r="A63" s="47" t="s">
        <v>13</v>
      </c>
      <c r="B63" s="380" t="s">
        <v>195</v>
      </c>
      <c r="C63" s="370"/>
      <c r="D63" s="370"/>
      <c r="E63" s="370"/>
      <c r="F63" s="370"/>
      <c r="G63" s="370"/>
      <c r="H63" s="370"/>
      <c r="I63" s="370"/>
      <c r="J63" s="370"/>
      <c r="K63" s="371"/>
    </row>
    <row r="64" spans="1:13" x14ac:dyDescent="0.25">
      <c r="A64" s="54" t="s">
        <v>14</v>
      </c>
      <c r="B64" s="108" t="s">
        <v>15</v>
      </c>
      <c r="C64" s="103"/>
      <c r="D64" s="102" t="s">
        <v>16</v>
      </c>
      <c r="E64" s="103"/>
      <c r="F64" s="102" t="s">
        <v>17</v>
      </c>
      <c r="G64" s="103"/>
      <c r="H64" s="102" t="s">
        <v>18</v>
      </c>
      <c r="I64" s="103"/>
      <c r="J64" s="370" t="s">
        <v>19</v>
      </c>
      <c r="K64" s="371"/>
    </row>
    <row r="65" spans="1:14" x14ac:dyDescent="0.25">
      <c r="A65" s="26" t="s">
        <v>0</v>
      </c>
      <c r="B65" s="26" t="s">
        <v>105</v>
      </c>
      <c r="C65" s="104"/>
      <c r="D65" s="26" t="s">
        <v>106</v>
      </c>
      <c r="E65" s="104"/>
      <c r="F65" s="26" t="s">
        <v>106</v>
      </c>
      <c r="G65" s="104"/>
      <c r="H65" s="26" t="s">
        <v>160</v>
      </c>
      <c r="I65" s="104"/>
      <c r="J65" s="352"/>
      <c r="K65" s="352"/>
    </row>
    <row r="66" spans="1:14" x14ac:dyDescent="0.25">
      <c r="A66" s="26" t="s">
        <v>5</v>
      </c>
      <c r="B66" s="26" t="s">
        <v>107</v>
      </c>
      <c r="C66" s="104"/>
      <c r="D66" s="26" t="s">
        <v>108</v>
      </c>
      <c r="E66" s="104"/>
      <c r="F66" s="26" t="s">
        <v>108</v>
      </c>
      <c r="G66" s="104"/>
      <c r="H66" s="26" t="s">
        <v>161</v>
      </c>
      <c r="I66" s="104"/>
      <c r="J66" s="352"/>
      <c r="K66" s="352"/>
    </row>
    <row r="67" spans="1:14" x14ac:dyDescent="0.25">
      <c r="A67" s="26" t="s">
        <v>6</v>
      </c>
      <c r="B67" s="26">
        <v>6690433</v>
      </c>
      <c r="C67" s="104"/>
      <c r="D67" s="26">
        <v>6461300</v>
      </c>
      <c r="E67" s="104"/>
      <c r="F67" s="26">
        <v>6461300</v>
      </c>
      <c r="G67" s="104"/>
      <c r="H67" s="26">
        <v>5462121</v>
      </c>
      <c r="I67" s="104"/>
      <c r="J67" s="352"/>
      <c r="K67" s="352"/>
    </row>
    <row r="68" spans="1:14" x14ac:dyDescent="0.25">
      <c r="A68" s="26" t="s">
        <v>1</v>
      </c>
      <c r="B68" s="26" t="s">
        <v>109</v>
      </c>
      <c r="C68" s="104"/>
      <c r="D68" s="26" t="s">
        <v>110</v>
      </c>
      <c r="E68" s="104"/>
      <c r="F68" s="26" t="s">
        <v>110</v>
      </c>
      <c r="G68" s="104"/>
      <c r="H68" s="26" t="s">
        <v>110</v>
      </c>
      <c r="I68" s="104"/>
      <c r="J68" s="352"/>
      <c r="K68" s="352"/>
    </row>
    <row r="69" spans="1:14" x14ac:dyDescent="0.25">
      <c r="A69" s="375" t="s">
        <v>8</v>
      </c>
      <c r="B69" s="107" t="s">
        <v>22</v>
      </c>
      <c r="C69" s="53" t="s">
        <v>21</v>
      </c>
      <c r="D69" s="107" t="s">
        <v>22</v>
      </c>
      <c r="E69" s="53" t="s">
        <v>21</v>
      </c>
      <c r="F69" s="53" t="s">
        <v>22</v>
      </c>
      <c r="G69" s="53" t="s">
        <v>21</v>
      </c>
      <c r="H69" s="107" t="s">
        <v>22</v>
      </c>
      <c r="I69" s="53" t="s">
        <v>21</v>
      </c>
      <c r="J69" s="53" t="s">
        <v>22</v>
      </c>
      <c r="K69" s="53" t="s">
        <v>21</v>
      </c>
      <c r="L69" s="32"/>
      <c r="M69" s="32"/>
      <c r="N69" s="32"/>
    </row>
    <row r="70" spans="1:14" x14ac:dyDescent="0.25">
      <c r="A70" s="376"/>
      <c r="B70" s="53" t="s">
        <v>111</v>
      </c>
      <c r="C70" s="27"/>
      <c r="D70" s="53"/>
      <c r="E70" s="27"/>
      <c r="F70" s="53"/>
      <c r="G70" s="53"/>
      <c r="H70" s="53"/>
      <c r="I70" s="53"/>
      <c r="J70" s="53"/>
      <c r="K70" s="53"/>
      <c r="L70" s="32"/>
      <c r="M70" s="32"/>
      <c r="N70" s="32"/>
    </row>
    <row r="71" spans="1:14" x14ac:dyDescent="0.25">
      <c r="A71" s="376"/>
      <c r="B71" s="53"/>
      <c r="C71" s="53"/>
      <c r="D71" s="53"/>
      <c r="E71" s="53"/>
      <c r="F71" s="53"/>
      <c r="G71" s="53"/>
      <c r="H71" s="53"/>
      <c r="I71" s="53"/>
      <c r="J71" s="53"/>
      <c r="K71" s="53"/>
      <c r="L71" s="32"/>
      <c r="M71" s="32"/>
      <c r="N71" s="32"/>
    </row>
    <row r="72" spans="1:14" x14ac:dyDescent="0.25">
      <c r="A72" s="376"/>
      <c r="B72" s="53"/>
      <c r="C72" s="53"/>
      <c r="D72" s="53"/>
      <c r="E72" s="53"/>
      <c r="F72" s="53"/>
      <c r="G72" s="53"/>
      <c r="H72" s="53"/>
      <c r="I72" s="53"/>
      <c r="J72" s="53"/>
      <c r="K72" s="53"/>
      <c r="L72" s="32"/>
      <c r="M72" s="32"/>
      <c r="N72" s="32"/>
    </row>
    <row r="73" spans="1:14" x14ac:dyDescent="0.25">
      <c r="A73" s="377"/>
      <c r="B73" s="53"/>
      <c r="C73" s="53"/>
      <c r="D73" s="53"/>
      <c r="E73" s="53"/>
      <c r="F73" s="53"/>
      <c r="G73" s="53"/>
      <c r="H73" s="53"/>
      <c r="I73" s="53"/>
      <c r="J73" s="53"/>
      <c r="K73" s="53"/>
      <c r="L73" s="32"/>
      <c r="M73" s="32"/>
      <c r="N73" s="32"/>
    </row>
    <row r="74" spans="1:14" x14ac:dyDescent="0.25">
      <c r="A74" s="26" t="s">
        <v>7</v>
      </c>
      <c r="B74" s="26" t="s">
        <v>112</v>
      </c>
      <c r="C74" s="104"/>
      <c r="D74" s="26">
        <v>7202223</v>
      </c>
      <c r="E74" s="104"/>
      <c r="F74" s="26">
        <v>7203028</v>
      </c>
      <c r="G74" s="104"/>
      <c r="H74" s="26" t="s">
        <v>162</v>
      </c>
      <c r="I74" s="104"/>
      <c r="J74" s="352"/>
      <c r="K74" s="352"/>
      <c r="L74" s="32"/>
      <c r="M74" s="32"/>
      <c r="N74" s="32"/>
    </row>
    <row r="75" spans="1:14" x14ac:dyDescent="0.25">
      <c r="A75" s="26" t="s">
        <v>219</v>
      </c>
      <c r="B75" s="105">
        <v>480000000</v>
      </c>
      <c r="C75" s="106"/>
      <c r="D75" s="105">
        <v>1342420034</v>
      </c>
      <c r="E75" s="106"/>
      <c r="F75" s="105">
        <v>1190013044</v>
      </c>
      <c r="G75" s="106"/>
      <c r="H75" s="105">
        <v>2769730400</v>
      </c>
      <c r="I75" s="106"/>
      <c r="J75" s="352"/>
      <c r="K75" s="352"/>
      <c r="L75" s="32"/>
      <c r="M75" s="58"/>
      <c r="N75" s="32"/>
    </row>
    <row r="76" spans="1:14" x14ac:dyDescent="0.25">
      <c r="A76" s="26" t="s">
        <v>231</v>
      </c>
      <c r="B76" s="105">
        <v>101635922</v>
      </c>
      <c r="C76" s="106"/>
      <c r="D76" s="105">
        <v>581703707</v>
      </c>
      <c r="E76" s="106"/>
      <c r="F76" s="105">
        <v>1243508117</v>
      </c>
      <c r="G76" s="106"/>
      <c r="H76" s="105">
        <v>3010682771</v>
      </c>
      <c r="I76" s="106"/>
      <c r="J76" s="383"/>
      <c r="K76" s="384"/>
      <c r="L76" s="32"/>
      <c r="M76" s="32"/>
      <c r="N76" s="32"/>
    </row>
    <row r="77" spans="1:14" x14ac:dyDescent="0.25">
      <c r="A77" s="26" t="s">
        <v>220</v>
      </c>
      <c r="B77" s="26" t="s">
        <v>113</v>
      </c>
      <c r="C77" s="104"/>
      <c r="D77" s="26" t="s">
        <v>163</v>
      </c>
      <c r="E77" s="104"/>
      <c r="F77" s="26" t="s">
        <v>164</v>
      </c>
      <c r="G77" s="104"/>
      <c r="H77" s="26" t="s">
        <v>165</v>
      </c>
      <c r="I77" s="104"/>
      <c r="J77" s="352"/>
      <c r="K77" s="352"/>
      <c r="L77" s="32"/>
      <c r="M77" s="32"/>
      <c r="N77" s="32"/>
    </row>
    <row r="78" spans="1:14" x14ac:dyDescent="0.25">
      <c r="A78" s="26" t="s">
        <v>10</v>
      </c>
      <c r="B78" s="63">
        <v>40483</v>
      </c>
      <c r="C78" s="104"/>
      <c r="D78" s="63">
        <v>40989</v>
      </c>
      <c r="E78" s="104"/>
      <c r="F78" s="63">
        <v>41390</v>
      </c>
      <c r="G78" s="104"/>
      <c r="H78" s="63">
        <v>41167</v>
      </c>
      <c r="I78" s="104"/>
      <c r="J78" s="352"/>
      <c r="K78" s="352"/>
      <c r="L78" s="32"/>
      <c r="M78" s="32"/>
      <c r="N78" s="32"/>
    </row>
    <row r="79" spans="1:14" x14ac:dyDescent="0.25">
      <c r="A79" s="26" t="s">
        <v>3</v>
      </c>
      <c r="B79" s="63">
        <v>40483</v>
      </c>
      <c r="C79" s="104"/>
      <c r="D79" s="63">
        <v>41000</v>
      </c>
      <c r="E79" s="104"/>
      <c r="F79" s="63">
        <v>41390</v>
      </c>
      <c r="G79" s="104"/>
      <c r="H79" s="63">
        <v>41167</v>
      </c>
      <c r="I79" s="104"/>
      <c r="J79" s="352"/>
      <c r="K79" s="352"/>
      <c r="L79" s="32"/>
      <c r="M79" s="32"/>
      <c r="N79" s="32"/>
    </row>
    <row r="80" spans="1:14" x14ac:dyDescent="0.25">
      <c r="A80" s="26" t="s">
        <v>9</v>
      </c>
      <c r="B80" s="63">
        <v>41578</v>
      </c>
      <c r="C80" s="104"/>
      <c r="D80" s="63">
        <v>41389</v>
      </c>
      <c r="E80" s="104"/>
      <c r="F80" s="63">
        <v>41639</v>
      </c>
      <c r="G80" s="104"/>
      <c r="H80" s="63">
        <v>41638</v>
      </c>
      <c r="I80" s="104"/>
      <c r="J80" s="352"/>
      <c r="K80" s="352"/>
      <c r="L80" s="32"/>
      <c r="M80" s="32"/>
      <c r="N80" s="32"/>
    </row>
    <row r="81" spans="1:14" x14ac:dyDescent="0.25">
      <c r="A81" s="26" t="s">
        <v>11</v>
      </c>
      <c r="B81" s="63">
        <v>41647</v>
      </c>
      <c r="C81" s="104"/>
      <c r="D81" s="63">
        <v>41652</v>
      </c>
      <c r="E81" s="104"/>
      <c r="F81" s="63">
        <v>41652</v>
      </c>
      <c r="G81" s="104"/>
      <c r="H81" s="63">
        <v>41649</v>
      </c>
      <c r="I81" s="104"/>
      <c r="J81" s="352"/>
      <c r="K81" s="352"/>
      <c r="L81" s="32"/>
      <c r="M81" s="32"/>
      <c r="N81" s="32"/>
    </row>
    <row r="82" spans="1:14" x14ac:dyDescent="0.25">
      <c r="A82" s="26" t="s">
        <v>12</v>
      </c>
      <c r="B82" s="26" t="s">
        <v>114</v>
      </c>
      <c r="C82" s="104"/>
      <c r="D82" s="26" t="s">
        <v>115</v>
      </c>
      <c r="E82" s="104"/>
      <c r="F82" s="26" t="s">
        <v>166</v>
      </c>
      <c r="G82" s="104"/>
      <c r="H82" s="26" t="s">
        <v>167</v>
      </c>
      <c r="I82" s="104"/>
      <c r="J82" s="352"/>
      <c r="K82" s="352"/>
      <c r="L82" s="32"/>
      <c r="M82" s="32"/>
      <c r="N82" s="32"/>
    </row>
    <row r="83" spans="1:14" x14ac:dyDescent="0.25">
      <c r="A83" s="26" t="s">
        <v>4</v>
      </c>
      <c r="B83" s="26" t="s">
        <v>116</v>
      </c>
      <c r="C83" s="104"/>
      <c r="D83" s="26" t="s">
        <v>117</v>
      </c>
      <c r="E83" s="104"/>
      <c r="F83" s="26" t="s">
        <v>117</v>
      </c>
      <c r="G83" s="104"/>
      <c r="H83" s="26" t="s">
        <v>117</v>
      </c>
      <c r="I83" s="104"/>
      <c r="J83" s="352"/>
      <c r="K83" s="352"/>
    </row>
    <row r="84" spans="1:14" ht="15.75" thickBot="1" x14ac:dyDescent="0.3">
      <c r="A84" s="28" t="s">
        <v>40</v>
      </c>
      <c r="B84" s="365">
        <v>1</v>
      </c>
      <c r="C84" s="365"/>
      <c r="D84" s="365">
        <v>1</v>
      </c>
      <c r="E84" s="365"/>
      <c r="F84" s="365">
        <v>1</v>
      </c>
      <c r="G84" s="365"/>
      <c r="H84" s="365">
        <v>1</v>
      </c>
      <c r="I84" s="365"/>
      <c r="J84" s="365"/>
      <c r="K84" s="365"/>
      <c r="L84" s="32"/>
      <c r="M84" s="57"/>
    </row>
    <row r="85" spans="1:14" x14ac:dyDescent="0.25">
      <c r="A85" s="33" t="s">
        <v>39</v>
      </c>
      <c r="B85" s="361">
        <f>B76+D76+F76+H76</f>
        <v>4937530517</v>
      </c>
      <c r="C85" s="362"/>
      <c r="D85" s="29"/>
      <c r="E85" s="30"/>
      <c r="F85" s="30"/>
      <c r="G85" s="30"/>
      <c r="H85" s="30"/>
      <c r="I85" s="30"/>
      <c r="J85" s="30"/>
      <c r="K85" s="30"/>
      <c r="M85" s="57"/>
    </row>
    <row r="86" spans="1:14" ht="15.75" thickBot="1" x14ac:dyDescent="0.3">
      <c r="A86" s="34" t="s">
        <v>41</v>
      </c>
      <c r="B86" s="363">
        <f>IF(B85&gt;2.5*2250000000,45,IF(B85&gt;2*2250000000,30,IF(B85&gt;1.5*2250000000,15,0)))</f>
        <v>30</v>
      </c>
      <c r="C86" s="364"/>
      <c r="D86" s="30"/>
      <c r="E86" s="30"/>
      <c r="F86" s="30"/>
      <c r="G86" s="30"/>
      <c r="H86" s="30"/>
      <c r="I86" s="30"/>
      <c r="J86" s="30"/>
      <c r="K86" s="30"/>
      <c r="M86" s="57"/>
    </row>
    <row r="87" spans="1:14" x14ac:dyDescent="0.25">
      <c r="A87" s="30"/>
      <c r="B87" s="30"/>
      <c r="C87" s="30"/>
      <c r="D87" s="30"/>
      <c r="E87" s="30"/>
      <c r="F87" s="30"/>
      <c r="G87" s="30"/>
      <c r="H87" s="30"/>
      <c r="I87" s="30"/>
      <c r="J87" s="30"/>
      <c r="K87" s="30"/>
    </row>
    <row r="88" spans="1:14" x14ac:dyDescent="0.25">
      <c r="A88" s="379" t="s">
        <v>196</v>
      </c>
      <c r="B88" s="379"/>
      <c r="C88" s="379"/>
      <c r="D88" s="379"/>
      <c r="E88" s="379"/>
      <c r="F88" s="379"/>
      <c r="G88" s="379"/>
      <c r="H88" s="379"/>
      <c r="I88" s="379"/>
      <c r="J88" s="379"/>
      <c r="K88" s="379"/>
    </row>
    <row r="89" spans="1:14" x14ac:dyDescent="0.25">
      <c r="A89" s="47" t="s">
        <v>13</v>
      </c>
      <c r="B89" s="380" t="s">
        <v>150</v>
      </c>
      <c r="C89" s="370"/>
      <c r="D89" s="370"/>
      <c r="E89" s="370"/>
      <c r="F89" s="370"/>
      <c r="G89" s="370"/>
      <c r="H89" s="370"/>
      <c r="I89" s="370"/>
      <c r="J89" s="370"/>
      <c r="K89" s="371"/>
    </row>
    <row r="90" spans="1:14" x14ac:dyDescent="0.25">
      <c r="A90" s="54" t="s">
        <v>14</v>
      </c>
      <c r="B90" s="370" t="s">
        <v>15</v>
      </c>
      <c r="C90" s="371"/>
      <c r="D90" s="370" t="s">
        <v>16</v>
      </c>
      <c r="E90" s="371"/>
      <c r="F90" s="370" t="s">
        <v>17</v>
      </c>
      <c r="G90" s="371"/>
      <c r="H90" s="370" t="s">
        <v>18</v>
      </c>
      <c r="I90" s="371"/>
      <c r="J90" s="370" t="s">
        <v>19</v>
      </c>
      <c r="K90" s="371"/>
    </row>
    <row r="91" spans="1:14" x14ac:dyDescent="0.25">
      <c r="A91" s="26" t="s">
        <v>0</v>
      </c>
      <c r="B91" s="352" t="s">
        <v>199</v>
      </c>
      <c r="C91" s="352"/>
      <c r="D91" s="352"/>
      <c r="E91" s="352"/>
      <c r="F91" s="352"/>
      <c r="G91" s="352"/>
      <c r="H91" s="352"/>
      <c r="I91" s="352"/>
      <c r="J91" s="352"/>
      <c r="K91" s="352"/>
    </row>
    <row r="92" spans="1:14" x14ac:dyDescent="0.25">
      <c r="A92" s="26" t="s">
        <v>5</v>
      </c>
      <c r="B92" s="352" t="s">
        <v>233</v>
      </c>
      <c r="C92" s="352"/>
      <c r="D92" s="352"/>
      <c r="E92" s="352"/>
      <c r="F92" s="352"/>
      <c r="G92" s="352"/>
      <c r="H92" s="352"/>
      <c r="I92" s="352"/>
      <c r="J92" s="352"/>
      <c r="K92" s="352"/>
    </row>
    <row r="93" spans="1:14" x14ac:dyDescent="0.25">
      <c r="A93" s="26" t="s">
        <v>6</v>
      </c>
      <c r="B93" s="352">
        <v>3241000</v>
      </c>
      <c r="C93" s="352"/>
      <c r="D93" s="352"/>
      <c r="E93" s="352"/>
      <c r="F93" s="352"/>
      <c r="G93" s="352"/>
      <c r="H93" s="352"/>
      <c r="I93" s="352"/>
      <c r="J93" s="352"/>
      <c r="K93" s="352"/>
    </row>
    <row r="94" spans="1:14" x14ac:dyDescent="0.25">
      <c r="A94" s="26" t="s">
        <v>1</v>
      </c>
      <c r="B94" s="352" t="s">
        <v>150</v>
      </c>
      <c r="C94" s="352"/>
      <c r="D94" s="352"/>
      <c r="E94" s="352"/>
      <c r="F94" s="352"/>
      <c r="G94" s="352"/>
      <c r="H94" s="352"/>
      <c r="I94" s="352"/>
      <c r="J94" s="352"/>
      <c r="K94" s="352"/>
    </row>
    <row r="95" spans="1:14" x14ac:dyDescent="0.25">
      <c r="A95" s="375" t="s">
        <v>8</v>
      </c>
      <c r="B95" s="53" t="s">
        <v>20</v>
      </c>
      <c r="C95" s="53" t="s">
        <v>21</v>
      </c>
      <c r="D95" s="53" t="s">
        <v>20</v>
      </c>
      <c r="E95" s="53" t="s">
        <v>21</v>
      </c>
      <c r="F95" s="53" t="s">
        <v>20</v>
      </c>
      <c r="G95" s="53" t="s">
        <v>21</v>
      </c>
      <c r="H95" s="53" t="s">
        <v>20</v>
      </c>
      <c r="I95" s="53" t="s">
        <v>21</v>
      </c>
      <c r="J95" s="53" t="s">
        <v>20</v>
      </c>
      <c r="K95" s="53" t="s">
        <v>21</v>
      </c>
    </row>
    <row r="96" spans="1:14" x14ac:dyDescent="0.25">
      <c r="A96" s="376"/>
      <c r="B96" s="53"/>
      <c r="C96" s="53"/>
      <c r="D96" s="53"/>
      <c r="E96" s="53"/>
      <c r="F96" s="53"/>
      <c r="G96" s="53"/>
      <c r="H96" s="53"/>
      <c r="I96" s="53"/>
      <c r="J96" s="53"/>
      <c r="K96" s="53"/>
    </row>
    <row r="97" spans="1:13" x14ac:dyDescent="0.25">
      <c r="A97" s="376"/>
      <c r="B97" s="53"/>
      <c r="C97" s="53"/>
      <c r="D97" s="53"/>
      <c r="E97" s="53"/>
      <c r="F97" s="53"/>
      <c r="G97" s="53"/>
      <c r="H97" s="53"/>
      <c r="I97" s="53"/>
      <c r="J97" s="53"/>
      <c r="K97" s="53"/>
    </row>
    <row r="98" spans="1:13" x14ac:dyDescent="0.25">
      <c r="A98" s="376"/>
      <c r="B98" s="53"/>
      <c r="C98" s="53"/>
      <c r="D98" s="53"/>
      <c r="E98" s="53"/>
      <c r="F98" s="53"/>
      <c r="G98" s="53"/>
      <c r="H98" s="53"/>
      <c r="I98" s="53"/>
      <c r="J98" s="53"/>
      <c r="K98" s="53"/>
    </row>
    <row r="99" spans="1:13" x14ac:dyDescent="0.25">
      <c r="A99" s="377"/>
      <c r="B99" s="53"/>
      <c r="C99" s="53"/>
      <c r="D99" s="53"/>
      <c r="E99" s="53"/>
      <c r="F99" s="53"/>
      <c r="G99" s="53"/>
      <c r="H99" s="53"/>
      <c r="I99" s="53"/>
      <c r="J99" s="53"/>
      <c r="K99" s="53"/>
    </row>
    <row r="100" spans="1:13" x14ac:dyDescent="0.25">
      <c r="A100" s="26" t="s">
        <v>7</v>
      </c>
      <c r="B100" s="352" t="s">
        <v>168</v>
      </c>
      <c r="C100" s="352"/>
      <c r="D100" s="352"/>
      <c r="E100" s="352"/>
      <c r="F100" s="352"/>
      <c r="G100" s="352"/>
      <c r="H100" s="352"/>
      <c r="I100" s="352"/>
      <c r="J100" s="352"/>
      <c r="K100" s="352"/>
    </row>
    <row r="101" spans="1:13" x14ac:dyDescent="0.25">
      <c r="A101" s="26" t="s">
        <v>219</v>
      </c>
      <c r="B101" s="378">
        <v>37865905</v>
      </c>
      <c r="C101" s="378"/>
      <c r="D101" s="352"/>
      <c r="E101" s="352"/>
      <c r="F101" s="352"/>
      <c r="G101" s="352"/>
      <c r="H101" s="382"/>
      <c r="I101" s="352"/>
      <c r="J101" s="352"/>
      <c r="K101" s="352"/>
    </row>
    <row r="102" spans="1:13" x14ac:dyDescent="0.25">
      <c r="A102" s="26" t="s">
        <v>231</v>
      </c>
      <c r="B102" s="378">
        <v>61141278</v>
      </c>
      <c r="C102" s="378"/>
      <c r="D102" s="53"/>
      <c r="E102" s="53"/>
      <c r="F102" s="53"/>
      <c r="G102" s="59"/>
      <c r="H102" s="53"/>
      <c r="I102" s="59"/>
      <c r="J102" s="53"/>
      <c r="K102" s="53"/>
    </row>
    <row r="103" spans="1:13" x14ac:dyDescent="0.25">
      <c r="A103" s="26" t="s">
        <v>220</v>
      </c>
      <c r="B103" s="352" t="s">
        <v>169</v>
      </c>
      <c r="C103" s="352"/>
      <c r="D103" s="352"/>
      <c r="E103" s="352"/>
      <c r="F103" s="381"/>
      <c r="G103" s="352"/>
      <c r="H103" s="352"/>
      <c r="I103" s="352"/>
      <c r="J103" s="352"/>
      <c r="K103" s="352"/>
    </row>
    <row r="104" spans="1:13" x14ac:dyDescent="0.25">
      <c r="A104" s="26" t="s">
        <v>10</v>
      </c>
      <c r="B104" s="373">
        <v>38609</v>
      </c>
      <c r="C104" s="352"/>
      <c r="D104" s="352"/>
      <c r="E104" s="352"/>
      <c r="F104" s="352"/>
      <c r="G104" s="352"/>
      <c r="H104" s="352"/>
      <c r="I104" s="352"/>
      <c r="J104" s="352"/>
      <c r="K104" s="352"/>
    </row>
    <row r="105" spans="1:13" x14ac:dyDescent="0.25">
      <c r="A105" s="26" t="s">
        <v>3</v>
      </c>
      <c r="B105" s="373">
        <v>38609</v>
      </c>
      <c r="C105" s="352"/>
      <c r="D105" s="352"/>
      <c r="E105" s="352"/>
      <c r="F105" s="352"/>
      <c r="G105" s="352"/>
      <c r="H105" s="352"/>
      <c r="I105" s="352"/>
      <c r="J105" s="352"/>
      <c r="K105" s="352"/>
    </row>
    <row r="106" spans="1:13" x14ac:dyDescent="0.25">
      <c r="A106" s="26" t="s">
        <v>9</v>
      </c>
      <c r="B106" s="373">
        <v>38639</v>
      </c>
      <c r="C106" s="352"/>
      <c r="D106" s="352"/>
      <c r="E106" s="352"/>
      <c r="F106" s="352"/>
      <c r="G106" s="352"/>
      <c r="H106" s="352"/>
      <c r="I106" s="352"/>
      <c r="J106" s="352"/>
      <c r="K106" s="352"/>
    </row>
    <row r="107" spans="1:13" x14ac:dyDescent="0.25">
      <c r="A107" s="26" t="s">
        <v>11</v>
      </c>
      <c r="B107" s="373">
        <v>38986</v>
      </c>
      <c r="C107" s="352"/>
      <c r="D107" s="352"/>
      <c r="E107" s="352"/>
      <c r="F107" s="352"/>
      <c r="G107" s="352"/>
      <c r="H107" s="352"/>
      <c r="I107" s="352"/>
      <c r="J107" s="352"/>
      <c r="K107" s="352"/>
    </row>
    <row r="108" spans="1:13" x14ac:dyDescent="0.25">
      <c r="A108" s="26" t="s">
        <v>12</v>
      </c>
      <c r="B108" s="352"/>
      <c r="C108" s="352"/>
      <c r="D108" s="352"/>
      <c r="E108" s="352"/>
      <c r="F108" s="352"/>
      <c r="G108" s="352"/>
      <c r="H108" s="352"/>
      <c r="I108" s="352"/>
      <c r="J108" s="352"/>
      <c r="K108" s="352"/>
    </row>
    <row r="109" spans="1:13" x14ac:dyDescent="0.25">
      <c r="A109" s="26" t="s">
        <v>4</v>
      </c>
      <c r="B109" s="352" t="s">
        <v>170</v>
      </c>
      <c r="C109" s="352"/>
      <c r="D109" s="352"/>
      <c r="E109" s="352"/>
      <c r="F109" s="352"/>
      <c r="G109" s="352"/>
      <c r="H109" s="352"/>
      <c r="I109" s="352"/>
      <c r="J109" s="352"/>
      <c r="K109" s="352"/>
    </row>
    <row r="110" spans="1:13" ht="15.75" thickBot="1" x14ac:dyDescent="0.3">
      <c r="A110" s="28" t="s">
        <v>40</v>
      </c>
      <c r="B110" s="372">
        <v>1</v>
      </c>
      <c r="C110" s="372"/>
      <c r="D110" s="365"/>
      <c r="E110" s="365"/>
      <c r="F110" s="365"/>
      <c r="G110" s="365"/>
      <c r="H110" s="365"/>
      <c r="I110" s="365"/>
      <c r="J110" s="365"/>
      <c r="K110" s="365"/>
      <c r="L110" s="32"/>
      <c r="M110" s="57"/>
    </row>
    <row r="111" spans="1:13" x14ac:dyDescent="0.25">
      <c r="A111" s="33" t="s">
        <v>39</v>
      </c>
      <c r="B111" s="361">
        <f>B102</f>
        <v>61141278</v>
      </c>
      <c r="C111" s="362"/>
      <c r="D111" s="30"/>
      <c r="E111" s="30"/>
      <c r="F111" s="30"/>
      <c r="G111" s="30"/>
      <c r="H111" s="30"/>
      <c r="I111" s="30"/>
      <c r="J111" s="30"/>
      <c r="K111" s="30"/>
      <c r="M111" s="57"/>
    </row>
    <row r="112" spans="1:13" ht="15.75" thickBot="1" x14ac:dyDescent="0.3">
      <c r="A112" s="34" t="s">
        <v>41</v>
      </c>
      <c r="B112" s="363">
        <f>IF(B111&gt;2.5*2250000000,45,IF(B111&gt;2*2250000000,30,IF(B111&gt;1.5*2250000000,15,0)))</f>
        <v>0</v>
      </c>
      <c r="C112" s="364"/>
      <c r="D112" s="30"/>
      <c r="E112" s="30"/>
      <c r="F112" s="30"/>
      <c r="G112" s="30"/>
      <c r="H112" s="30"/>
      <c r="I112" s="30"/>
      <c r="J112" s="30"/>
      <c r="K112" s="30"/>
      <c r="M112" s="57"/>
    </row>
    <row r="113" spans="1:11" x14ac:dyDescent="0.25">
      <c r="A113" s="30"/>
      <c r="B113" s="30"/>
      <c r="C113" s="30"/>
      <c r="D113" s="30"/>
      <c r="E113" s="30"/>
      <c r="F113" s="30"/>
      <c r="G113" s="30"/>
      <c r="H113" s="30"/>
      <c r="I113" s="30"/>
      <c r="J113" s="30"/>
      <c r="K113" s="30"/>
    </row>
    <row r="114" spans="1:11" x14ac:dyDescent="0.25">
      <c r="A114" s="379" t="s">
        <v>196</v>
      </c>
      <c r="B114" s="379"/>
      <c r="C114" s="379"/>
      <c r="D114" s="379"/>
      <c r="E114" s="379"/>
      <c r="F114" s="379"/>
      <c r="G114" s="379"/>
      <c r="H114" s="379"/>
      <c r="I114" s="379"/>
      <c r="J114" s="379"/>
      <c r="K114" s="379"/>
    </row>
    <row r="115" spans="1:11" x14ac:dyDescent="0.25">
      <c r="A115" s="47" t="s">
        <v>13</v>
      </c>
      <c r="B115" s="380" t="s">
        <v>198</v>
      </c>
      <c r="C115" s="370"/>
      <c r="D115" s="370"/>
      <c r="E115" s="370"/>
      <c r="F115" s="370"/>
      <c r="G115" s="370"/>
      <c r="H115" s="370"/>
      <c r="I115" s="370"/>
      <c r="J115" s="370"/>
      <c r="K115" s="371"/>
    </row>
    <row r="116" spans="1:11" x14ac:dyDescent="0.25">
      <c r="A116" s="54" t="s">
        <v>14</v>
      </c>
      <c r="B116" s="370" t="s">
        <v>15</v>
      </c>
      <c r="C116" s="371"/>
      <c r="D116" s="370" t="s">
        <v>16</v>
      </c>
      <c r="E116" s="371"/>
      <c r="F116" s="370" t="s">
        <v>17</v>
      </c>
      <c r="G116" s="371"/>
      <c r="H116" s="370" t="s">
        <v>18</v>
      </c>
      <c r="I116" s="371"/>
      <c r="J116" s="370" t="s">
        <v>19</v>
      </c>
      <c r="K116" s="371"/>
    </row>
    <row r="117" spans="1:11" x14ac:dyDescent="0.25">
      <c r="A117" s="26" t="s">
        <v>0</v>
      </c>
      <c r="B117" s="352" t="s">
        <v>234</v>
      </c>
      <c r="C117" s="352"/>
      <c r="D117" s="352" t="s">
        <v>234</v>
      </c>
      <c r="E117" s="352"/>
      <c r="F117" s="352" t="s">
        <v>234</v>
      </c>
      <c r="G117" s="352"/>
      <c r="H117" s="352" t="s">
        <v>55</v>
      </c>
      <c r="I117" s="352"/>
      <c r="J117" s="352" t="s">
        <v>243</v>
      </c>
      <c r="K117" s="352"/>
    </row>
    <row r="118" spans="1:11" x14ac:dyDescent="0.25">
      <c r="A118" s="26" t="s">
        <v>5</v>
      </c>
      <c r="B118" s="352" t="s">
        <v>240</v>
      </c>
      <c r="C118" s="352"/>
      <c r="D118" s="352" t="s">
        <v>240</v>
      </c>
      <c r="E118" s="352"/>
      <c r="F118" s="352" t="s">
        <v>240</v>
      </c>
      <c r="G118" s="352"/>
      <c r="H118" s="352" t="s">
        <v>249</v>
      </c>
      <c r="I118" s="352"/>
      <c r="J118" s="352" t="s">
        <v>246</v>
      </c>
      <c r="K118" s="352"/>
    </row>
    <row r="119" spans="1:11" x14ac:dyDescent="0.25">
      <c r="A119" s="26" t="s">
        <v>6</v>
      </c>
      <c r="B119" s="352">
        <v>4377630</v>
      </c>
      <c r="C119" s="352"/>
      <c r="D119" s="352">
        <v>4377630</v>
      </c>
      <c r="E119" s="352"/>
      <c r="F119" s="352">
        <v>4377630</v>
      </c>
      <c r="G119" s="352"/>
      <c r="H119" s="352">
        <v>3445000</v>
      </c>
      <c r="I119" s="352"/>
      <c r="J119" s="352">
        <v>3387328</v>
      </c>
      <c r="K119" s="352"/>
    </row>
    <row r="120" spans="1:11" x14ac:dyDescent="0.25">
      <c r="A120" s="26" t="s">
        <v>1</v>
      </c>
      <c r="B120" s="352" t="s">
        <v>247</v>
      </c>
      <c r="C120" s="352"/>
      <c r="D120" s="352" t="s">
        <v>254</v>
      </c>
      <c r="E120" s="352"/>
      <c r="F120" s="352" t="s">
        <v>247</v>
      </c>
      <c r="G120" s="352"/>
      <c r="H120" s="352" t="s">
        <v>200</v>
      </c>
      <c r="I120" s="352"/>
      <c r="J120" s="352" t="s">
        <v>200</v>
      </c>
      <c r="K120" s="352"/>
    </row>
    <row r="121" spans="1:11" x14ac:dyDescent="0.25">
      <c r="A121" s="375" t="s">
        <v>8</v>
      </c>
      <c r="B121" s="355"/>
      <c r="C121" s="356"/>
      <c r="D121" s="53" t="s">
        <v>20</v>
      </c>
      <c r="E121" s="53" t="s">
        <v>21</v>
      </c>
      <c r="F121" s="355"/>
      <c r="G121" s="356"/>
      <c r="H121" s="355"/>
      <c r="I121" s="356"/>
      <c r="J121" s="53" t="s">
        <v>20</v>
      </c>
      <c r="K121" s="53" t="s">
        <v>21</v>
      </c>
    </row>
    <row r="122" spans="1:11" x14ac:dyDescent="0.25">
      <c r="A122" s="376"/>
      <c r="B122" s="357"/>
      <c r="C122" s="358"/>
      <c r="D122" s="53"/>
      <c r="E122" s="53"/>
      <c r="F122" s="357"/>
      <c r="G122" s="358"/>
      <c r="H122" s="357"/>
      <c r="I122" s="358"/>
      <c r="J122" s="53"/>
      <c r="K122" s="53"/>
    </row>
    <row r="123" spans="1:11" x14ac:dyDescent="0.25">
      <c r="A123" s="376"/>
      <c r="B123" s="357"/>
      <c r="C123" s="358"/>
      <c r="D123" s="53"/>
      <c r="E123" s="53"/>
      <c r="F123" s="357"/>
      <c r="G123" s="358"/>
      <c r="H123" s="357"/>
      <c r="I123" s="358"/>
      <c r="J123" s="53"/>
      <c r="K123" s="53"/>
    </row>
    <row r="124" spans="1:11" x14ac:dyDescent="0.25">
      <c r="A124" s="376"/>
      <c r="B124" s="357"/>
      <c r="C124" s="358"/>
      <c r="D124" s="53"/>
      <c r="E124" s="53"/>
      <c r="F124" s="357"/>
      <c r="G124" s="358"/>
      <c r="H124" s="357"/>
      <c r="I124" s="358"/>
      <c r="J124" s="53"/>
      <c r="K124" s="53"/>
    </row>
    <row r="125" spans="1:11" x14ac:dyDescent="0.25">
      <c r="A125" s="377"/>
      <c r="B125" s="359"/>
      <c r="C125" s="360"/>
      <c r="D125" s="53"/>
      <c r="E125" s="53"/>
      <c r="F125" s="359"/>
      <c r="G125" s="360"/>
      <c r="H125" s="359"/>
      <c r="I125" s="360"/>
      <c r="J125" s="53"/>
      <c r="K125" s="53"/>
    </row>
    <row r="126" spans="1:11" x14ac:dyDescent="0.25">
      <c r="A126" s="26" t="s">
        <v>7</v>
      </c>
      <c r="B126" s="352" t="s">
        <v>235</v>
      </c>
      <c r="C126" s="352"/>
      <c r="D126" s="352" t="s">
        <v>253</v>
      </c>
      <c r="E126" s="352"/>
      <c r="F126" s="352" t="s">
        <v>238</v>
      </c>
      <c r="G126" s="352"/>
      <c r="H126" s="352" t="s">
        <v>241</v>
      </c>
      <c r="I126" s="352"/>
      <c r="J126" s="352" t="s">
        <v>244</v>
      </c>
      <c r="K126" s="352"/>
    </row>
    <row r="127" spans="1:11" x14ac:dyDescent="0.25">
      <c r="A127" s="26" t="s">
        <v>219</v>
      </c>
      <c r="B127" s="378">
        <v>1182945782</v>
      </c>
      <c r="C127" s="378"/>
      <c r="D127" s="353">
        <v>9338098415</v>
      </c>
      <c r="E127" s="354"/>
      <c r="F127" s="353">
        <v>789544416</v>
      </c>
      <c r="G127" s="354"/>
      <c r="H127" s="353">
        <v>584994960</v>
      </c>
      <c r="I127" s="354"/>
      <c r="J127" s="353">
        <v>1315226744</v>
      </c>
      <c r="K127" s="354"/>
    </row>
    <row r="128" spans="1:11" x14ac:dyDescent="0.25">
      <c r="A128" s="26" t="s">
        <v>231</v>
      </c>
      <c r="B128" s="378">
        <v>1414940974</v>
      </c>
      <c r="C128" s="378"/>
      <c r="D128" s="353">
        <v>13263243310</v>
      </c>
      <c r="E128" s="354"/>
      <c r="F128" s="353">
        <v>858230739</v>
      </c>
      <c r="G128" s="354"/>
      <c r="H128" s="353">
        <v>830889774</v>
      </c>
      <c r="I128" s="354"/>
      <c r="J128" s="353">
        <v>0</v>
      </c>
      <c r="K128" s="354"/>
    </row>
    <row r="129" spans="1:11" x14ac:dyDescent="0.25">
      <c r="A129" s="26" t="s">
        <v>220</v>
      </c>
      <c r="B129" s="352" t="s">
        <v>236</v>
      </c>
      <c r="C129" s="352"/>
      <c r="D129" s="352" t="s">
        <v>237</v>
      </c>
      <c r="E129" s="352"/>
      <c r="F129" s="352" t="s">
        <v>239</v>
      </c>
      <c r="G129" s="352"/>
      <c r="H129" s="352" t="s">
        <v>242</v>
      </c>
      <c r="I129" s="352"/>
      <c r="J129" s="352" t="s">
        <v>245</v>
      </c>
      <c r="K129" s="352"/>
    </row>
    <row r="130" spans="1:11" x14ac:dyDescent="0.25">
      <c r="A130" s="26" t="s">
        <v>10</v>
      </c>
      <c r="B130" s="373">
        <v>40443</v>
      </c>
      <c r="C130" s="352"/>
      <c r="D130" s="373">
        <v>39444</v>
      </c>
      <c r="E130" s="352"/>
      <c r="F130" s="373">
        <v>41203</v>
      </c>
      <c r="G130" s="352"/>
      <c r="H130" s="373">
        <v>39353</v>
      </c>
      <c r="I130" s="352"/>
      <c r="J130" s="374"/>
      <c r="K130" s="374"/>
    </row>
    <row r="131" spans="1:11" x14ac:dyDescent="0.25">
      <c r="A131" s="26" t="s">
        <v>3</v>
      </c>
      <c r="B131" s="373">
        <v>40443</v>
      </c>
      <c r="C131" s="352"/>
      <c r="D131" s="373">
        <v>39444</v>
      </c>
      <c r="E131" s="352"/>
      <c r="F131" s="373">
        <v>41214</v>
      </c>
      <c r="G131" s="352"/>
      <c r="H131" s="373">
        <v>39387</v>
      </c>
      <c r="I131" s="352"/>
      <c r="J131" s="373">
        <f>J132-119</f>
        <v>41298</v>
      </c>
      <c r="K131" s="352"/>
    </row>
    <row r="132" spans="1:11" x14ac:dyDescent="0.25">
      <c r="A132" s="26" t="s">
        <v>9</v>
      </c>
      <c r="B132" s="373">
        <v>40724</v>
      </c>
      <c r="C132" s="352"/>
      <c r="D132" s="373">
        <v>40237</v>
      </c>
      <c r="E132" s="352"/>
      <c r="F132" s="373">
        <v>41305</v>
      </c>
      <c r="G132" s="352"/>
      <c r="H132" s="373">
        <v>39937</v>
      </c>
      <c r="I132" s="352"/>
      <c r="J132" s="373">
        <v>41417</v>
      </c>
      <c r="K132" s="352"/>
    </row>
    <row r="133" spans="1:11" x14ac:dyDescent="0.25">
      <c r="A133" s="26" t="s">
        <v>11</v>
      </c>
      <c r="B133" s="373">
        <v>41585</v>
      </c>
      <c r="C133" s="352"/>
      <c r="D133" s="373">
        <v>40423</v>
      </c>
      <c r="E133" s="352"/>
      <c r="F133" s="373">
        <v>41568</v>
      </c>
      <c r="G133" s="352"/>
      <c r="H133" s="373">
        <v>41656</v>
      </c>
      <c r="I133" s="352"/>
      <c r="J133" s="373">
        <v>41649</v>
      </c>
      <c r="K133" s="352"/>
    </row>
    <row r="134" spans="1:11" x14ac:dyDescent="0.25">
      <c r="A134" s="26" t="s">
        <v>12</v>
      </c>
      <c r="B134" s="352" t="s">
        <v>252</v>
      </c>
      <c r="C134" s="352"/>
      <c r="D134" s="352" t="s">
        <v>255</v>
      </c>
      <c r="E134" s="352"/>
      <c r="F134" s="352" t="s">
        <v>248</v>
      </c>
      <c r="G134" s="352"/>
      <c r="H134" s="352" t="s">
        <v>250</v>
      </c>
      <c r="I134" s="352"/>
      <c r="J134" s="352" t="s">
        <v>251</v>
      </c>
      <c r="K134" s="352"/>
    </row>
    <row r="135" spans="1:11" x14ac:dyDescent="0.25">
      <c r="A135" s="26" t="s">
        <v>4</v>
      </c>
      <c r="B135" s="352" t="s">
        <v>51</v>
      </c>
      <c r="C135" s="352"/>
      <c r="D135" s="352" t="s">
        <v>51</v>
      </c>
      <c r="E135" s="352"/>
      <c r="F135" s="352" t="s">
        <v>51</v>
      </c>
      <c r="G135" s="352"/>
      <c r="H135" s="352" t="s">
        <v>51</v>
      </c>
      <c r="I135" s="352"/>
      <c r="J135" s="352" t="s">
        <v>51</v>
      </c>
      <c r="K135" s="352"/>
    </row>
    <row r="136" spans="1:11" ht="15.75" thickBot="1" x14ac:dyDescent="0.3">
      <c r="A136" s="28" t="s">
        <v>40</v>
      </c>
      <c r="B136" s="372">
        <v>1</v>
      </c>
      <c r="C136" s="372"/>
      <c r="D136" s="365">
        <v>1</v>
      </c>
      <c r="E136" s="365"/>
      <c r="F136" s="365">
        <v>1</v>
      </c>
      <c r="G136" s="365"/>
      <c r="H136" s="365">
        <v>1</v>
      </c>
      <c r="I136" s="365"/>
      <c r="J136" s="365">
        <v>0</v>
      </c>
      <c r="K136" s="365"/>
    </row>
    <row r="137" spans="1:11" x14ac:dyDescent="0.25">
      <c r="A137" s="33" t="s">
        <v>39</v>
      </c>
      <c r="B137" s="361">
        <f>B128+D128+F128+H128+J128</f>
        <v>16367304797</v>
      </c>
      <c r="C137" s="362"/>
      <c r="D137" s="30"/>
      <c r="E137" s="30"/>
      <c r="F137" s="30"/>
      <c r="G137" s="30"/>
      <c r="H137" s="30"/>
      <c r="I137" s="30"/>
      <c r="J137" s="30"/>
      <c r="K137" s="30"/>
    </row>
    <row r="138" spans="1:11" ht="15.75" thickBot="1" x14ac:dyDescent="0.3">
      <c r="A138" s="34" t="s">
        <v>41</v>
      </c>
      <c r="B138" s="363">
        <f>IF(B137&gt;2.5*2250000000,45,IF(B137&gt;2*2250000000,30,IF(B137&gt;1.5*2250000000,15,0)))</f>
        <v>45</v>
      </c>
      <c r="C138" s="364"/>
      <c r="D138" s="30"/>
      <c r="E138" s="30"/>
      <c r="F138" s="30"/>
      <c r="G138" s="30"/>
      <c r="H138" s="30"/>
      <c r="I138" s="30"/>
      <c r="J138" s="30"/>
      <c r="K138" s="30"/>
    </row>
    <row r="139" spans="1:11" x14ac:dyDescent="0.25">
      <c r="A139" s="35"/>
      <c r="B139" s="35"/>
      <c r="C139" s="35"/>
      <c r="D139" s="35"/>
      <c r="E139" s="35"/>
      <c r="F139" s="35"/>
      <c r="G139" s="35"/>
      <c r="H139" s="35"/>
      <c r="I139" s="35"/>
      <c r="J139" s="35"/>
      <c r="K139" s="35"/>
    </row>
    <row r="140" spans="1:11" x14ac:dyDescent="0.25">
      <c r="A140" s="35"/>
      <c r="B140" s="35"/>
      <c r="C140" s="35"/>
      <c r="D140" s="35"/>
      <c r="E140" s="35"/>
      <c r="F140" s="35"/>
      <c r="G140" s="35"/>
      <c r="H140" s="35"/>
      <c r="I140" s="35"/>
      <c r="J140" s="35"/>
      <c r="K140" s="35"/>
    </row>
    <row r="141" spans="1:11" x14ac:dyDescent="0.25">
      <c r="A141" s="35"/>
      <c r="B141" s="60"/>
      <c r="C141" s="60"/>
      <c r="D141" s="35"/>
      <c r="E141" s="35"/>
      <c r="F141" s="35"/>
      <c r="G141" s="35"/>
      <c r="H141" s="35"/>
      <c r="I141" s="35"/>
      <c r="J141" s="35"/>
      <c r="K141" s="35"/>
    </row>
    <row r="142" spans="1:11" x14ac:dyDescent="0.25">
      <c r="A142" s="35"/>
      <c r="B142" s="35"/>
      <c r="C142" s="35"/>
      <c r="D142" s="35"/>
      <c r="E142" s="61"/>
      <c r="F142" s="35"/>
      <c r="G142" s="35"/>
      <c r="H142" s="35"/>
      <c r="I142" s="35"/>
      <c r="J142" s="35"/>
      <c r="K142" s="35"/>
    </row>
    <row r="143" spans="1:11" x14ac:dyDescent="0.25">
      <c r="A143" s="35"/>
      <c r="B143" s="35"/>
      <c r="C143" s="35"/>
      <c r="D143" s="35"/>
      <c r="E143" s="35"/>
      <c r="F143" s="35"/>
      <c r="G143" s="35"/>
      <c r="H143" s="35"/>
      <c r="I143" s="35"/>
      <c r="J143" s="35"/>
      <c r="K143" s="35"/>
    </row>
    <row r="144" spans="1:11" x14ac:dyDescent="0.25">
      <c r="A144" s="35"/>
      <c r="B144" s="35"/>
      <c r="C144" s="35"/>
      <c r="D144" s="35"/>
      <c r="E144" s="35"/>
      <c r="F144" s="35"/>
      <c r="G144" s="35"/>
      <c r="H144" s="35"/>
      <c r="I144" s="35"/>
      <c r="J144" s="35"/>
      <c r="K144" s="35"/>
    </row>
  </sheetData>
  <mergeCells count="383">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 ref="H30:I30"/>
    <mergeCell ref="J30:K30"/>
    <mergeCell ref="B28:C28"/>
    <mergeCell ref="D28:E28"/>
    <mergeCell ref="F28:G28"/>
    <mergeCell ref="H28:I28"/>
    <mergeCell ref="J28:K28"/>
    <mergeCell ref="B29:C29"/>
    <mergeCell ref="D29:E29"/>
    <mergeCell ref="F29:G29"/>
    <mergeCell ref="H29:I29"/>
    <mergeCell ref="J29:K29"/>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B55:C55"/>
    <mergeCell ref="D55:E55"/>
    <mergeCell ref="F55:G55"/>
    <mergeCell ref="H55:I55"/>
    <mergeCell ref="J55:K55"/>
    <mergeCell ref="B54:C54"/>
    <mergeCell ref="D54:E54"/>
    <mergeCell ref="F54:G54"/>
    <mergeCell ref="H54:I54"/>
    <mergeCell ref="J54:K54"/>
    <mergeCell ref="B57:C57"/>
    <mergeCell ref="D57:E57"/>
    <mergeCell ref="F57:G57"/>
    <mergeCell ref="H57:I57"/>
    <mergeCell ref="J57:K57"/>
    <mergeCell ref="B59:C59"/>
    <mergeCell ref="B56:C56"/>
    <mergeCell ref="D56:E56"/>
    <mergeCell ref="F56:G56"/>
    <mergeCell ref="H56:I56"/>
    <mergeCell ref="J56:K56"/>
    <mergeCell ref="J64:K64"/>
    <mergeCell ref="B60:C60"/>
    <mergeCell ref="A62:K62"/>
    <mergeCell ref="B58:C58"/>
    <mergeCell ref="D58:E58"/>
    <mergeCell ref="F58:G58"/>
    <mergeCell ref="H58:I58"/>
    <mergeCell ref="J58:K58"/>
    <mergeCell ref="B63:K63"/>
    <mergeCell ref="J68:K68"/>
    <mergeCell ref="J67:K67"/>
    <mergeCell ref="J65:K65"/>
    <mergeCell ref="J66:K66"/>
    <mergeCell ref="J77:K77"/>
    <mergeCell ref="A69:A73"/>
    <mergeCell ref="J74:K74"/>
    <mergeCell ref="J75:K75"/>
    <mergeCell ref="J76:K76"/>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B93:C93"/>
    <mergeCell ref="D93:E93"/>
    <mergeCell ref="F93:G93"/>
    <mergeCell ref="H93:I93"/>
    <mergeCell ref="J93:K93"/>
    <mergeCell ref="B92:C92"/>
    <mergeCell ref="D92:E92"/>
    <mergeCell ref="F92:G92"/>
    <mergeCell ref="H92:I92"/>
    <mergeCell ref="J92:K92"/>
    <mergeCell ref="J100:K100"/>
    <mergeCell ref="B101:C101"/>
    <mergeCell ref="D101:E101"/>
    <mergeCell ref="F101:G101"/>
    <mergeCell ref="H101:I101"/>
    <mergeCell ref="J101:K101"/>
    <mergeCell ref="B94:C94"/>
    <mergeCell ref="D94:E94"/>
    <mergeCell ref="F94:G94"/>
    <mergeCell ref="H94:I94"/>
    <mergeCell ref="J94:K94"/>
    <mergeCell ref="A95:A99"/>
    <mergeCell ref="B100:C100"/>
    <mergeCell ref="D100:E100"/>
    <mergeCell ref="F100:G100"/>
    <mergeCell ref="H100:I100"/>
    <mergeCell ref="B104:C104"/>
    <mergeCell ref="D104:E104"/>
    <mergeCell ref="F104:G104"/>
    <mergeCell ref="H104:I104"/>
    <mergeCell ref="B102:C102"/>
    <mergeCell ref="B105:C105"/>
    <mergeCell ref="D105:E105"/>
    <mergeCell ref="F105:G105"/>
    <mergeCell ref="H105:I105"/>
    <mergeCell ref="J105:K105"/>
    <mergeCell ref="J104:K104"/>
    <mergeCell ref="B103:C103"/>
    <mergeCell ref="D103:E103"/>
    <mergeCell ref="F103:G103"/>
    <mergeCell ref="H103:I103"/>
    <mergeCell ref="J103:K103"/>
    <mergeCell ref="B107:C107"/>
    <mergeCell ref="D107:E107"/>
    <mergeCell ref="F107:G107"/>
    <mergeCell ref="H107:I107"/>
    <mergeCell ref="J107:K107"/>
    <mergeCell ref="B106:C106"/>
    <mergeCell ref="D106:E106"/>
    <mergeCell ref="F106:G106"/>
    <mergeCell ref="H106:I106"/>
    <mergeCell ref="J106:K106"/>
    <mergeCell ref="B109:C109"/>
    <mergeCell ref="D109:E109"/>
    <mergeCell ref="F109:G109"/>
    <mergeCell ref="H109:I109"/>
    <mergeCell ref="J109:K109"/>
    <mergeCell ref="B108:C108"/>
    <mergeCell ref="D108:E108"/>
    <mergeCell ref="F108:G108"/>
    <mergeCell ref="H108:I108"/>
    <mergeCell ref="J108:K10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32:C132"/>
    <mergeCell ref="D132:E132"/>
    <mergeCell ref="F132:G132"/>
    <mergeCell ref="H132:I132"/>
    <mergeCell ref="J132:K132"/>
    <mergeCell ref="B131:C131"/>
    <mergeCell ref="D131:E131"/>
    <mergeCell ref="F131:G131"/>
    <mergeCell ref="H131:I131"/>
    <mergeCell ref="J131:K131"/>
    <mergeCell ref="B134:C134"/>
    <mergeCell ref="D134:E134"/>
    <mergeCell ref="F134:G134"/>
    <mergeCell ref="H134:I134"/>
    <mergeCell ref="J134:K134"/>
    <mergeCell ref="B133:C133"/>
    <mergeCell ref="D133:E133"/>
    <mergeCell ref="F133:G133"/>
    <mergeCell ref="H133:I133"/>
    <mergeCell ref="J133:K133"/>
    <mergeCell ref="J136:K136"/>
    <mergeCell ref="B135:C135"/>
    <mergeCell ref="D135:E135"/>
    <mergeCell ref="F135:G135"/>
    <mergeCell ref="H135:I135"/>
    <mergeCell ref="J135:K135"/>
    <mergeCell ref="B137:C137"/>
    <mergeCell ref="B138:C138"/>
    <mergeCell ref="B136:C136"/>
    <mergeCell ref="D136:E136"/>
    <mergeCell ref="F136:G136"/>
    <mergeCell ref="H136:I136"/>
    <mergeCell ref="F14:G14"/>
    <mergeCell ref="H14:I14"/>
    <mergeCell ref="J14:K14"/>
    <mergeCell ref="B18:C18"/>
    <mergeCell ref="D18:E18"/>
    <mergeCell ref="H19:I21"/>
    <mergeCell ref="J19:K21"/>
    <mergeCell ref="F15:G15"/>
    <mergeCell ref="B15:C15"/>
    <mergeCell ref="D15:E15"/>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128:I128"/>
    <mergeCell ref="J128:K128"/>
    <mergeCell ref="F121:G125"/>
    <mergeCell ref="H121:I125"/>
    <mergeCell ref="B121:C125"/>
    <mergeCell ref="B120:C120"/>
    <mergeCell ref="D120:E120"/>
    <mergeCell ref="F120:G120"/>
    <mergeCell ref="H120:I120"/>
    <mergeCell ref="J120:K120"/>
    <mergeCell ref="B119:C119"/>
    <mergeCell ref="D119:E119"/>
    <mergeCell ref="F119:G119"/>
    <mergeCell ref="H119:I119"/>
    <mergeCell ref="J119:K119"/>
    <mergeCell ref="B118:C118"/>
    <mergeCell ref="D118:E118"/>
    <mergeCell ref="F118:G118"/>
    <mergeCell ref="H118:I118"/>
    <mergeCell ref="J118:K118"/>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tint="0.39997558519241921"/>
  </sheetPr>
  <dimension ref="A1:Q19"/>
  <sheetViews>
    <sheetView zoomScale="115" zoomScaleNormal="115" zoomScalePageLayoutView="115" workbookViewId="0">
      <selection activeCell="I13" sqref="I13"/>
    </sheetView>
  </sheetViews>
  <sheetFormatPr baseColWidth="10" defaultColWidth="11.42578125" defaultRowHeight="15" x14ac:dyDescent="0.25"/>
  <cols>
    <col min="1" max="3" width="11.42578125" style="127"/>
    <col min="4" max="4" width="5.85546875" style="127" customWidth="1"/>
    <col min="5" max="5" width="3.85546875" style="127" bestFit="1" customWidth="1"/>
    <col min="6" max="6" width="5.42578125" style="127" customWidth="1"/>
    <col min="7" max="7" width="3.7109375" style="127" customWidth="1"/>
    <col min="8" max="8" width="11.42578125" style="127"/>
    <col min="9" max="9" width="42.7109375" style="127" customWidth="1"/>
    <col min="10" max="10" width="11.42578125" style="127"/>
    <col min="11" max="11" width="13.42578125" style="127" customWidth="1"/>
    <col min="12" max="12" width="11.42578125" style="127"/>
    <col min="13" max="13" width="17.7109375" style="127" bestFit="1" customWidth="1"/>
    <col min="14" max="14" width="19" style="127" customWidth="1"/>
    <col min="15" max="15" width="16.42578125" style="127" bestFit="1" customWidth="1"/>
    <col min="16" max="16384" width="11.42578125" style="127"/>
  </cols>
  <sheetData>
    <row r="1" spans="1:17" x14ac:dyDescent="0.25">
      <c r="A1" s="124"/>
      <c r="B1" s="125" t="s">
        <v>537</v>
      </c>
      <c r="C1" s="126" t="s">
        <v>536</v>
      </c>
      <c r="E1" s="122" t="s">
        <v>538</v>
      </c>
      <c r="H1" s="127" t="s">
        <v>637</v>
      </c>
      <c r="I1" s="177" t="s">
        <v>540</v>
      </c>
      <c r="K1" s="132" t="s">
        <v>593</v>
      </c>
      <c r="M1" s="127" t="s">
        <v>628</v>
      </c>
      <c r="N1" s="127" t="s">
        <v>639</v>
      </c>
      <c r="O1" s="143" t="s">
        <v>595</v>
      </c>
    </row>
    <row r="2" spans="1:17" ht="15.75" thickBot="1" x14ac:dyDescent="0.3">
      <c r="A2" s="174" t="s">
        <v>602</v>
      </c>
      <c r="B2" s="175">
        <v>828116</v>
      </c>
      <c r="C2" s="176">
        <v>925148</v>
      </c>
      <c r="E2" s="123" t="s">
        <v>539</v>
      </c>
      <c r="H2" s="183">
        <v>1</v>
      </c>
      <c r="I2" s="232" t="s">
        <v>652</v>
      </c>
      <c r="K2" s="133" t="s">
        <v>594</v>
      </c>
      <c r="M2" s="142">
        <v>1173569472</v>
      </c>
      <c r="N2" s="127">
        <v>80101504</v>
      </c>
      <c r="O2" s="143" t="s">
        <v>596</v>
      </c>
      <c r="Q2" s="127" t="s">
        <v>538</v>
      </c>
    </row>
    <row r="3" spans="1:17" ht="15.75" thickBot="1" x14ac:dyDescent="0.3">
      <c r="A3" s="83" t="s">
        <v>535</v>
      </c>
      <c r="B3" s="128">
        <v>781242</v>
      </c>
      <c r="C3" s="129">
        <v>869453</v>
      </c>
      <c r="H3" s="183">
        <v>2</v>
      </c>
      <c r="I3" s="232" t="s">
        <v>663</v>
      </c>
      <c r="K3" s="134" t="s">
        <v>170</v>
      </c>
      <c r="M3" s="127" t="s">
        <v>659</v>
      </c>
      <c r="N3" s="127">
        <v>84111603</v>
      </c>
      <c r="O3" s="143" t="s">
        <v>597</v>
      </c>
      <c r="Q3" s="127" t="s">
        <v>539</v>
      </c>
    </row>
    <row r="4" spans="1:17" x14ac:dyDescent="0.25">
      <c r="A4" s="83" t="s">
        <v>534</v>
      </c>
      <c r="B4" s="128">
        <v>737717</v>
      </c>
      <c r="C4" s="129">
        <v>820857</v>
      </c>
      <c r="H4" s="183">
        <v>3</v>
      </c>
      <c r="I4" s="232" t="s">
        <v>648</v>
      </c>
      <c r="M4" s="142">
        <f>+M2*0.5</f>
        <v>586784736</v>
      </c>
      <c r="N4" s="127">
        <v>93151607</v>
      </c>
    </row>
    <row r="5" spans="1:17" x14ac:dyDescent="0.25">
      <c r="A5" s="83" t="s">
        <v>533</v>
      </c>
      <c r="B5" s="128">
        <v>689455</v>
      </c>
      <c r="C5" s="129">
        <v>767155</v>
      </c>
      <c r="H5" s="183">
        <v>4</v>
      </c>
      <c r="I5" s="232" t="s">
        <v>649</v>
      </c>
      <c r="M5" s="127" t="s">
        <v>660</v>
      </c>
    </row>
    <row r="6" spans="1:17" x14ac:dyDescent="0.25">
      <c r="A6" s="83" t="s">
        <v>532</v>
      </c>
      <c r="B6" s="128">
        <v>644350</v>
      </c>
      <c r="C6" s="129">
        <v>718350</v>
      </c>
      <c r="H6" s="183">
        <v>5</v>
      </c>
      <c r="I6" s="232" t="s">
        <v>650</v>
      </c>
      <c r="M6" s="142">
        <f>+M2*0.3</f>
        <v>352070841.59999996</v>
      </c>
    </row>
    <row r="7" spans="1:17" x14ac:dyDescent="0.25">
      <c r="A7" s="83" t="s">
        <v>531</v>
      </c>
      <c r="B7" s="128">
        <v>616000</v>
      </c>
      <c r="C7" s="129">
        <v>688000</v>
      </c>
      <c r="H7" s="183">
        <v>6</v>
      </c>
      <c r="I7" s="232" t="s">
        <v>647</v>
      </c>
    </row>
    <row r="8" spans="1:17" x14ac:dyDescent="0.25">
      <c r="A8" s="83" t="s">
        <v>530</v>
      </c>
      <c r="B8" s="128">
        <v>589500</v>
      </c>
      <c r="C8" s="129">
        <v>660000</v>
      </c>
      <c r="H8" s="183">
        <v>7</v>
      </c>
      <c r="I8" s="232" t="s">
        <v>651</v>
      </c>
      <c r="M8" s="142"/>
    </row>
    <row r="9" spans="1:17" x14ac:dyDescent="0.25">
      <c r="A9" s="83" t="s">
        <v>529</v>
      </c>
      <c r="B9" s="128">
        <v>566700</v>
      </c>
      <c r="C9" s="129">
        <v>634500</v>
      </c>
      <c r="H9" s="119"/>
      <c r="M9" s="141"/>
    </row>
    <row r="10" spans="1:17" x14ac:dyDescent="0.25">
      <c r="A10" s="83" t="s">
        <v>528</v>
      </c>
      <c r="B10" s="128">
        <v>535600</v>
      </c>
      <c r="C10" s="129">
        <v>599200</v>
      </c>
      <c r="H10" s="119"/>
      <c r="M10" s="173"/>
    </row>
    <row r="11" spans="1:17" x14ac:dyDescent="0.25">
      <c r="A11" s="83" t="s">
        <v>527</v>
      </c>
      <c r="B11" s="128">
        <v>515000</v>
      </c>
      <c r="C11" s="129">
        <v>576500</v>
      </c>
      <c r="H11" s="119"/>
    </row>
    <row r="12" spans="1:17" x14ac:dyDescent="0.25">
      <c r="A12" s="83" t="s">
        <v>526</v>
      </c>
      <c r="B12" s="128">
        <v>496900</v>
      </c>
      <c r="C12" s="129">
        <v>556200</v>
      </c>
      <c r="H12" s="119"/>
    </row>
    <row r="13" spans="1:17" x14ac:dyDescent="0.25">
      <c r="A13" s="83" t="s">
        <v>525</v>
      </c>
      <c r="B13" s="128">
        <v>461500</v>
      </c>
      <c r="C13" s="129">
        <v>516500</v>
      </c>
    </row>
    <row r="14" spans="1:17" x14ac:dyDescent="0.25">
      <c r="A14" s="83" t="s">
        <v>524</v>
      </c>
      <c r="B14" s="128">
        <v>433700</v>
      </c>
      <c r="C14" s="129">
        <v>484500</v>
      </c>
    </row>
    <row r="15" spans="1:17" x14ac:dyDescent="0.25">
      <c r="A15" s="83" t="s">
        <v>642</v>
      </c>
      <c r="B15" s="128">
        <v>408000</v>
      </c>
      <c r="C15" s="129">
        <v>455700</v>
      </c>
    </row>
    <row r="16" spans="1:17" x14ac:dyDescent="0.25">
      <c r="A16" s="235" t="s">
        <v>643</v>
      </c>
      <c r="B16" s="128">
        <v>381500</v>
      </c>
      <c r="C16" s="129">
        <f>+B16+44500</f>
        <v>426000</v>
      </c>
    </row>
    <row r="17" spans="1:3" x14ac:dyDescent="0.25">
      <c r="A17" s="235" t="s">
        <v>644</v>
      </c>
      <c r="B17" s="128">
        <v>358000</v>
      </c>
      <c r="C17" s="129">
        <v>399600</v>
      </c>
    </row>
    <row r="18" spans="1:3" x14ac:dyDescent="0.25">
      <c r="A18" s="83" t="s">
        <v>645</v>
      </c>
      <c r="B18" s="128">
        <v>332000</v>
      </c>
      <c r="C18" s="236">
        <v>369500</v>
      </c>
    </row>
    <row r="19" spans="1:3" ht="15.75" thickBot="1" x14ac:dyDescent="0.3">
      <c r="A19" s="130" t="s">
        <v>646</v>
      </c>
      <c r="B19" s="131">
        <v>309000</v>
      </c>
      <c r="C19" s="237">
        <v>343000</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249977111117893"/>
  </sheetPr>
  <dimension ref="A1:AG61"/>
  <sheetViews>
    <sheetView zoomScale="70" zoomScaleNormal="70" zoomScaleSheetLayoutView="85" zoomScalePageLayoutView="70" workbookViewId="0">
      <selection activeCell="A4" sqref="A4:N4"/>
    </sheetView>
  </sheetViews>
  <sheetFormatPr baseColWidth="10" defaultColWidth="10.85546875" defaultRowHeight="12" x14ac:dyDescent="0.25"/>
  <cols>
    <col min="1" max="1" width="54.42578125" style="190" bestFit="1" customWidth="1"/>
    <col min="2" max="2" width="21.7109375" style="190" customWidth="1"/>
    <col min="3" max="5" width="22.140625" style="190" customWidth="1"/>
    <col min="6" max="6" width="32.7109375" style="190" customWidth="1"/>
    <col min="7" max="7" width="18.7109375" style="190" customWidth="1"/>
    <col min="8" max="8" width="18.42578125" style="190" customWidth="1"/>
    <col min="9" max="9" width="32.7109375" style="190" customWidth="1"/>
    <col min="10" max="10" width="18.7109375" style="190" customWidth="1"/>
    <col min="11" max="11" width="18.42578125" style="190" customWidth="1"/>
    <col min="12" max="12" width="32.7109375" style="190" customWidth="1"/>
    <col min="13" max="13" width="18.7109375" style="190" customWidth="1"/>
    <col min="14" max="14" width="18.42578125" style="190" customWidth="1"/>
    <col min="15" max="15" width="32.7109375" style="190" customWidth="1"/>
    <col min="16" max="16" width="18.7109375" style="190" customWidth="1"/>
    <col min="17" max="17" width="18.42578125" style="190" customWidth="1"/>
    <col min="18" max="18" width="32.7109375" style="190" customWidth="1"/>
    <col min="19" max="19" width="18.7109375" style="190" customWidth="1"/>
    <col min="20" max="20" width="16" style="190" bestFit="1" customWidth="1"/>
    <col min="21" max="21" width="32.7109375" style="190" customWidth="1"/>
    <col min="22" max="22" width="18.7109375" style="190" customWidth="1"/>
    <col min="23" max="23" width="16.140625" style="190" customWidth="1"/>
    <col min="24" max="24" width="32.7109375" style="190" customWidth="1"/>
    <col min="25" max="25" width="18.7109375" style="190" customWidth="1"/>
    <col min="26" max="26" width="16" style="190" bestFit="1" customWidth="1"/>
    <col min="27" max="27" width="32.7109375" style="190" customWidth="1"/>
    <col min="28" max="28" width="18.7109375" style="190" customWidth="1"/>
    <col min="29" max="29" width="16" style="190" bestFit="1" customWidth="1"/>
    <col min="30" max="30" width="32.7109375" style="190" customWidth="1"/>
    <col min="31" max="31" width="18.7109375" style="190" customWidth="1"/>
    <col min="32" max="32" width="16" style="190" bestFit="1" customWidth="1"/>
    <col min="33" max="16384" width="10.85546875" style="190"/>
  </cols>
  <sheetData>
    <row r="1" spans="1:33" ht="19.5" x14ac:dyDescent="0.25">
      <c r="A1" s="538" t="s">
        <v>542</v>
      </c>
      <c r="B1" s="538"/>
      <c r="C1" s="538"/>
      <c r="D1" s="538"/>
      <c r="E1" s="538"/>
      <c r="F1" s="538"/>
      <c r="G1" s="538"/>
      <c r="H1" s="538"/>
      <c r="I1" s="538"/>
      <c r="J1" s="538"/>
      <c r="K1" s="538"/>
      <c r="L1" s="538"/>
      <c r="M1" s="538"/>
      <c r="N1" s="538"/>
      <c r="O1" s="205"/>
      <c r="P1" s="205"/>
      <c r="Q1" s="205"/>
    </row>
    <row r="2" spans="1:33" ht="19.5" x14ac:dyDescent="0.25">
      <c r="A2" s="538" t="s">
        <v>518</v>
      </c>
      <c r="B2" s="538"/>
      <c r="C2" s="538"/>
      <c r="D2" s="538"/>
      <c r="E2" s="538"/>
      <c r="F2" s="538"/>
      <c r="G2" s="538"/>
      <c r="H2" s="538"/>
      <c r="I2" s="538"/>
      <c r="J2" s="538"/>
      <c r="K2" s="538"/>
      <c r="L2" s="538"/>
      <c r="M2" s="538"/>
      <c r="N2" s="538"/>
      <c r="O2" s="205"/>
      <c r="P2" s="205"/>
      <c r="Q2" s="205"/>
    </row>
    <row r="3" spans="1:33" ht="19.5" x14ac:dyDescent="0.25">
      <c r="A3" s="538" t="s">
        <v>543</v>
      </c>
      <c r="B3" s="538"/>
      <c r="C3" s="538"/>
      <c r="D3" s="538"/>
      <c r="E3" s="538"/>
      <c r="F3" s="538"/>
      <c r="G3" s="538"/>
      <c r="H3" s="538"/>
      <c r="I3" s="538"/>
      <c r="J3" s="538"/>
      <c r="K3" s="538"/>
      <c r="L3" s="538"/>
      <c r="M3" s="538"/>
      <c r="N3" s="538"/>
      <c r="O3" s="205"/>
      <c r="P3" s="205"/>
      <c r="Q3" s="205"/>
    </row>
    <row r="4" spans="1:33" ht="19.5" x14ac:dyDescent="0.25">
      <c r="A4" s="538" t="s">
        <v>641</v>
      </c>
      <c r="B4" s="538"/>
      <c r="C4" s="538"/>
      <c r="D4" s="538"/>
      <c r="E4" s="538"/>
      <c r="F4" s="538"/>
      <c r="G4" s="538"/>
      <c r="H4" s="538"/>
      <c r="I4" s="538"/>
      <c r="J4" s="538"/>
      <c r="K4" s="538"/>
      <c r="L4" s="538"/>
      <c r="M4" s="538"/>
      <c r="N4" s="538"/>
      <c r="O4" s="205"/>
      <c r="P4" s="205"/>
      <c r="Q4" s="205"/>
    </row>
    <row r="5" spans="1:33" ht="19.5" x14ac:dyDescent="0.25">
      <c r="A5" s="538" t="s">
        <v>545</v>
      </c>
      <c r="B5" s="538"/>
      <c r="C5" s="538"/>
      <c r="D5" s="538"/>
      <c r="E5" s="538"/>
      <c r="F5" s="538"/>
      <c r="G5" s="538"/>
      <c r="H5" s="538"/>
      <c r="I5" s="538"/>
      <c r="J5" s="538"/>
      <c r="K5" s="538"/>
      <c r="L5" s="538"/>
      <c r="M5" s="538"/>
      <c r="N5" s="538"/>
      <c r="O5" s="205"/>
      <c r="P5" s="205"/>
      <c r="Q5" s="205"/>
    </row>
    <row r="6" spans="1:33" ht="9" customHeight="1" thickBot="1" x14ac:dyDescent="0.3">
      <c r="A6" s="206"/>
      <c r="B6" s="206"/>
      <c r="C6" s="206"/>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row>
    <row r="7" spans="1:33" s="191" customFormat="1" ht="36.75" customHeight="1" x14ac:dyDescent="0.25">
      <c r="A7" s="561" t="s">
        <v>519</v>
      </c>
      <c r="B7" s="539" t="s">
        <v>578</v>
      </c>
      <c r="C7" s="541" t="s">
        <v>520</v>
      </c>
      <c r="D7" s="542"/>
      <c r="E7" s="543"/>
      <c r="F7" s="541"/>
      <c r="G7" s="542"/>
      <c r="H7" s="543"/>
      <c r="I7" s="544"/>
      <c r="J7" s="448"/>
      <c r="K7" s="448"/>
      <c r="L7" s="448"/>
      <c r="M7" s="448"/>
      <c r="N7" s="448"/>
      <c r="O7" s="448"/>
      <c r="P7" s="448"/>
      <c r="Q7" s="449"/>
      <c r="R7" s="548"/>
      <c r="S7" s="548"/>
      <c r="T7" s="548"/>
      <c r="U7" s="548"/>
      <c r="V7" s="548"/>
      <c r="W7" s="548"/>
      <c r="X7" s="548"/>
      <c r="Y7" s="548"/>
      <c r="Z7" s="548"/>
      <c r="AA7" s="548"/>
      <c r="AB7" s="548"/>
      <c r="AC7" s="548"/>
    </row>
    <row r="8" spans="1:33" s="192" customFormat="1" ht="38.25" thickBot="1" x14ac:dyDescent="0.3">
      <c r="A8" s="562"/>
      <c r="B8" s="540"/>
      <c r="C8" s="292" t="s">
        <v>521</v>
      </c>
      <c r="D8" s="293" t="s">
        <v>522</v>
      </c>
      <c r="E8" s="294" t="s">
        <v>476</v>
      </c>
      <c r="F8" s="292"/>
      <c r="G8" s="293"/>
      <c r="H8" s="294"/>
      <c r="I8" s="341"/>
      <c r="J8" s="342"/>
      <c r="K8" s="342"/>
      <c r="L8" s="342"/>
      <c r="M8" s="342"/>
      <c r="N8" s="342"/>
      <c r="O8" s="342"/>
      <c r="P8" s="342"/>
      <c r="Q8" s="343"/>
      <c r="T8" s="193"/>
      <c r="W8" s="193"/>
      <c r="Z8" s="193"/>
      <c r="AC8" s="193"/>
    </row>
    <row r="9" spans="1:33" s="195" customFormat="1" ht="85.5" customHeight="1" thickBot="1" x14ac:dyDescent="0.3">
      <c r="A9" s="319" t="str">
        <f>+VLOOKUP(B9,X!$H$2:$I$9,2,0)</f>
        <v xml:space="preserve"> C &amp;M CONSULTORES S.A.</v>
      </c>
      <c r="B9" s="320">
        <v>2</v>
      </c>
      <c r="C9" s="321" t="s">
        <v>669</v>
      </c>
      <c r="D9" s="322" t="s">
        <v>670</v>
      </c>
      <c r="E9" s="340">
        <v>1</v>
      </c>
      <c r="F9" s="321"/>
      <c r="G9" s="322"/>
      <c r="H9" s="340"/>
      <c r="I9" s="344"/>
      <c r="J9" s="345"/>
      <c r="K9" s="345"/>
      <c r="L9" s="344"/>
      <c r="M9" s="345"/>
      <c r="N9" s="345"/>
      <c r="O9" s="344"/>
      <c r="P9" s="345"/>
      <c r="Q9" s="345"/>
      <c r="R9" s="193"/>
      <c r="S9" s="193"/>
      <c r="T9" s="194"/>
      <c r="U9" s="193"/>
      <c r="V9" s="193"/>
      <c r="W9" s="194"/>
      <c r="X9" s="193"/>
      <c r="Y9" s="193"/>
      <c r="Z9" s="194"/>
      <c r="AA9" s="193"/>
      <c r="AB9" s="193"/>
      <c r="AC9" s="193"/>
    </row>
    <row r="10" spans="1:33" ht="19.5" thickBot="1" x14ac:dyDescent="0.3">
      <c r="A10" s="450" t="s">
        <v>480</v>
      </c>
      <c r="B10" s="451"/>
      <c r="C10" s="427" t="s">
        <v>601</v>
      </c>
      <c r="D10" s="428"/>
      <c r="E10" s="428"/>
      <c r="F10" s="428"/>
      <c r="G10" s="428"/>
      <c r="H10" s="428"/>
      <c r="I10" s="428"/>
      <c r="J10" s="428"/>
      <c r="K10" s="428"/>
      <c r="L10" s="428"/>
      <c r="M10" s="428"/>
      <c r="N10" s="428"/>
      <c r="O10" s="428"/>
      <c r="P10" s="428"/>
      <c r="Q10" s="429"/>
      <c r="R10" s="422" t="s">
        <v>548</v>
      </c>
      <c r="S10" s="423"/>
      <c r="T10" s="423"/>
      <c r="U10" s="423"/>
      <c r="V10" s="423"/>
      <c r="W10" s="423"/>
      <c r="X10" s="423"/>
      <c r="Y10" s="423"/>
      <c r="Z10" s="423"/>
      <c r="AA10" s="423"/>
      <c r="AB10" s="423"/>
      <c r="AC10" s="423"/>
      <c r="AD10" s="423"/>
      <c r="AE10" s="423"/>
      <c r="AF10" s="424"/>
    </row>
    <row r="11" spans="1:33" s="196" customFormat="1" ht="15" customHeight="1" thickBot="1" x14ac:dyDescent="0.3">
      <c r="A11" s="427"/>
      <c r="B11" s="429"/>
      <c r="C11" s="419" t="s">
        <v>15</v>
      </c>
      <c r="D11" s="420"/>
      <c r="E11" s="421"/>
      <c r="F11" s="419" t="s">
        <v>16</v>
      </c>
      <c r="G11" s="420"/>
      <c r="H11" s="421"/>
      <c r="I11" s="419" t="s">
        <v>17</v>
      </c>
      <c r="J11" s="420"/>
      <c r="K11" s="421"/>
      <c r="L11" s="419" t="s">
        <v>18</v>
      </c>
      <c r="M11" s="420"/>
      <c r="N11" s="421"/>
      <c r="O11" s="419" t="s">
        <v>19</v>
      </c>
      <c r="P11" s="420"/>
      <c r="Q11" s="421"/>
      <c r="R11" s="422" t="s">
        <v>15</v>
      </c>
      <c r="S11" s="423"/>
      <c r="T11" s="424"/>
      <c r="U11" s="422" t="s">
        <v>16</v>
      </c>
      <c r="V11" s="423"/>
      <c r="W11" s="424"/>
      <c r="X11" s="422" t="s">
        <v>17</v>
      </c>
      <c r="Y11" s="423"/>
      <c r="Z11" s="424"/>
      <c r="AA11" s="422" t="s">
        <v>18</v>
      </c>
      <c r="AB11" s="423"/>
      <c r="AC11" s="424"/>
      <c r="AD11" s="422" t="s">
        <v>19</v>
      </c>
      <c r="AE11" s="423"/>
      <c r="AF11" s="424"/>
      <c r="AG11" s="190"/>
    </row>
    <row r="12" spans="1:33" ht="18.75" customHeight="1" x14ac:dyDescent="0.25">
      <c r="A12" s="452" t="s">
        <v>0</v>
      </c>
      <c r="B12" s="458"/>
      <c r="C12" s="398" t="s">
        <v>675</v>
      </c>
      <c r="D12" s="399"/>
      <c r="E12" s="400"/>
      <c r="F12" s="410" t="s">
        <v>680</v>
      </c>
      <c r="G12" s="411"/>
      <c r="H12" s="412"/>
      <c r="I12" s="300"/>
      <c r="J12" s="301"/>
      <c r="K12" s="302"/>
      <c r="L12" s="300"/>
      <c r="M12" s="301"/>
      <c r="N12" s="302"/>
      <c r="O12" s="300"/>
      <c r="P12" s="301"/>
      <c r="Q12" s="302"/>
      <c r="R12" s="398" t="s">
        <v>675</v>
      </c>
      <c r="S12" s="399"/>
      <c r="T12" s="400"/>
      <c r="U12" s="300" t="s">
        <v>695</v>
      </c>
      <c r="V12" s="301"/>
      <c r="W12" s="302"/>
      <c r="X12" s="300"/>
      <c r="Y12" s="301"/>
      <c r="Z12" s="302"/>
      <c r="AA12" s="300"/>
      <c r="AB12" s="301"/>
      <c r="AC12" s="302"/>
      <c r="AD12" s="300"/>
      <c r="AE12" s="301"/>
      <c r="AF12" s="302"/>
    </row>
    <row r="13" spans="1:33" ht="15.75" customHeight="1" x14ac:dyDescent="0.25">
      <c r="A13" s="454" t="s">
        <v>5</v>
      </c>
      <c r="B13" s="459"/>
      <c r="C13" s="401" t="s">
        <v>671</v>
      </c>
      <c r="D13" s="402"/>
      <c r="E13" s="403"/>
      <c r="F13" s="413" t="s">
        <v>681</v>
      </c>
      <c r="G13" s="414"/>
      <c r="H13" s="415"/>
      <c r="I13" s="303"/>
      <c r="J13" s="304"/>
      <c r="K13" s="305"/>
      <c r="L13" s="303"/>
      <c r="M13" s="304"/>
      <c r="N13" s="305"/>
      <c r="O13" s="303"/>
      <c r="P13" s="304"/>
      <c r="Q13" s="305"/>
      <c r="R13" s="401" t="s">
        <v>671</v>
      </c>
      <c r="S13" s="402"/>
      <c r="T13" s="403"/>
      <c r="U13" s="303" t="s">
        <v>696</v>
      </c>
      <c r="V13" s="304"/>
      <c r="W13" s="305"/>
      <c r="X13" s="303"/>
      <c r="Y13" s="304"/>
      <c r="Z13" s="305"/>
      <c r="AA13" s="303"/>
      <c r="AB13" s="304"/>
      <c r="AC13" s="305"/>
      <c r="AD13" s="303"/>
      <c r="AE13" s="304"/>
      <c r="AF13" s="305"/>
    </row>
    <row r="14" spans="1:33" ht="21.75" customHeight="1" x14ac:dyDescent="0.25">
      <c r="A14" s="454" t="s">
        <v>6</v>
      </c>
      <c r="B14" s="459"/>
      <c r="C14" s="401">
        <v>2222800</v>
      </c>
      <c r="D14" s="402"/>
      <c r="E14" s="403"/>
      <c r="F14" s="413">
        <v>4322760</v>
      </c>
      <c r="G14" s="414"/>
      <c r="H14" s="415"/>
      <c r="I14" s="306"/>
      <c r="J14" s="307"/>
      <c r="K14" s="308"/>
      <c r="L14" s="306"/>
      <c r="M14" s="307"/>
      <c r="N14" s="308"/>
      <c r="O14" s="306"/>
      <c r="P14" s="307"/>
      <c r="Q14" s="308"/>
      <c r="R14" s="401">
        <v>2222800</v>
      </c>
      <c r="S14" s="402"/>
      <c r="T14" s="403"/>
      <c r="U14" s="306">
        <v>2203000</v>
      </c>
      <c r="V14" s="307"/>
      <c r="W14" s="308"/>
      <c r="X14" s="306"/>
      <c r="Y14" s="307"/>
      <c r="Z14" s="308"/>
      <c r="AA14" s="306"/>
      <c r="AB14" s="307"/>
      <c r="AC14" s="308"/>
      <c r="AD14" s="306"/>
      <c r="AE14" s="307"/>
      <c r="AF14" s="308"/>
    </row>
    <row r="15" spans="1:33" ht="19.5" customHeight="1" thickBot="1" x14ac:dyDescent="0.3">
      <c r="A15" s="460" t="s">
        <v>1</v>
      </c>
      <c r="B15" s="461"/>
      <c r="C15" s="404" t="s">
        <v>672</v>
      </c>
      <c r="D15" s="405"/>
      <c r="E15" s="406"/>
      <c r="F15" s="416" t="s">
        <v>672</v>
      </c>
      <c r="G15" s="417"/>
      <c r="H15" s="418"/>
      <c r="I15" s="309"/>
      <c r="J15" s="310"/>
      <c r="K15" s="311"/>
      <c r="L15" s="309"/>
      <c r="M15" s="310"/>
      <c r="N15" s="311"/>
      <c r="O15" s="309"/>
      <c r="P15" s="310"/>
      <c r="Q15" s="311"/>
      <c r="R15" s="404" t="s">
        <v>672</v>
      </c>
      <c r="S15" s="405"/>
      <c r="T15" s="406"/>
      <c r="U15" s="309" t="s">
        <v>672</v>
      </c>
      <c r="V15" s="310"/>
      <c r="W15" s="311"/>
      <c r="X15" s="309"/>
      <c r="Y15" s="310"/>
      <c r="Z15" s="311"/>
      <c r="AA15" s="309"/>
      <c r="AB15" s="310"/>
      <c r="AC15" s="311"/>
      <c r="AD15" s="309"/>
      <c r="AE15" s="310"/>
      <c r="AF15" s="311"/>
    </row>
    <row r="16" spans="1:33" ht="49.5" customHeight="1" thickBot="1" x14ac:dyDescent="0.3">
      <c r="A16" s="507" t="s">
        <v>8</v>
      </c>
      <c r="B16" s="508"/>
      <c r="C16" s="496" t="s">
        <v>22</v>
      </c>
      <c r="D16" s="497"/>
      <c r="E16" s="295" t="s">
        <v>494</v>
      </c>
      <c r="F16" s="496" t="s">
        <v>22</v>
      </c>
      <c r="G16" s="497"/>
      <c r="H16" s="295" t="s">
        <v>494</v>
      </c>
      <c r="I16" s="496" t="s">
        <v>22</v>
      </c>
      <c r="J16" s="497"/>
      <c r="K16" s="295" t="s">
        <v>494</v>
      </c>
      <c r="L16" s="496" t="s">
        <v>22</v>
      </c>
      <c r="M16" s="497"/>
      <c r="N16" s="295" t="s">
        <v>494</v>
      </c>
      <c r="O16" s="496" t="s">
        <v>22</v>
      </c>
      <c r="P16" s="497"/>
      <c r="Q16" s="295" t="s">
        <v>494</v>
      </c>
      <c r="R16" s="494" t="s">
        <v>22</v>
      </c>
      <c r="S16" s="495"/>
      <c r="T16" s="296" t="s">
        <v>494</v>
      </c>
      <c r="U16" s="494" t="s">
        <v>22</v>
      </c>
      <c r="V16" s="495"/>
      <c r="W16" s="296" t="s">
        <v>494</v>
      </c>
      <c r="X16" s="494" t="s">
        <v>22</v>
      </c>
      <c r="Y16" s="495"/>
      <c r="Z16" s="296" t="s">
        <v>494</v>
      </c>
      <c r="AA16" s="494" t="s">
        <v>22</v>
      </c>
      <c r="AB16" s="495"/>
      <c r="AC16" s="296" t="s">
        <v>494</v>
      </c>
      <c r="AD16" s="494" t="s">
        <v>22</v>
      </c>
      <c r="AE16" s="495"/>
      <c r="AF16" s="296" t="s">
        <v>494</v>
      </c>
    </row>
    <row r="17" spans="1:33" ht="20.25" customHeight="1" x14ac:dyDescent="0.25">
      <c r="A17" s="509"/>
      <c r="B17" s="510"/>
      <c r="C17" s="464"/>
      <c r="D17" s="465"/>
      <c r="E17" s="312"/>
      <c r="F17" s="464" t="s">
        <v>672</v>
      </c>
      <c r="G17" s="465"/>
      <c r="H17" s="312">
        <v>0.5</v>
      </c>
      <c r="I17" s="464"/>
      <c r="J17" s="465"/>
      <c r="K17" s="312"/>
      <c r="L17" s="464"/>
      <c r="M17" s="465"/>
      <c r="N17" s="312"/>
      <c r="O17" s="464"/>
      <c r="P17" s="465"/>
      <c r="Q17" s="312"/>
      <c r="R17" s="464"/>
      <c r="S17" s="465"/>
      <c r="T17" s="312"/>
      <c r="U17" s="464" t="s">
        <v>672</v>
      </c>
      <c r="V17" s="465"/>
      <c r="W17" s="312">
        <v>0.6</v>
      </c>
      <c r="X17" s="464"/>
      <c r="Y17" s="465"/>
      <c r="Z17" s="312"/>
      <c r="AA17" s="464"/>
      <c r="AB17" s="465"/>
      <c r="AC17" s="312">
        <v>1</v>
      </c>
      <c r="AD17" s="464"/>
      <c r="AE17" s="465"/>
      <c r="AF17" s="312"/>
    </row>
    <row r="18" spans="1:33" ht="20.25" customHeight="1" x14ac:dyDescent="0.25">
      <c r="A18" s="509"/>
      <c r="B18" s="510"/>
      <c r="C18" s="462"/>
      <c r="D18" s="463"/>
      <c r="E18" s="313"/>
      <c r="F18" s="462" t="s">
        <v>682</v>
      </c>
      <c r="G18" s="463"/>
      <c r="H18" s="313">
        <v>0.5</v>
      </c>
      <c r="I18" s="462"/>
      <c r="J18" s="463"/>
      <c r="K18" s="313"/>
      <c r="L18" s="462"/>
      <c r="M18" s="463"/>
      <c r="N18" s="313"/>
      <c r="O18" s="462"/>
      <c r="P18" s="463"/>
      <c r="Q18" s="313"/>
      <c r="R18" s="462"/>
      <c r="S18" s="463"/>
      <c r="T18" s="313"/>
      <c r="U18" s="462" t="s">
        <v>697</v>
      </c>
      <c r="V18" s="463"/>
      <c r="W18" s="313">
        <v>0.4</v>
      </c>
      <c r="X18" s="462"/>
      <c r="Y18" s="463"/>
      <c r="Z18" s="313"/>
      <c r="AA18" s="462"/>
      <c r="AB18" s="463"/>
      <c r="AC18" s="313"/>
      <c r="AD18" s="462"/>
      <c r="AE18" s="463"/>
      <c r="AF18" s="313"/>
    </row>
    <row r="19" spans="1:33" ht="18.75" x14ac:dyDescent="0.25">
      <c r="A19" s="509"/>
      <c r="B19" s="510"/>
      <c r="C19" s="462"/>
      <c r="D19" s="463"/>
      <c r="E19" s="313"/>
      <c r="F19" s="462"/>
      <c r="G19" s="463"/>
      <c r="H19" s="313"/>
      <c r="I19" s="462"/>
      <c r="J19" s="463"/>
      <c r="K19" s="313"/>
      <c r="L19" s="462"/>
      <c r="M19" s="463"/>
      <c r="N19" s="313"/>
      <c r="O19" s="462"/>
      <c r="P19" s="463"/>
      <c r="Q19" s="313"/>
      <c r="R19" s="462"/>
      <c r="S19" s="463"/>
      <c r="T19" s="313"/>
      <c r="U19" s="462"/>
      <c r="V19" s="463"/>
      <c r="W19" s="313"/>
      <c r="X19" s="462"/>
      <c r="Y19" s="463"/>
      <c r="Z19" s="313"/>
      <c r="AA19" s="462"/>
      <c r="AB19" s="463"/>
      <c r="AC19" s="313"/>
      <c r="AD19" s="462"/>
      <c r="AE19" s="463"/>
      <c r="AF19" s="313"/>
    </row>
    <row r="20" spans="1:33" ht="18.75" x14ac:dyDescent="0.25">
      <c r="A20" s="509"/>
      <c r="B20" s="510"/>
      <c r="C20" s="462"/>
      <c r="D20" s="463"/>
      <c r="E20" s="314"/>
      <c r="F20" s="462"/>
      <c r="G20" s="463"/>
      <c r="H20" s="314"/>
      <c r="I20" s="462"/>
      <c r="J20" s="463"/>
      <c r="K20" s="314"/>
      <c r="L20" s="462"/>
      <c r="M20" s="463"/>
      <c r="N20" s="314"/>
      <c r="O20" s="462"/>
      <c r="P20" s="463"/>
      <c r="Q20" s="314"/>
      <c r="R20" s="462"/>
      <c r="S20" s="463"/>
      <c r="T20" s="314"/>
      <c r="U20" s="462"/>
      <c r="V20" s="463"/>
      <c r="W20" s="314"/>
      <c r="X20" s="462"/>
      <c r="Y20" s="463"/>
      <c r="Z20" s="314"/>
      <c r="AA20" s="462"/>
      <c r="AB20" s="463"/>
      <c r="AC20" s="314"/>
      <c r="AD20" s="462"/>
      <c r="AE20" s="463"/>
      <c r="AF20" s="314"/>
    </row>
    <row r="21" spans="1:33" ht="15.75" customHeight="1" thickBot="1" x14ac:dyDescent="0.3">
      <c r="A21" s="460"/>
      <c r="B21" s="511"/>
      <c r="C21" s="476"/>
      <c r="D21" s="477"/>
      <c r="E21" s="315"/>
      <c r="F21" s="476"/>
      <c r="G21" s="477"/>
      <c r="H21" s="315"/>
      <c r="I21" s="476"/>
      <c r="J21" s="477"/>
      <c r="K21" s="315"/>
      <c r="L21" s="476"/>
      <c r="M21" s="477"/>
      <c r="N21" s="315"/>
      <c r="O21" s="476"/>
      <c r="P21" s="477"/>
      <c r="Q21" s="315"/>
      <c r="R21" s="476"/>
      <c r="S21" s="477"/>
      <c r="T21" s="315"/>
      <c r="U21" s="476"/>
      <c r="V21" s="477"/>
      <c r="W21" s="315"/>
      <c r="X21" s="476"/>
      <c r="Y21" s="477"/>
      <c r="Z21" s="315"/>
      <c r="AA21" s="476"/>
      <c r="AB21" s="477"/>
      <c r="AC21" s="315"/>
      <c r="AD21" s="476"/>
      <c r="AE21" s="477"/>
      <c r="AF21" s="315"/>
    </row>
    <row r="22" spans="1:33" ht="37.5" customHeight="1" x14ac:dyDescent="0.25">
      <c r="A22" s="510" t="s">
        <v>633</v>
      </c>
      <c r="B22" s="510"/>
      <c r="C22" s="545" t="s">
        <v>673</v>
      </c>
      <c r="D22" s="546"/>
      <c r="E22" s="547"/>
      <c r="F22" s="545" t="s">
        <v>683</v>
      </c>
      <c r="G22" s="546"/>
      <c r="H22" s="547"/>
      <c r="I22" s="550"/>
      <c r="J22" s="479"/>
      <c r="K22" s="480"/>
      <c r="L22" s="478"/>
      <c r="M22" s="479"/>
      <c r="N22" s="480"/>
      <c r="O22" s="478"/>
      <c r="P22" s="479"/>
      <c r="Q22" s="480"/>
      <c r="R22" s="478" t="s">
        <v>691</v>
      </c>
      <c r="S22" s="479"/>
      <c r="T22" s="480"/>
      <c r="U22" s="478" t="s">
        <v>698</v>
      </c>
      <c r="V22" s="479"/>
      <c r="W22" s="480"/>
      <c r="X22" s="478"/>
      <c r="Y22" s="479"/>
      <c r="Z22" s="480"/>
      <c r="AA22" s="478"/>
      <c r="AB22" s="479"/>
      <c r="AC22" s="480"/>
      <c r="AD22" s="478"/>
      <c r="AE22" s="479"/>
      <c r="AF22" s="480"/>
    </row>
    <row r="23" spans="1:33" ht="37.5" customHeight="1" x14ac:dyDescent="0.25">
      <c r="A23" s="510" t="s">
        <v>635</v>
      </c>
      <c r="B23" s="510"/>
      <c r="C23" s="481" t="s">
        <v>674</v>
      </c>
      <c r="D23" s="482"/>
      <c r="E23" s="483"/>
      <c r="F23" s="481" t="s">
        <v>684</v>
      </c>
      <c r="G23" s="482"/>
      <c r="H23" s="483"/>
      <c r="I23" s="557"/>
      <c r="J23" s="482"/>
      <c r="K23" s="483"/>
      <c r="L23" s="481"/>
      <c r="M23" s="482"/>
      <c r="N23" s="483"/>
      <c r="O23" s="481"/>
      <c r="P23" s="482"/>
      <c r="Q23" s="483"/>
      <c r="R23" s="481" t="s">
        <v>674</v>
      </c>
      <c r="S23" s="482"/>
      <c r="T23" s="483"/>
      <c r="U23" s="481" t="s">
        <v>699</v>
      </c>
      <c r="V23" s="482"/>
      <c r="W23" s="483"/>
      <c r="X23" s="481"/>
      <c r="Y23" s="482"/>
      <c r="Z23" s="483"/>
      <c r="AA23" s="481"/>
      <c r="AB23" s="482"/>
      <c r="AC23" s="483"/>
      <c r="AD23" s="481"/>
      <c r="AE23" s="482"/>
      <c r="AF23" s="483"/>
    </row>
    <row r="24" spans="1:33" ht="37.5" customHeight="1" x14ac:dyDescent="0.25">
      <c r="A24" s="510" t="s">
        <v>2</v>
      </c>
      <c r="B24" s="510"/>
      <c r="C24" s="466">
        <v>6566793408</v>
      </c>
      <c r="D24" s="467"/>
      <c r="E24" s="468"/>
      <c r="F24" s="466">
        <v>2471301998</v>
      </c>
      <c r="G24" s="467"/>
      <c r="H24" s="468"/>
      <c r="I24" s="551">
        <v>0</v>
      </c>
      <c r="J24" s="467"/>
      <c r="K24" s="468"/>
      <c r="L24" s="466">
        <v>0</v>
      </c>
      <c r="M24" s="467"/>
      <c r="N24" s="468"/>
      <c r="O24" s="466">
        <v>0</v>
      </c>
      <c r="P24" s="467"/>
      <c r="Q24" s="468"/>
      <c r="R24" s="466">
        <v>5982175958</v>
      </c>
      <c r="S24" s="467"/>
      <c r="T24" s="468"/>
      <c r="U24" s="466">
        <v>4936435086</v>
      </c>
      <c r="V24" s="467"/>
      <c r="W24" s="468"/>
      <c r="X24" s="466">
        <v>0</v>
      </c>
      <c r="Y24" s="467"/>
      <c r="Z24" s="468"/>
      <c r="AA24" s="466"/>
      <c r="AB24" s="467"/>
      <c r="AC24" s="468"/>
      <c r="AD24" s="466">
        <v>0</v>
      </c>
      <c r="AE24" s="467"/>
      <c r="AF24" s="468"/>
    </row>
    <row r="25" spans="1:33" ht="37.5" customHeight="1" x14ac:dyDescent="0.25">
      <c r="A25" s="510" t="s">
        <v>493</v>
      </c>
      <c r="B25" s="510"/>
      <c r="C25" s="469">
        <v>6566793408</v>
      </c>
      <c r="D25" s="470"/>
      <c r="E25" s="471"/>
      <c r="F25" s="469">
        <f t="shared" ref="F25" si="0">F24*H17</f>
        <v>1235650999</v>
      </c>
      <c r="G25" s="470"/>
      <c r="H25" s="471"/>
      <c r="I25" s="552">
        <f t="shared" ref="I25" si="1">I24*K17</f>
        <v>0</v>
      </c>
      <c r="J25" s="470"/>
      <c r="K25" s="471"/>
      <c r="L25" s="469">
        <f t="shared" ref="L25" si="2">L24*N17</f>
        <v>0</v>
      </c>
      <c r="M25" s="470"/>
      <c r="N25" s="471"/>
      <c r="O25" s="469">
        <f t="shared" ref="O25" si="3">O24*Q17</f>
        <v>0</v>
      </c>
      <c r="P25" s="470"/>
      <c r="Q25" s="471"/>
      <c r="R25" s="484">
        <v>5982175958</v>
      </c>
      <c r="S25" s="485"/>
      <c r="T25" s="486"/>
      <c r="U25" s="484">
        <f t="shared" ref="U25" si="4">U24*W17</f>
        <v>2961861051.5999999</v>
      </c>
      <c r="V25" s="485"/>
      <c r="W25" s="486"/>
      <c r="X25" s="484">
        <f t="shared" ref="X25" si="5">X24*Z17</f>
        <v>0</v>
      </c>
      <c r="Y25" s="485"/>
      <c r="Z25" s="486"/>
      <c r="AA25" s="484">
        <f t="shared" ref="AA25" si="6">AA24*AC17</f>
        <v>0</v>
      </c>
      <c r="AB25" s="485"/>
      <c r="AC25" s="486"/>
      <c r="AD25" s="484">
        <f t="shared" ref="AD25" si="7">AD24*AF17</f>
        <v>0</v>
      </c>
      <c r="AE25" s="485"/>
      <c r="AF25" s="486"/>
      <c r="AG25" s="245"/>
    </row>
    <row r="26" spans="1:33" ht="37.5" customHeight="1" x14ac:dyDescent="0.25">
      <c r="A26" s="455" t="s">
        <v>612</v>
      </c>
      <c r="B26" s="455"/>
      <c r="C26" s="316" t="s">
        <v>533</v>
      </c>
      <c r="D26" s="487">
        <v>689455</v>
      </c>
      <c r="E26" s="488"/>
      <c r="F26" s="316" t="s">
        <v>534</v>
      </c>
      <c r="G26" s="487">
        <v>737717</v>
      </c>
      <c r="H26" s="488"/>
      <c r="I26" s="317"/>
      <c r="J26" s="487">
        <v>0</v>
      </c>
      <c r="K26" s="488"/>
      <c r="L26" s="316"/>
      <c r="M26" s="487">
        <v>0</v>
      </c>
      <c r="N26" s="488"/>
      <c r="O26" s="316"/>
      <c r="P26" s="487">
        <v>0</v>
      </c>
      <c r="Q26" s="488"/>
      <c r="R26" s="316" t="s">
        <v>533</v>
      </c>
      <c r="S26" s="487">
        <v>689455</v>
      </c>
      <c r="T26" s="488"/>
      <c r="U26" s="316" t="s">
        <v>533</v>
      </c>
      <c r="V26" s="487">
        <v>689455</v>
      </c>
      <c r="W26" s="488"/>
      <c r="X26" s="316"/>
      <c r="Y26" s="487">
        <v>0</v>
      </c>
      <c r="Z26" s="488"/>
      <c r="AA26" s="316"/>
      <c r="AB26" s="487">
        <v>0</v>
      </c>
      <c r="AC26" s="488"/>
      <c r="AD26" s="316"/>
      <c r="AE26" s="487">
        <v>0</v>
      </c>
      <c r="AF26" s="488"/>
    </row>
    <row r="27" spans="1:33" ht="37.5" customHeight="1" thickBot="1" x14ac:dyDescent="0.3">
      <c r="A27" s="455" t="s">
        <v>495</v>
      </c>
      <c r="B27" s="455"/>
      <c r="C27" s="529">
        <f>+C25/D26</f>
        <v>9524.6149610924567</v>
      </c>
      <c r="D27" s="527"/>
      <c r="E27" s="528"/>
      <c r="F27" s="529">
        <f t="shared" ref="F27" si="8">+F25/G26</f>
        <v>1674.9661441989272</v>
      </c>
      <c r="G27" s="527"/>
      <c r="H27" s="528"/>
      <c r="I27" s="526"/>
      <c r="J27" s="527"/>
      <c r="K27" s="528"/>
      <c r="L27" s="529"/>
      <c r="M27" s="527"/>
      <c r="N27" s="528"/>
      <c r="O27" s="529"/>
      <c r="P27" s="527"/>
      <c r="Q27" s="528"/>
      <c r="R27" s="439">
        <f t="shared" ref="R27" si="9">+R25/S26</f>
        <v>8676.673543596029</v>
      </c>
      <c r="S27" s="440"/>
      <c r="T27" s="441"/>
      <c r="U27" s="439">
        <f>+U25/V26</f>
        <v>4295.9454229790199</v>
      </c>
      <c r="V27" s="440"/>
      <c r="W27" s="441"/>
      <c r="X27" s="439"/>
      <c r="Y27" s="440"/>
      <c r="Z27" s="441"/>
      <c r="AA27" s="439"/>
      <c r="AB27" s="440"/>
      <c r="AC27" s="441"/>
      <c r="AD27" s="439"/>
      <c r="AE27" s="440"/>
      <c r="AF27" s="441"/>
    </row>
    <row r="28" spans="1:33" s="197" customFormat="1" ht="306.75" customHeight="1" thickBot="1" x14ac:dyDescent="0.3">
      <c r="A28" s="517" t="s">
        <v>496</v>
      </c>
      <c r="B28" s="518"/>
      <c r="C28" s="489" t="s">
        <v>688</v>
      </c>
      <c r="D28" s="490"/>
      <c r="E28" s="491"/>
      <c r="F28" s="489" t="s">
        <v>687</v>
      </c>
      <c r="G28" s="490"/>
      <c r="H28" s="491"/>
      <c r="I28" s="489"/>
      <c r="J28" s="490"/>
      <c r="K28" s="491"/>
      <c r="L28" s="530"/>
      <c r="M28" s="490"/>
      <c r="N28" s="531"/>
      <c r="O28" s="489"/>
      <c r="P28" s="490"/>
      <c r="Q28" s="491"/>
      <c r="R28" s="530" t="s">
        <v>688</v>
      </c>
      <c r="S28" s="490"/>
      <c r="T28" s="531"/>
      <c r="U28" s="489" t="s">
        <v>700</v>
      </c>
      <c r="V28" s="490"/>
      <c r="W28" s="491"/>
      <c r="X28" s="489"/>
      <c r="Y28" s="490"/>
      <c r="Z28" s="491"/>
      <c r="AA28" s="530"/>
      <c r="AB28" s="490"/>
      <c r="AC28" s="531"/>
      <c r="AD28" s="489"/>
      <c r="AE28" s="490"/>
      <c r="AF28" s="491"/>
      <c r="AG28" s="190"/>
    </row>
    <row r="29" spans="1:33" ht="26.25" customHeight="1" x14ac:dyDescent="0.25">
      <c r="A29" s="452" t="s">
        <v>634</v>
      </c>
      <c r="B29" s="453"/>
      <c r="C29" s="407">
        <v>80101504</v>
      </c>
      <c r="D29" s="408"/>
      <c r="E29" s="409"/>
      <c r="F29" s="407">
        <v>80101504</v>
      </c>
      <c r="G29" s="408"/>
      <c r="H29" s="409"/>
      <c r="I29" s="298"/>
      <c r="J29" s="298"/>
      <c r="K29" s="299"/>
      <c r="L29" s="297"/>
      <c r="M29" s="298"/>
      <c r="N29" s="299"/>
      <c r="O29" s="297"/>
      <c r="P29" s="298"/>
      <c r="Q29" s="299"/>
      <c r="R29" s="407">
        <v>80101504</v>
      </c>
      <c r="S29" s="408"/>
      <c r="T29" s="409"/>
      <c r="U29" s="407">
        <v>80101504</v>
      </c>
      <c r="V29" s="408"/>
      <c r="W29" s="409"/>
      <c r="X29" s="297"/>
      <c r="Y29" s="298"/>
      <c r="Z29" s="299"/>
      <c r="AA29" s="297"/>
      <c r="AB29" s="298"/>
      <c r="AC29" s="299"/>
      <c r="AD29" s="297"/>
      <c r="AE29" s="298"/>
      <c r="AF29" s="299"/>
    </row>
    <row r="30" spans="1:33" ht="18.75" x14ac:dyDescent="0.25">
      <c r="A30" s="454"/>
      <c r="B30" s="455"/>
      <c r="C30" s="430">
        <v>84111603</v>
      </c>
      <c r="D30" s="431"/>
      <c r="E30" s="432"/>
      <c r="F30" s="430">
        <v>84111603</v>
      </c>
      <c r="G30" s="431"/>
      <c r="H30" s="432"/>
      <c r="I30" s="431"/>
      <c r="J30" s="431"/>
      <c r="K30" s="432"/>
      <c r="L30" s="430"/>
      <c r="M30" s="431"/>
      <c r="N30" s="432"/>
      <c r="O30" s="430"/>
      <c r="P30" s="431"/>
      <c r="Q30" s="432"/>
      <c r="R30" s="430">
        <v>84111603</v>
      </c>
      <c r="S30" s="431"/>
      <c r="T30" s="432"/>
      <c r="U30" s="430">
        <v>84111603</v>
      </c>
      <c r="V30" s="431"/>
      <c r="W30" s="432"/>
      <c r="X30" s="430"/>
      <c r="Y30" s="431"/>
      <c r="Z30" s="432"/>
      <c r="AA30" s="430"/>
      <c r="AB30" s="431"/>
      <c r="AC30" s="432"/>
      <c r="AD30" s="430"/>
      <c r="AE30" s="431"/>
      <c r="AF30" s="432"/>
    </row>
    <row r="31" spans="1:33" ht="22.5" customHeight="1" thickBot="1" x14ac:dyDescent="0.3">
      <c r="A31" s="456"/>
      <c r="B31" s="457"/>
      <c r="C31" s="433">
        <v>93151607</v>
      </c>
      <c r="D31" s="434"/>
      <c r="E31" s="435"/>
      <c r="F31" s="433">
        <v>93151607</v>
      </c>
      <c r="G31" s="434"/>
      <c r="H31" s="435"/>
      <c r="I31" s="434"/>
      <c r="J31" s="434"/>
      <c r="K31" s="435"/>
      <c r="L31" s="433"/>
      <c r="M31" s="434"/>
      <c r="N31" s="435"/>
      <c r="O31" s="433"/>
      <c r="P31" s="434"/>
      <c r="Q31" s="435"/>
      <c r="R31" s="433">
        <v>93151607</v>
      </c>
      <c r="S31" s="434"/>
      <c r="T31" s="435"/>
      <c r="U31" s="433">
        <v>93151607</v>
      </c>
      <c r="V31" s="434"/>
      <c r="W31" s="435"/>
      <c r="X31" s="433"/>
      <c r="Y31" s="434"/>
      <c r="Z31" s="435"/>
      <c r="AA31" s="433"/>
      <c r="AB31" s="434"/>
      <c r="AC31" s="435"/>
      <c r="AD31" s="433"/>
      <c r="AE31" s="434"/>
      <c r="AF31" s="435"/>
    </row>
    <row r="32" spans="1:33" ht="19.5" thickBot="1" x14ac:dyDescent="0.3">
      <c r="A32" s="517" t="s">
        <v>603</v>
      </c>
      <c r="B32" s="518"/>
      <c r="C32" s="537">
        <v>828116</v>
      </c>
      <c r="D32" s="442"/>
      <c r="E32" s="443"/>
      <c r="F32" s="537">
        <v>828116</v>
      </c>
      <c r="G32" s="442"/>
      <c r="H32" s="443"/>
      <c r="I32" s="522">
        <v>828116</v>
      </c>
      <c r="J32" s="442"/>
      <c r="K32" s="442"/>
      <c r="L32" s="442">
        <v>818116</v>
      </c>
      <c r="M32" s="442"/>
      <c r="N32" s="442"/>
      <c r="O32" s="442">
        <v>818116</v>
      </c>
      <c r="P32" s="442"/>
      <c r="Q32" s="442"/>
      <c r="R32" s="442">
        <v>828116</v>
      </c>
      <c r="S32" s="442"/>
      <c r="T32" s="442"/>
      <c r="U32" s="442">
        <v>828116</v>
      </c>
      <c r="V32" s="442"/>
      <c r="W32" s="442"/>
      <c r="X32" s="442">
        <v>828116</v>
      </c>
      <c r="Y32" s="442"/>
      <c r="Z32" s="442"/>
      <c r="AA32" s="442">
        <v>828116</v>
      </c>
      <c r="AB32" s="442"/>
      <c r="AC32" s="442"/>
      <c r="AD32" s="442">
        <v>828116</v>
      </c>
      <c r="AE32" s="442"/>
      <c r="AF32" s="443"/>
    </row>
    <row r="33" spans="1:32" ht="19.5" thickBot="1" x14ac:dyDescent="0.3">
      <c r="A33" s="517" t="s">
        <v>604</v>
      </c>
      <c r="B33" s="518"/>
      <c r="C33" s="523">
        <f>+C32*C27</f>
        <v>7887486043.1200409</v>
      </c>
      <c r="D33" s="524"/>
      <c r="E33" s="525"/>
      <c r="F33" s="523">
        <f>+F32*F27</f>
        <v>1387066263.4694388</v>
      </c>
      <c r="G33" s="524"/>
      <c r="H33" s="525"/>
      <c r="I33" s="523">
        <f>+I32*I27</f>
        <v>0</v>
      </c>
      <c r="J33" s="524"/>
      <c r="K33" s="525"/>
      <c r="L33" s="524">
        <f>+L32*L27</f>
        <v>0</v>
      </c>
      <c r="M33" s="524"/>
      <c r="N33" s="524"/>
      <c r="O33" s="524">
        <f>+O32*O27</f>
        <v>0</v>
      </c>
      <c r="P33" s="524"/>
      <c r="Q33" s="524"/>
      <c r="R33" s="444">
        <f>+R32*R27</f>
        <v>7185292188.228569</v>
      </c>
      <c r="S33" s="444"/>
      <c r="T33" s="444"/>
      <c r="U33" s="444">
        <f>+U32*U27</f>
        <v>3557541139.8956943</v>
      </c>
      <c r="V33" s="444"/>
      <c r="W33" s="444"/>
      <c r="X33" s="549">
        <f>+X32*X27</f>
        <v>0</v>
      </c>
      <c r="Y33" s="444"/>
      <c r="Z33" s="444"/>
      <c r="AA33" s="444">
        <f>+AA32*AA27</f>
        <v>0</v>
      </c>
      <c r="AB33" s="444"/>
      <c r="AC33" s="444"/>
      <c r="AD33" s="444">
        <f>+AD32*AD27</f>
        <v>0</v>
      </c>
      <c r="AE33" s="444"/>
      <c r="AF33" s="445"/>
    </row>
    <row r="34" spans="1:32" ht="19.5" thickBot="1" x14ac:dyDescent="0.3">
      <c r="A34" s="517" t="s">
        <v>492</v>
      </c>
      <c r="B34" s="518"/>
      <c r="C34" s="519" t="s">
        <v>674</v>
      </c>
      <c r="D34" s="446"/>
      <c r="E34" s="447"/>
      <c r="F34" s="519" t="s">
        <v>684</v>
      </c>
      <c r="G34" s="446"/>
      <c r="H34" s="447"/>
      <c r="I34" s="521"/>
      <c r="J34" s="446"/>
      <c r="K34" s="498"/>
      <c r="L34" s="446"/>
      <c r="M34" s="446"/>
      <c r="N34" s="498"/>
      <c r="O34" s="446"/>
      <c r="P34" s="446"/>
      <c r="Q34" s="498"/>
      <c r="R34" s="446" t="s">
        <v>674</v>
      </c>
      <c r="S34" s="446"/>
      <c r="T34" s="498"/>
      <c r="U34" s="446" t="s">
        <v>699</v>
      </c>
      <c r="V34" s="446"/>
      <c r="W34" s="498"/>
      <c r="X34" s="446"/>
      <c r="Y34" s="446"/>
      <c r="Z34" s="498"/>
      <c r="AA34" s="446"/>
      <c r="AB34" s="446"/>
      <c r="AC34" s="498"/>
      <c r="AD34" s="446"/>
      <c r="AE34" s="446"/>
      <c r="AF34" s="447"/>
    </row>
    <row r="35" spans="1:32" ht="19.5" thickBot="1" x14ac:dyDescent="0.3">
      <c r="A35" s="517" t="s">
        <v>497</v>
      </c>
      <c r="B35" s="518"/>
      <c r="C35" s="519" t="s">
        <v>676</v>
      </c>
      <c r="D35" s="446"/>
      <c r="E35" s="447"/>
      <c r="F35" s="519" t="s">
        <v>685</v>
      </c>
      <c r="G35" s="446"/>
      <c r="H35" s="447"/>
      <c r="I35" s="521"/>
      <c r="J35" s="446"/>
      <c r="K35" s="498"/>
      <c r="L35" s="446"/>
      <c r="M35" s="446"/>
      <c r="N35" s="498"/>
      <c r="O35" s="446"/>
      <c r="P35" s="446"/>
      <c r="Q35" s="498"/>
      <c r="R35" s="446" t="s">
        <v>676</v>
      </c>
      <c r="S35" s="446"/>
      <c r="T35" s="498"/>
      <c r="U35" s="446" t="s">
        <v>701</v>
      </c>
      <c r="V35" s="446"/>
      <c r="W35" s="498"/>
      <c r="X35" s="446"/>
      <c r="Y35" s="446"/>
      <c r="Z35" s="498"/>
      <c r="AA35" s="446"/>
      <c r="AB35" s="446"/>
      <c r="AC35" s="498"/>
      <c r="AD35" s="446"/>
      <c r="AE35" s="446"/>
      <c r="AF35" s="447"/>
    </row>
    <row r="36" spans="1:32" ht="19.5" thickBot="1" x14ac:dyDescent="0.3">
      <c r="A36" s="517" t="s">
        <v>11</v>
      </c>
      <c r="B36" s="518"/>
      <c r="C36" s="519" t="s">
        <v>677</v>
      </c>
      <c r="D36" s="446"/>
      <c r="E36" s="447"/>
      <c r="F36" s="519" t="s">
        <v>686</v>
      </c>
      <c r="G36" s="446"/>
      <c r="H36" s="447"/>
      <c r="I36" s="521"/>
      <c r="J36" s="446"/>
      <c r="K36" s="498"/>
      <c r="L36" s="446"/>
      <c r="M36" s="446"/>
      <c r="N36" s="498"/>
      <c r="O36" s="505"/>
      <c r="P36" s="505"/>
      <c r="Q36" s="506"/>
      <c r="R36" s="446" t="s">
        <v>693</v>
      </c>
      <c r="S36" s="446"/>
      <c r="T36" s="498"/>
      <c r="U36" s="446" t="s">
        <v>703</v>
      </c>
      <c r="V36" s="446"/>
      <c r="W36" s="498"/>
      <c r="X36" s="446"/>
      <c r="Y36" s="446"/>
      <c r="Z36" s="498"/>
      <c r="AA36" s="446"/>
      <c r="AB36" s="446"/>
      <c r="AC36" s="498"/>
      <c r="AD36" s="446"/>
      <c r="AE36" s="446"/>
      <c r="AF36" s="447"/>
    </row>
    <row r="37" spans="1:32" ht="19.5" thickBot="1" x14ac:dyDescent="0.3">
      <c r="A37" s="517" t="s">
        <v>489</v>
      </c>
      <c r="B37" s="518"/>
      <c r="C37" s="532" t="s">
        <v>679</v>
      </c>
      <c r="D37" s="533"/>
      <c r="E37" s="534"/>
      <c r="F37" s="499" t="s">
        <v>689</v>
      </c>
      <c r="G37" s="472"/>
      <c r="H37" s="473"/>
      <c r="I37" s="500"/>
      <c r="J37" s="472"/>
      <c r="K37" s="472"/>
      <c r="L37" s="472"/>
      <c r="M37" s="472"/>
      <c r="N37" s="472"/>
      <c r="O37" s="472"/>
      <c r="P37" s="472"/>
      <c r="Q37" s="472"/>
      <c r="R37" s="472" t="s">
        <v>692</v>
      </c>
      <c r="S37" s="472"/>
      <c r="T37" s="472"/>
      <c r="U37" s="472" t="s">
        <v>702</v>
      </c>
      <c r="V37" s="472"/>
      <c r="W37" s="472"/>
      <c r="X37" s="472"/>
      <c r="Y37" s="472"/>
      <c r="Z37" s="472"/>
      <c r="AA37" s="472"/>
      <c r="AB37" s="472"/>
      <c r="AC37" s="472"/>
      <c r="AD37" s="472"/>
      <c r="AE37" s="472"/>
      <c r="AF37" s="473"/>
    </row>
    <row r="38" spans="1:32" ht="106.5" customHeight="1" thickBot="1" x14ac:dyDescent="0.3">
      <c r="A38" s="501" t="s">
        <v>541</v>
      </c>
      <c r="B38" s="502"/>
      <c r="C38" s="520" t="s">
        <v>678</v>
      </c>
      <c r="D38" s="474"/>
      <c r="E38" s="475"/>
      <c r="F38" s="520" t="s">
        <v>690</v>
      </c>
      <c r="G38" s="474"/>
      <c r="H38" s="475"/>
      <c r="I38" s="535"/>
      <c r="J38" s="474"/>
      <c r="K38" s="474"/>
      <c r="L38" s="474"/>
      <c r="M38" s="474"/>
      <c r="N38" s="474"/>
      <c r="O38" s="472"/>
      <c r="P38" s="472"/>
      <c r="Q38" s="472"/>
      <c r="R38" s="474" t="s">
        <v>694</v>
      </c>
      <c r="S38" s="474"/>
      <c r="T38" s="474"/>
      <c r="U38" s="474" t="s">
        <v>704</v>
      </c>
      <c r="V38" s="474"/>
      <c r="W38" s="474"/>
      <c r="X38" s="474"/>
      <c r="Y38" s="474"/>
      <c r="Z38" s="474"/>
      <c r="AA38" s="474"/>
      <c r="AB38" s="474"/>
      <c r="AC38" s="474"/>
      <c r="AD38" s="474"/>
      <c r="AE38" s="474"/>
      <c r="AF38" s="475"/>
    </row>
    <row r="39" spans="1:32" ht="19.5" thickBot="1" x14ac:dyDescent="0.3">
      <c r="A39" s="501" t="s">
        <v>4</v>
      </c>
      <c r="B39" s="502"/>
      <c r="C39" s="520" t="s">
        <v>593</v>
      </c>
      <c r="D39" s="474"/>
      <c r="E39" s="475"/>
      <c r="F39" s="520" t="s">
        <v>593</v>
      </c>
      <c r="G39" s="474"/>
      <c r="H39" s="475"/>
      <c r="I39" s="535"/>
      <c r="J39" s="474"/>
      <c r="K39" s="474"/>
      <c r="L39" s="474"/>
      <c r="M39" s="474"/>
      <c r="N39" s="474"/>
      <c r="O39" s="474"/>
      <c r="P39" s="474"/>
      <c r="Q39" s="474"/>
      <c r="R39" s="474" t="s">
        <v>593</v>
      </c>
      <c r="S39" s="474"/>
      <c r="T39" s="474"/>
      <c r="U39" s="474" t="s">
        <v>593</v>
      </c>
      <c r="V39" s="474"/>
      <c r="W39" s="474"/>
      <c r="X39" s="474"/>
      <c r="Y39" s="474"/>
      <c r="Z39" s="474"/>
      <c r="AA39" s="474"/>
      <c r="AB39" s="474"/>
      <c r="AC39" s="474"/>
      <c r="AD39" s="474"/>
      <c r="AE39" s="474"/>
      <c r="AF39" s="475"/>
    </row>
    <row r="40" spans="1:32" ht="70.5" customHeight="1" thickBot="1" x14ac:dyDescent="0.3">
      <c r="A40" s="501" t="s">
        <v>547</v>
      </c>
      <c r="B40" s="502"/>
      <c r="C40" s="520"/>
      <c r="D40" s="474"/>
      <c r="E40" s="475"/>
      <c r="F40" s="520"/>
      <c r="G40" s="474"/>
      <c r="H40" s="475"/>
      <c r="I40" s="536"/>
      <c r="J40" s="492"/>
      <c r="K40" s="492"/>
      <c r="L40" s="492"/>
      <c r="M40" s="492"/>
      <c r="N40" s="492"/>
      <c r="O40" s="492"/>
      <c r="P40" s="492"/>
      <c r="Q40" s="492"/>
      <c r="R40" s="492"/>
      <c r="S40" s="492"/>
      <c r="T40" s="492"/>
      <c r="U40" s="492"/>
      <c r="V40" s="492"/>
      <c r="W40" s="492"/>
      <c r="X40" s="492"/>
      <c r="Y40" s="492"/>
      <c r="Z40" s="492"/>
      <c r="AA40" s="492"/>
      <c r="AB40" s="492"/>
      <c r="AC40" s="492"/>
      <c r="AD40" s="492"/>
      <c r="AE40" s="492"/>
      <c r="AF40" s="493"/>
    </row>
    <row r="41" spans="1:32" ht="24" customHeight="1" thickBot="1" x14ac:dyDescent="0.3">
      <c r="A41" s="503" t="s">
        <v>491</v>
      </c>
      <c r="B41" s="504"/>
      <c r="C41" s="436" t="s">
        <v>538</v>
      </c>
      <c r="D41" s="437"/>
      <c r="E41" s="438"/>
      <c r="F41" s="436" t="s">
        <v>538</v>
      </c>
      <c r="G41" s="437"/>
      <c r="H41" s="438"/>
      <c r="I41" s="437"/>
      <c r="J41" s="437"/>
      <c r="K41" s="438"/>
      <c r="L41" s="436"/>
      <c r="M41" s="437"/>
      <c r="N41" s="438"/>
      <c r="O41" s="436"/>
      <c r="P41" s="437"/>
      <c r="Q41" s="438"/>
      <c r="R41" s="436" t="s">
        <v>538</v>
      </c>
      <c r="S41" s="437"/>
      <c r="T41" s="438"/>
      <c r="U41" s="436" t="s">
        <v>538</v>
      </c>
      <c r="V41" s="437"/>
      <c r="W41" s="438"/>
      <c r="X41" s="436"/>
      <c r="Y41" s="437"/>
      <c r="Z41" s="438"/>
      <c r="AA41" s="436"/>
      <c r="AB41" s="437"/>
      <c r="AC41" s="438"/>
      <c r="AD41" s="436"/>
      <c r="AE41" s="437"/>
      <c r="AF41" s="438"/>
    </row>
    <row r="42" spans="1:32" x14ac:dyDescent="0.25">
      <c r="A42" s="233"/>
      <c r="B42" s="233"/>
    </row>
    <row r="43" spans="1:32" ht="12.75" thickBot="1" x14ac:dyDescent="0.3">
      <c r="A43" s="233"/>
      <c r="B43" s="233"/>
      <c r="F43" s="155"/>
      <c r="G43" s="155"/>
      <c r="H43" s="156"/>
      <c r="I43" s="156"/>
      <c r="J43" s="156"/>
      <c r="K43" s="156"/>
      <c r="L43" s="155"/>
      <c r="M43" s="155"/>
      <c r="N43" s="156"/>
      <c r="O43" s="156"/>
      <c r="P43" s="156"/>
      <c r="Q43" s="156"/>
      <c r="R43" s="156"/>
      <c r="S43" s="156"/>
      <c r="T43" s="156"/>
      <c r="U43" s="156"/>
      <c r="V43" s="156"/>
      <c r="W43" s="156"/>
      <c r="X43" s="156"/>
      <c r="Y43" s="156"/>
      <c r="Z43" s="156"/>
      <c r="AA43" s="156"/>
      <c r="AB43" s="156"/>
      <c r="AC43" s="156"/>
    </row>
    <row r="44" spans="1:32" ht="28.5" customHeight="1" thickBot="1" x14ac:dyDescent="0.3">
      <c r="A44" s="512" t="s">
        <v>549</v>
      </c>
      <c r="B44" s="513"/>
      <c r="C44" s="207" t="str">
        <f>+IF(SUM($C$33:$N$33)&gt;X!$M$2,"HABILITADO","NO HABILITADO")</f>
        <v>HABILITADO</v>
      </c>
      <c r="D44" s="234" t="s">
        <v>640</v>
      </c>
      <c r="E44" s="198"/>
      <c r="F44" s="198"/>
      <c r="G44" s="198"/>
      <c r="H44" s="198"/>
      <c r="I44" s="198"/>
      <c r="J44" s="198"/>
      <c r="K44" s="198"/>
      <c r="L44" s="198"/>
      <c r="M44" s="199"/>
      <c r="N44" s="157"/>
      <c r="O44" s="157"/>
      <c r="P44" s="157"/>
      <c r="Q44" s="157"/>
      <c r="R44" s="157"/>
      <c r="S44" s="157"/>
      <c r="T44" s="157"/>
      <c r="U44" s="157"/>
      <c r="V44" s="157"/>
      <c r="W44" s="157"/>
      <c r="X44" s="157"/>
      <c r="Y44" s="157"/>
      <c r="Z44" s="157"/>
      <c r="AA44" s="157"/>
      <c r="AB44" s="157"/>
      <c r="AC44" s="157"/>
    </row>
    <row r="45" spans="1:32" ht="15.75" customHeight="1" thickBot="1" x14ac:dyDescent="0.3">
      <c r="A45" s="512" t="s">
        <v>638</v>
      </c>
      <c r="B45" s="513"/>
      <c r="C45" s="207" t="str">
        <f>+IF(SUM($R$33:$AF$33)&gt;(X!$M$2*0.3),"HABILITADO","NO HABILITADO")</f>
        <v>HABILITADO</v>
      </c>
      <c r="D45" s="208">
        <f>SUM(R33:AF33)</f>
        <v>10742833328.124264</v>
      </c>
      <c r="E45" s="198"/>
      <c r="F45" s="198"/>
      <c r="G45" s="198"/>
      <c r="H45" s="198"/>
      <c r="I45" s="198"/>
      <c r="J45" s="198"/>
      <c r="K45" s="198"/>
      <c r="L45" s="198"/>
      <c r="M45" s="199"/>
      <c r="N45" s="157"/>
      <c r="O45" s="157"/>
      <c r="P45" s="157"/>
      <c r="Q45" s="157"/>
      <c r="R45" s="157"/>
      <c r="S45" s="157"/>
      <c r="T45" s="157"/>
      <c r="U45" s="157"/>
      <c r="V45" s="157"/>
      <c r="W45" s="157"/>
      <c r="X45" s="157"/>
      <c r="Y45" s="157"/>
      <c r="Z45" s="157"/>
      <c r="AA45" s="157"/>
      <c r="AB45" s="157"/>
      <c r="AC45" s="157"/>
    </row>
    <row r="46" spans="1:32" ht="15.75" customHeight="1" thickBot="1" x14ac:dyDescent="0.3">
      <c r="A46" s="200"/>
      <c r="B46" s="200"/>
      <c r="C46" s="201"/>
      <c r="D46" s="198"/>
      <c r="E46" s="198"/>
      <c r="F46" s="198"/>
      <c r="G46" s="198"/>
      <c r="H46" s="198"/>
      <c r="I46" s="198"/>
      <c r="J46" s="198"/>
      <c r="K46" s="198"/>
      <c r="L46" s="198"/>
      <c r="M46" s="199"/>
      <c r="N46" s="157"/>
      <c r="O46" s="157"/>
      <c r="P46" s="157"/>
      <c r="Q46" s="157"/>
      <c r="R46" s="157"/>
      <c r="S46" s="157"/>
      <c r="T46" s="157"/>
      <c r="U46" s="157"/>
      <c r="V46" s="157"/>
      <c r="W46" s="157"/>
      <c r="X46" s="157"/>
      <c r="Y46" s="157"/>
      <c r="Z46" s="157"/>
      <c r="AA46" s="157"/>
      <c r="AB46" s="157"/>
      <c r="AC46" s="157"/>
    </row>
    <row r="47" spans="1:32" ht="15.75" customHeight="1" thickBot="1" x14ac:dyDescent="0.3">
      <c r="A47" s="554" t="s">
        <v>573</v>
      </c>
      <c r="B47" s="555"/>
      <c r="C47" s="556"/>
      <c r="D47" s="198"/>
      <c r="E47" s="198"/>
      <c r="F47" s="198"/>
      <c r="G47" s="198"/>
      <c r="H47" s="198"/>
      <c r="I47" s="198"/>
      <c r="J47" s="198"/>
      <c r="K47" s="198"/>
      <c r="L47" s="198"/>
      <c r="M47" s="199"/>
      <c r="N47" s="157"/>
      <c r="O47" s="157"/>
      <c r="P47" s="157"/>
      <c r="Q47" s="157"/>
      <c r="R47" s="157"/>
      <c r="S47" s="157"/>
      <c r="T47" s="157"/>
      <c r="U47" s="157"/>
      <c r="V47" s="157"/>
      <c r="W47" s="157"/>
      <c r="X47" s="157"/>
      <c r="Y47" s="157"/>
      <c r="Z47" s="157"/>
      <c r="AA47" s="157"/>
      <c r="AB47" s="157"/>
      <c r="AC47" s="157"/>
    </row>
    <row r="48" spans="1:32" ht="134.25" customHeight="1" x14ac:dyDescent="0.25">
      <c r="A48" s="553" t="s">
        <v>653</v>
      </c>
      <c r="B48" s="553"/>
      <c r="C48" s="553"/>
      <c r="D48" s="198"/>
      <c r="E48" s="198"/>
      <c r="F48" s="198"/>
      <c r="G48" s="198"/>
      <c r="H48" s="198"/>
      <c r="I48" s="198"/>
      <c r="J48" s="198"/>
      <c r="K48" s="198"/>
      <c r="L48" s="198"/>
      <c r="M48" s="199"/>
      <c r="N48" s="157"/>
      <c r="O48" s="157"/>
      <c r="P48" s="157"/>
      <c r="Q48" s="157"/>
      <c r="R48" s="157"/>
      <c r="S48" s="157"/>
      <c r="T48" s="157"/>
      <c r="U48" s="157"/>
      <c r="V48" s="157"/>
      <c r="W48" s="157"/>
      <c r="X48" s="157"/>
      <c r="Y48" s="157"/>
      <c r="Z48" s="157"/>
      <c r="AA48" s="157"/>
      <c r="AB48" s="157"/>
      <c r="AC48" s="157"/>
    </row>
    <row r="49" spans="1:29" ht="16.5" thickBot="1" x14ac:dyDescent="0.3">
      <c r="A49" s="202"/>
      <c r="B49" s="203"/>
      <c r="C49" s="198"/>
      <c r="D49" s="198"/>
      <c r="E49" s="198"/>
      <c r="F49" s="198"/>
      <c r="G49" s="198"/>
      <c r="H49" s="198"/>
      <c r="I49" s="198"/>
      <c r="J49" s="198"/>
      <c r="K49" s="198"/>
      <c r="L49" s="198"/>
      <c r="M49" s="199"/>
      <c r="N49" s="157"/>
      <c r="O49" s="157"/>
      <c r="P49" s="157"/>
      <c r="Q49" s="157"/>
      <c r="R49" s="157"/>
      <c r="S49" s="157"/>
      <c r="T49" s="157"/>
      <c r="U49" s="157"/>
      <c r="V49" s="157"/>
      <c r="W49" s="157"/>
      <c r="X49" s="157"/>
      <c r="Y49" s="157"/>
      <c r="Z49" s="157"/>
      <c r="AA49" s="157"/>
      <c r="AB49" s="157"/>
      <c r="AC49" s="157"/>
    </row>
    <row r="50" spans="1:29" ht="18.75" x14ac:dyDescent="0.25">
      <c r="A50" s="514" t="s">
        <v>573</v>
      </c>
      <c r="B50" s="515"/>
      <c r="C50" s="516"/>
      <c r="D50" s="198"/>
      <c r="E50" s="198"/>
      <c r="F50" s="198"/>
      <c r="G50" s="198"/>
      <c r="H50" s="198"/>
      <c r="I50" s="198"/>
      <c r="J50" s="198"/>
      <c r="K50" s="198"/>
      <c r="L50" s="198"/>
      <c r="M50" s="199"/>
      <c r="N50" s="157"/>
      <c r="O50" s="157"/>
      <c r="P50" s="157"/>
      <c r="Q50" s="157"/>
      <c r="R50" s="157"/>
      <c r="S50" s="157"/>
      <c r="T50" s="157"/>
      <c r="U50" s="157"/>
      <c r="V50" s="157"/>
      <c r="W50" s="157"/>
      <c r="X50" s="157"/>
      <c r="Y50" s="157"/>
      <c r="Z50" s="157"/>
      <c r="AA50" s="157"/>
      <c r="AB50" s="157"/>
      <c r="AC50" s="157"/>
    </row>
    <row r="51" spans="1:29" ht="15.75" x14ac:dyDescent="0.25">
      <c r="A51" s="558" t="s">
        <v>667</v>
      </c>
      <c r="B51" s="318">
        <v>0.3</v>
      </c>
      <c r="C51" s="231">
        <v>10</v>
      </c>
      <c r="D51" s="204"/>
      <c r="F51" s="198"/>
      <c r="G51" s="198"/>
      <c r="H51" s="198"/>
      <c r="I51" s="198"/>
      <c r="J51" s="198"/>
      <c r="K51" s="198"/>
      <c r="L51" s="198"/>
      <c r="M51" s="157"/>
      <c r="N51" s="157"/>
      <c r="O51" s="157"/>
      <c r="P51" s="157"/>
      <c r="Q51" s="157"/>
      <c r="R51" s="157"/>
      <c r="S51" s="157"/>
      <c r="T51" s="157"/>
      <c r="U51" s="157"/>
      <c r="V51" s="157"/>
      <c r="W51" s="157"/>
      <c r="X51" s="157"/>
      <c r="Y51" s="157"/>
      <c r="Z51" s="157"/>
      <c r="AA51" s="157"/>
      <c r="AB51" s="157"/>
      <c r="AC51" s="157"/>
    </row>
    <row r="52" spans="1:29" ht="15.75" x14ac:dyDescent="0.25">
      <c r="A52" s="559"/>
      <c r="B52" s="318">
        <v>0.5</v>
      </c>
      <c r="C52" s="231">
        <v>20</v>
      </c>
      <c r="D52" s="198"/>
      <c r="E52" s="198"/>
      <c r="F52" s="198"/>
      <c r="G52" s="198"/>
      <c r="H52" s="198"/>
      <c r="I52" s="198"/>
      <c r="J52" s="198"/>
      <c r="K52" s="198"/>
      <c r="L52" s="198"/>
      <c r="M52" s="157"/>
      <c r="N52" s="157"/>
      <c r="O52" s="157"/>
      <c r="P52" s="157"/>
      <c r="Q52" s="157"/>
      <c r="R52" s="157"/>
      <c r="S52" s="157"/>
      <c r="T52" s="157"/>
      <c r="U52" s="157"/>
      <c r="V52" s="157"/>
      <c r="W52" s="157"/>
      <c r="X52" s="157"/>
      <c r="Y52" s="157"/>
      <c r="Z52" s="157"/>
      <c r="AA52" s="157"/>
      <c r="AB52" s="157"/>
      <c r="AC52" s="157"/>
    </row>
    <row r="53" spans="1:29" ht="15.75" x14ac:dyDescent="0.25">
      <c r="A53" s="560"/>
      <c r="B53" s="318">
        <v>1</v>
      </c>
      <c r="C53" s="231">
        <v>29</v>
      </c>
      <c r="D53" s="198"/>
      <c r="E53" s="198"/>
      <c r="F53" s="198"/>
      <c r="G53" s="198"/>
      <c r="H53" s="198"/>
      <c r="I53" s="198"/>
      <c r="J53" s="198"/>
      <c r="K53" s="198"/>
      <c r="L53" s="198"/>
      <c r="M53" s="157"/>
      <c r="N53" s="157"/>
      <c r="O53" s="157"/>
      <c r="P53" s="157"/>
      <c r="Q53" s="157"/>
      <c r="R53" s="157"/>
      <c r="S53" s="157"/>
      <c r="T53" s="157"/>
      <c r="U53" s="157"/>
      <c r="V53" s="157"/>
      <c r="W53" s="157"/>
      <c r="X53" s="157"/>
      <c r="Y53" s="157"/>
      <c r="Z53" s="157"/>
      <c r="AA53" s="157"/>
      <c r="AB53" s="157"/>
      <c r="AC53" s="157"/>
    </row>
    <row r="54" spans="1:29" ht="19.5" thickBot="1" x14ac:dyDescent="0.3">
      <c r="A54" s="425" t="s">
        <v>504</v>
      </c>
      <c r="B54" s="426"/>
      <c r="C54" s="230">
        <f>+IF(C45="HABILITADO",IF(D45&lt;X!M6,0,IF(AND(D45&gt;=X!M6,D45&lt;X!M4),10,IF(AND(D45&gt;=X!M4,D45&lt;X!M2),20,IF(D45&gt;=X!M2,29,"")))))</f>
        <v>29</v>
      </c>
    </row>
    <row r="61" spans="1:29" x14ac:dyDescent="0.25">
      <c r="E61" s="346"/>
    </row>
  </sheetData>
  <mergeCells count="325">
    <mergeCell ref="AA32:AC32"/>
    <mergeCell ref="AA33:AC33"/>
    <mergeCell ref="U41:W41"/>
    <mergeCell ref="I36:K36"/>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U33:W33"/>
    <mergeCell ref="U32:W32"/>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X25:Z25"/>
    <mergeCell ref="I28:K28"/>
    <mergeCell ref="U24:W24"/>
    <mergeCell ref="F22:H22"/>
    <mergeCell ref="I22:K22"/>
    <mergeCell ref="F24:H24"/>
    <mergeCell ref="I24:K24"/>
    <mergeCell ref="F25:H25"/>
    <mergeCell ref="I25:K25"/>
    <mergeCell ref="G26:H26"/>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Y26:Z26"/>
    <mergeCell ref="U34:W34"/>
    <mergeCell ref="U25:W25"/>
    <mergeCell ref="U27:W27"/>
    <mergeCell ref="X23:Z23"/>
    <mergeCell ref="U35:W35"/>
    <mergeCell ref="U36:W36"/>
    <mergeCell ref="U22:W22"/>
    <mergeCell ref="X16:Y16"/>
    <mergeCell ref="X17:Y17"/>
    <mergeCell ref="X34:Z34"/>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C37:E37"/>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C41:E41"/>
    <mergeCell ref="L41:N41"/>
    <mergeCell ref="O41:Q41"/>
    <mergeCell ref="O39:Q39"/>
    <mergeCell ref="C16:D16"/>
    <mergeCell ref="C17:D17"/>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19:D19"/>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D37:AF37"/>
    <mergeCell ref="AD38:AF38"/>
    <mergeCell ref="AD31:AF31"/>
    <mergeCell ref="AD21:AE21"/>
    <mergeCell ref="AD22:AF22"/>
    <mergeCell ref="AD23:AF23"/>
    <mergeCell ref="AD24:AF24"/>
    <mergeCell ref="AD25:AF25"/>
    <mergeCell ref="AE26:AF26"/>
    <mergeCell ref="AD28:AF28"/>
    <mergeCell ref="O7:Q7"/>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O11:Q11"/>
    <mergeCell ref="R11:T11"/>
    <mergeCell ref="U11:W11"/>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R12:T12"/>
    <mergeCell ref="R13:T13"/>
    <mergeCell ref="R14:T14"/>
    <mergeCell ref="R15:T15"/>
    <mergeCell ref="R29:T29"/>
    <mergeCell ref="U29:W29"/>
    <mergeCell ref="C12:E12"/>
    <mergeCell ref="C13:E13"/>
    <mergeCell ref="C14:E14"/>
    <mergeCell ref="C15:E15"/>
    <mergeCell ref="F12:H12"/>
    <mergeCell ref="F13:H13"/>
    <mergeCell ref="F14:H14"/>
    <mergeCell ref="F15:H15"/>
    <mergeCell ref="F29:H29"/>
  </mergeCells>
  <pageMargins left="0" right="0" top="0.35433070866141736" bottom="0.15748031496062992" header="0.31496062992125984" footer="0.31496062992125984"/>
  <pageSetup paperSize="5" scale="54" fitToWidth="0" fitToHeight="0" orientation="landscape"/>
  <colBreaks count="2" manualBreakCount="2">
    <brk id="11" max="50" man="1"/>
    <brk id="17" max="50" man="1"/>
  </colBreaks>
  <drawing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X!$K$1:$K$3</xm:f>
          </x14:formula1>
          <xm:sqref>C39:AF39</xm:sqref>
        </x14:dataValidation>
        <x14:dataValidation type="list" allowBlank="1" showInputMessage="1" showErrorMessage="1">
          <x14:formula1>
            <xm:f>X!$E$1:$E$2</xm:f>
          </x14:formula1>
          <xm:sqref>C41:AF41</xm:sqref>
        </x14:dataValidation>
        <x14:dataValidation type="list" allowBlank="1" showInputMessage="1" showErrorMessage="1">
          <x14:formula1>
            <xm:f>X!$N$2:$N$4</xm:f>
          </x14:formula1>
          <xm:sqref>C29:C31 D30:E31 F29:F31 G30:H31 I29:R31 S30:T31 U29:U31 X29:AF31 V30:W31</xm:sqref>
        </x14:dataValidation>
        <x14:dataValidation type="list" allowBlank="1" showInputMessage="1" showErrorMessage="1">
          <x14:formula1>
            <xm:f>X!$A$3:$A$19</xm:f>
          </x14:formula1>
          <xm:sqref>C26 F26 I26 L26 O26 R26 U26 X26 AA26 AD26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x14ac:dyDescent="0.25"/>
  <cols>
    <col min="1" max="1" width="39.7109375" customWidth="1"/>
  </cols>
  <sheetData>
    <row r="6" spans="1:11" x14ac:dyDescent="0.25">
      <c r="A6" s="391" t="s">
        <v>201</v>
      </c>
      <c r="B6" s="391"/>
      <c r="C6" s="391"/>
      <c r="D6" s="391"/>
      <c r="E6" s="391"/>
      <c r="F6" s="391"/>
      <c r="G6" s="391"/>
      <c r="H6" s="391"/>
      <c r="I6" s="391"/>
      <c r="J6" s="391"/>
      <c r="K6" s="39"/>
    </row>
    <row r="7" spans="1:11" x14ac:dyDescent="0.25">
      <c r="A7" s="391" t="s">
        <v>202</v>
      </c>
      <c r="B7" s="391"/>
      <c r="C7" s="391"/>
      <c r="D7" s="391"/>
      <c r="E7" s="391"/>
      <c r="F7" s="391"/>
      <c r="G7" s="391"/>
      <c r="H7" s="391"/>
      <c r="I7" s="391"/>
      <c r="J7" s="391"/>
      <c r="K7" s="39"/>
    </row>
    <row r="8" spans="1:11" x14ac:dyDescent="0.25">
      <c r="A8" s="391" t="s">
        <v>203</v>
      </c>
      <c r="B8" s="391"/>
      <c r="C8" s="391"/>
      <c r="D8" s="391"/>
      <c r="E8" s="391"/>
      <c r="F8" s="391"/>
      <c r="G8" s="391"/>
      <c r="H8" s="391"/>
      <c r="I8" s="391"/>
      <c r="J8" s="391"/>
      <c r="K8" s="39"/>
    </row>
    <row r="9" spans="1:11" x14ac:dyDescent="0.25">
      <c r="A9" s="391" t="s">
        <v>473</v>
      </c>
      <c r="B9" s="391"/>
      <c r="C9" s="391"/>
      <c r="D9" s="391"/>
      <c r="E9" s="391"/>
      <c r="F9" s="391"/>
      <c r="G9" s="391"/>
      <c r="H9" s="391"/>
      <c r="I9" s="391"/>
      <c r="J9" s="391"/>
      <c r="K9" s="39"/>
    </row>
    <row r="11" spans="1:11" x14ac:dyDescent="0.25">
      <c r="A11" s="12" t="s">
        <v>13</v>
      </c>
      <c r="B11" s="597" t="s">
        <v>71</v>
      </c>
      <c r="C11" s="597"/>
      <c r="D11" s="597"/>
      <c r="E11" s="597"/>
      <c r="F11" s="597"/>
      <c r="G11" s="597"/>
      <c r="H11" s="597"/>
      <c r="I11" s="597"/>
      <c r="J11" s="597"/>
    </row>
    <row r="12" spans="1:11" x14ac:dyDescent="0.25">
      <c r="A12" s="12" t="s">
        <v>43</v>
      </c>
      <c r="B12" s="56">
        <f>SUM(B26,B44,B58,B72,B86,B100,B114)</f>
        <v>22.525205479452055</v>
      </c>
      <c r="C12" s="16"/>
      <c r="D12" s="16"/>
      <c r="E12" s="16"/>
      <c r="F12" s="16"/>
      <c r="G12" s="16"/>
      <c r="H12" s="16"/>
      <c r="I12" s="16"/>
      <c r="J12" s="16"/>
    </row>
    <row r="13" spans="1:11" ht="15.75" thickBot="1" x14ac:dyDescent="0.3"/>
    <row r="14" spans="1:11" x14ac:dyDescent="0.25">
      <c r="A14" s="9" t="s">
        <v>221</v>
      </c>
      <c r="B14" s="574" t="s">
        <v>28</v>
      </c>
      <c r="C14" s="575"/>
      <c r="D14" s="575"/>
      <c r="E14" s="575"/>
      <c r="F14" s="575"/>
      <c r="G14" s="575"/>
      <c r="H14" s="575"/>
      <c r="I14" s="575"/>
      <c r="J14" s="576"/>
    </row>
    <row r="15" spans="1:11" x14ac:dyDescent="0.25">
      <c r="A15" s="1" t="s">
        <v>23</v>
      </c>
      <c r="B15" s="591" t="s">
        <v>53</v>
      </c>
      <c r="C15" s="566"/>
      <c r="D15" s="566"/>
      <c r="E15" s="566"/>
      <c r="F15" s="566"/>
      <c r="G15" s="566"/>
      <c r="H15" s="566"/>
      <c r="I15" s="566"/>
      <c r="J15" s="567"/>
    </row>
    <row r="16" spans="1:11" hidden="1" x14ac:dyDescent="0.25">
      <c r="A16" s="1" t="s">
        <v>24</v>
      </c>
      <c r="B16" s="41"/>
      <c r="C16" s="41"/>
      <c r="D16" s="41"/>
      <c r="E16" s="41"/>
      <c r="F16" s="41"/>
      <c r="G16" s="41"/>
      <c r="H16" s="41"/>
      <c r="I16" s="41"/>
      <c r="J16" s="2"/>
    </row>
    <row r="17" spans="1:10" hidden="1" x14ac:dyDescent="0.25">
      <c r="A17" s="1" t="s">
        <v>25</v>
      </c>
      <c r="B17" s="41"/>
      <c r="C17" s="41"/>
      <c r="D17" s="41"/>
      <c r="E17" s="41"/>
      <c r="F17" s="41"/>
      <c r="G17" s="41"/>
      <c r="H17" s="41"/>
      <c r="I17" s="41"/>
      <c r="J17" s="2"/>
    </row>
    <row r="18" spans="1:10" hidden="1" x14ac:dyDescent="0.25">
      <c r="A18" s="1" t="s">
        <v>26</v>
      </c>
      <c r="B18" s="41" t="s">
        <v>52</v>
      </c>
      <c r="C18" s="41"/>
      <c r="D18" s="41"/>
      <c r="E18" s="41"/>
      <c r="F18" s="41"/>
      <c r="G18" s="41"/>
      <c r="H18" s="41"/>
      <c r="I18" s="41"/>
      <c r="J18" s="2"/>
    </row>
    <row r="19" spans="1:10" x14ac:dyDescent="0.25">
      <c r="A19" s="1" t="s">
        <v>205</v>
      </c>
      <c r="B19" s="591" t="s">
        <v>54</v>
      </c>
      <c r="C19" s="566"/>
      <c r="D19" s="566"/>
      <c r="E19" s="566"/>
      <c r="F19" s="566"/>
      <c r="G19" s="566"/>
      <c r="H19" s="566"/>
      <c r="I19" s="566"/>
      <c r="J19" s="567"/>
    </row>
    <row r="20" spans="1:10" hidden="1" x14ac:dyDescent="0.25">
      <c r="A20" s="1" t="s">
        <v>35</v>
      </c>
      <c r="B20" s="41"/>
      <c r="C20" s="41"/>
      <c r="D20" s="41"/>
      <c r="E20" s="41"/>
      <c r="F20" s="41"/>
      <c r="G20" s="41"/>
      <c r="H20" s="41"/>
      <c r="I20" s="41"/>
      <c r="J20" s="2"/>
    </row>
    <row r="21" spans="1:10" hidden="1" x14ac:dyDescent="0.25">
      <c r="A21" s="1" t="s">
        <v>34</v>
      </c>
      <c r="B21" s="41"/>
      <c r="C21" s="41"/>
      <c r="D21" s="41"/>
      <c r="E21" s="41"/>
      <c r="F21" s="41"/>
      <c r="G21" s="41"/>
      <c r="H21" s="41"/>
      <c r="I21" s="41"/>
      <c r="J21" s="2"/>
    </row>
    <row r="22" spans="1:10" x14ac:dyDescent="0.25">
      <c r="A22" s="1" t="s">
        <v>208</v>
      </c>
      <c r="B22" s="589">
        <v>40679</v>
      </c>
      <c r="C22" s="578"/>
      <c r="D22" s="578"/>
      <c r="E22" s="578"/>
      <c r="F22" s="578"/>
      <c r="G22" s="578"/>
      <c r="H22" s="578"/>
      <c r="I22" s="578"/>
      <c r="J22" s="579"/>
    </row>
    <row r="23" spans="1:10" x14ac:dyDescent="0.25">
      <c r="A23" s="1" t="s">
        <v>222</v>
      </c>
      <c r="B23" s="589">
        <v>41654</v>
      </c>
      <c r="C23" s="578"/>
      <c r="D23" s="578"/>
      <c r="E23" s="578"/>
      <c r="F23" s="578"/>
      <c r="G23" s="578"/>
      <c r="H23" s="578"/>
      <c r="I23" s="578"/>
      <c r="J23" s="579"/>
    </row>
    <row r="24" spans="1:10" x14ac:dyDescent="0.25">
      <c r="A24" s="1" t="s">
        <v>38</v>
      </c>
      <c r="B24" s="563">
        <v>1.8</v>
      </c>
      <c r="C24" s="569"/>
      <c r="D24" s="569"/>
      <c r="E24" s="569"/>
      <c r="F24" s="569"/>
      <c r="G24" s="569"/>
      <c r="H24" s="569"/>
      <c r="I24" s="569"/>
      <c r="J24" s="570"/>
    </row>
    <row r="25" spans="1:10" ht="15.75" thickBot="1" x14ac:dyDescent="0.3">
      <c r="A25" s="4" t="s">
        <v>42</v>
      </c>
      <c r="B25" s="571">
        <v>1</v>
      </c>
      <c r="C25" s="572"/>
      <c r="D25" s="572"/>
      <c r="E25" s="572"/>
      <c r="F25" s="572"/>
      <c r="G25" s="572"/>
      <c r="H25" s="572"/>
      <c r="I25" s="572"/>
      <c r="J25" s="573"/>
    </row>
    <row r="26" spans="1:10" ht="15.75" thickBot="1" x14ac:dyDescent="0.3">
      <c r="A26" s="8" t="s">
        <v>41</v>
      </c>
      <c r="B26" s="580">
        <f>B24</f>
        <v>1.8</v>
      </c>
      <c r="C26" s="580"/>
      <c r="D26" s="580"/>
      <c r="E26" s="580"/>
      <c r="F26" s="580"/>
      <c r="G26" s="580"/>
      <c r="H26" s="580"/>
      <c r="I26" s="580"/>
      <c r="J26" s="581"/>
    </row>
    <row r="27" spans="1:10" hidden="1" x14ac:dyDescent="0.25">
      <c r="A27" s="43"/>
      <c r="B27" s="19"/>
      <c r="C27" s="19"/>
      <c r="D27" s="19"/>
      <c r="E27" s="19"/>
      <c r="F27" s="19"/>
      <c r="G27" s="19"/>
      <c r="H27" s="19"/>
      <c r="I27" s="19"/>
      <c r="J27" s="19"/>
    </row>
    <row r="28" spans="1:10" hidden="1" x14ac:dyDescent="0.25">
      <c r="A28" s="582" t="s">
        <v>191</v>
      </c>
      <c r="B28" s="583"/>
      <c r="C28" s="583"/>
      <c r="D28" s="583"/>
      <c r="E28" s="583"/>
      <c r="F28" s="583"/>
      <c r="G28" s="583"/>
      <c r="H28" s="583"/>
      <c r="I28" s="583"/>
      <c r="J28" s="584"/>
    </row>
    <row r="29" spans="1:10" hidden="1" x14ac:dyDescent="0.25">
      <c r="A29" s="585" t="s">
        <v>232</v>
      </c>
      <c r="B29" s="586"/>
      <c r="C29" s="586"/>
      <c r="D29" s="586"/>
      <c r="E29" s="586"/>
      <c r="F29" s="586"/>
      <c r="G29" s="586"/>
      <c r="H29" s="586"/>
      <c r="I29" s="586"/>
      <c r="J29" s="587"/>
    </row>
    <row r="30" spans="1:10" ht="15.75" hidden="1" thickBot="1" x14ac:dyDescent="0.3">
      <c r="A30" s="588"/>
      <c r="B30" s="572"/>
      <c r="C30" s="572"/>
      <c r="D30" s="572"/>
      <c r="E30" s="572"/>
      <c r="F30" s="572"/>
      <c r="G30" s="572"/>
      <c r="H30" s="572"/>
      <c r="I30" s="572"/>
      <c r="J30" s="573"/>
    </row>
    <row r="31" spans="1:10" ht="15.75" thickBot="1" x14ac:dyDescent="0.3"/>
    <row r="32" spans="1:10" x14ac:dyDescent="0.25">
      <c r="A32" s="9" t="s">
        <v>223</v>
      </c>
      <c r="B32" s="51" t="s">
        <v>28</v>
      </c>
      <c r="C32" s="51" t="s">
        <v>29</v>
      </c>
      <c r="D32" s="574" t="s">
        <v>30</v>
      </c>
      <c r="E32" s="593"/>
      <c r="F32" s="574" t="s">
        <v>31</v>
      </c>
      <c r="G32" s="575"/>
      <c r="H32" s="575"/>
      <c r="I32" s="575"/>
      <c r="J32" s="576"/>
    </row>
    <row r="33" spans="1:11" x14ac:dyDescent="0.25">
      <c r="A33" s="1" t="s">
        <v>23</v>
      </c>
      <c r="B33" s="41" t="s">
        <v>57</v>
      </c>
      <c r="C33" s="41" t="s">
        <v>57</v>
      </c>
      <c r="D33" s="591" t="s">
        <v>475</v>
      </c>
      <c r="E33" s="592"/>
      <c r="F33" s="591" t="s">
        <v>57</v>
      </c>
      <c r="G33" s="566"/>
      <c r="H33" s="566"/>
      <c r="I33" s="566"/>
      <c r="J33" s="567"/>
      <c r="K33" s="18"/>
    </row>
    <row r="34" spans="1:11" ht="15" customHeight="1" x14ac:dyDescent="0.25">
      <c r="A34" s="1" t="s">
        <v>24</v>
      </c>
      <c r="B34" s="41"/>
      <c r="C34" s="41"/>
      <c r="D34" s="41"/>
      <c r="E34" s="41"/>
      <c r="F34" s="2"/>
      <c r="G34" s="41"/>
      <c r="H34" s="41"/>
      <c r="I34" s="41"/>
      <c r="J34" s="2"/>
    </row>
    <row r="35" spans="1:11" ht="15" customHeight="1" x14ac:dyDescent="0.25">
      <c r="A35" s="1" t="s">
        <v>25</v>
      </c>
      <c r="B35" s="41"/>
      <c r="C35" s="41"/>
      <c r="D35" s="41"/>
      <c r="E35" s="41"/>
      <c r="F35" s="2"/>
      <c r="G35" s="41"/>
      <c r="H35" s="41"/>
      <c r="I35" s="41"/>
      <c r="J35" s="2"/>
    </row>
    <row r="36" spans="1:11" ht="15" customHeight="1" x14ac:dyDescent="0.25">
      <c r="A36" s="1" t="s">
        <v>26</v>
      </c>
      <c r="B36" s="41" t="s">
        <v>56</v>
      </c>
      <c r="C36" s="41" t="s">
        <v>56</v>
      </c>
      <c r="D36" s="41"/>
      <c r="E36" s="41"/>
      <c r="F36" s="41" t="s">
        <v>56</v>
      </c>
      <c r="G36" s="41"/>
      <c r="H36" s="41"/>
      <c r="I36" s="41"/>
      <c r="J36" s="2"/>
    </row>
    <row r="37" spans="1:11" x14ac:dyDescent="0.25">
      <c r="A37" s="1" t="s">
        <v>210</v>
      </c>
      <c r="B37" s="41" t="s">
        <v>468</v>
      </c>
      <c r="C37" s="41" t="s">
        <v>213</v>
      </c>
      <c r="D37" s="591" t="s">
        <v>212</v>
      </c>
      <c r="E37" s="592"/>
      <c r="F37" s="591" t="s">
        <v>474</v>
      </c>
      <c r="G37" s="566"/>
      <c r="H37" s="566"/>
      <c r="I37" s="566"/>
      <c r="J37" s="567"/>
    </row>
    <row r="38" spans="1:11" ht="15" customHeight="1" x14ac:dyDescent="0.25">
      <c r="A38" s="1" t="s">
        <v>35</v>
      </c>
      <c r="B38" s="41"/>
      <c r="C38" s="41"/>
      <c r="D38" s="41"/>
      <c r="E38" s="41"/>
      <c r="F38" s="41"/>
      <c r="G38" s="41"/>
      <c r="H38" s="41"/>
      <c r="I38" s="41"/>
      <c r="J38" s="2"/>
    </row>
    <row r="39" spans="1:11" ht="15" customHeight="1" x14ac:dyDescent="0.25">
      <c r="A39" s="1" t="s">
        <v>34</v>
      </c>
      <c r="B39" s="41"/>
      <c r="C39" s="41"/>
      <c r="D39" s="41"/>
      <c r="E39" s="41"/>
      <c r="F39" s="41"/>
      <c r="G39" s="41"/>
      <c r="H39" s="41"/>
      <c r="I39" s="41"/>
      <c r="J39" s="2"/>
    </row>
    <row r="40" spans="1:11" x14ac:dyDescent="0.25">
      <c r="A40" s="1" t="s">
        <v>208</v>
      </c>
      <c r="B40" s="42">
        <v>39479</v>
      </c>
      <c r="C40" s="42">
        <v>40452</v>
      </c>
      <c r="D40" s="589">
        <v>37581</v>
      </c>
      <c r="E40" s="590"/>
      <c r="F40" s="589">
        <v>40805</v>
      </c>
      <c r="G40" s="578"/>
      <c r="H40" s="578"/>
      <c r="I40" s="578"/>
      <c r="J40" s="579"/>
    </row>
    <row r="41" spans="1:11" x14ac:dyDescent="0.25">
      <c r="A41" s="1" t="s">
        <v>209</v>
      </c>
      <c r="B41" s="42">
        <v>40451</v>
      </c>
      <c r="C41" s="42">
        <v>40512</v>
      </c>
      <c r="D41" s="589">
        <v>38069</v>
      </c>
      <c r="E41" s="590"/>
      <c r="F41" s="589">
        <v>41425</v>
      </c>
      <c r="G41" s="578"/>
      <c r="H41" s="578"/>
      <c r="I41" s="578"/>
      <c r="J41" s="579"/>
    </row>
    <row r="42" spans="1:11" x14ac:dyDescent="0.25">
      <c r="A42" s="1" t="s">
        <v>38</v>
      </c>
      <c r="B42" s="13">
        <f>((B41-B40)/365)-1.42</f>
        <v>1.2430136986301372</v>
      </c>
      <c r="C42" s="13">
        <f>(C41-C40)/365</f>
        <v>0.16438356164383561</v>
      </c>
      <c r="D42" s="563">
        <f t="shared" ref="D42" si="0">(D41-D40)/365</f>
        <v>1.3369863013698631</v>
      </c>
      <c r="E42" s="564"/>
      <c r="F42" s="563">
        <f>(F41-F40)/365</f>
        <v>1.6986301369863013</v>
      </c>
      <c r="G42" s="569"/>
      <c r="H42" s="569"/>
      <c r="I42" s="569"/>
      <c r="J42" s="570"/>
    </row>
    <row r="43" spans="1:11" ht="15.75" thickBot="1" x14ac:dyDescent="0.3">
      <c r="A43" s="4" t="s">
        <v>42</v>
      </c>
      <c r="B43" s="10">
        <v>1</v>
      </c>
      <c r="C43" s="10">
        <v>1</v>
      </c>
      <c r="D43" s="571">
        <v>1</v>
      </c>
      <c r="E43" s="596"/>
      <c r="F43" s="571">
        <v>1</v>
      </c>
      <c r="G43" s="572"/>
      <c r="H43" s="572"/>
      <c r="I43" s="572"/>
      <c r="J43" s="573"/>
    </row>
    <row r="44" spans="1:11" ht="15.75" thickBot="1" x14ac:dyDescent="0.3">
      <c r="A44" s="8" t="s">
        <v>41</v>
      </c>
      <c r="B44" s="580">
        <f>B42+C42+D42+F42+G42+H42+I42+J42</f>
        <v>4.4430136986301374</v>
      </c>
      <c r="C44" s="580"/>
      <c r="D44" s="580"/>
      <c r="E44" s="580"/>
      <c r="F44" s="580"/>
      <c r="G44" s="580"/>
      <c r="H44" s="580"/>
      <c r="I44" s="580"/>
      <c r="J44" s="581"/>
    </row>
    <row r="45" spans="1:11" ht="15.75" thickBot="1" x14ac:dyDescent="0.3"/>
    <row r="46" spans="1:11" x14ac:dyDescent="0.25">
      <c r="A46" s="9" t="s">
        <v>224</v>
      </c>
      <c r="B46" s="574" t="s">
        <v>28</v>
      </c>
      <c r="C46" s="575"/>
      <c r="D46" s="575"/>
      <c r="E46" s="575"/>
      <c r="F46" s="575"/>
      <c r="G46" s="575"/>
      <c r="H46" s="575"/>
      <c r="I46" s="575"/>
      <c r="J46" s="576"/>
    </row>
    <row r="47" spans="1:11" x14ac:dyDescent="0.25">
      <c r="A47" s="1" t="s">
        <v>23</v>
      </c>
      <c r="B47" s="565" t="s">
        <v>469</v>
      </c>
      <c r="C47" s="566"/>
      <c r="D47" s="566"/>
      <c r="E47" s="566"/>
      <c r="F47" s="566"/>
      <c r="G47" s="566"/>
      <c r="H47" s="566"/>
      <c r="I47" s="566"/>
      <c r="J47" s="567"/>
    </row>
    <row r="48" spans="1:11" hidden="1" x14ac:dyDescent="0.25">
      <c r="A48" s="1" t="s">
        <v>24</v>
      </c>
      <c r="B48" s="1"/>
      <c r="C48" s="41"/>
      <c r="D48" s="41"/>
      <c r="E48" s="41"/>
      <c r="F48" s="41"/>
      <c r="G48" s="41"/>
      <c r="H48" s="41"/>
      <c r="I48" s="41"/>
      <c r="J48" s="2"/>
    </row>
    <row r="49" spans="1:10" hidden="1" x14ac:dyDescent="0.25">
      <c r="A49" s="1" t="s">
        <v>25</v>
      </c>
      <c r="B49" s="1"/>
      <c r="C49" s="41"/>
      <c r="D49" s="41"/>
      <c r="E49" s="41"/>
      <c r="F49" s="41"/>
      <c r="G49" s="41"/>
      <c r="H49" s="41"/>
      <c r="I49" s="41"/>
      <c r="J49" s="2"/>
    </row>
    <row r="50" spans="1:10" hidden="1" x14ac:dyDescent="0.25">
      <c r="A50" s="1" t="s">
        <v>26</v>
      </c>
      <c r="B50" s="1" t="s">
        <v>58</v>
      </c>
      <c r="C50" s="41"/>
      <c r="D50" s="41"/>
      <c r="E50" s="41"/>
      <c r="F50" s="41"/>
      <c r="G50" s="41"/>
      <c r="H50" s="41"/>
      <c r="I50" s="41"/>
      <c r="J50" s="2"/>
    </row>
    <row r="51" spans="1:10" x14ac:dyDescent="0.25">
      <c r="A51" s="1" t="s">
        <v>205</v>
      </c>
      <c r="B51" s="565" t="s">
        <v>215</v>
      </c>
      <c r="C51" s="566"/>
      <c r="D51" s="566"/>
      <c r="E51" s="566"/>
      <c r="F51" s="566"/>
      <c r="G51" s="566"/>
      <c r="H51" s="566"/>
      <c r="I51" s="566"/>
      <c r="J51" s="567"/>
    </row>
    <row r="52" spans="1:10" hidden="1" x14ac:dyDescent="0.25">
      <c r="A52" s="1" t="s">
        <v>35</v>
      </c>
      <c r="B52" s="1"/>
      <c r="C52" s="41"/>
      <c r="D52" s="41"/>
      <c r="E52" s="41"/>
      <c r="F52" s="41"/>
      <c r="G52" s="41"/>
      <c r="H52" s="41"/>
      <c r="I52" s="41"/>
      <c r="J52" s="2"/>
    </row>
    <row r="53" spans="1:10" hidden="1" x14ac:dyDescent="0.25">
      <c r="A53" s="1" t="s">
        <v>34</v>
      </c>
      <c r="B53" s="1"/>
      <c r="C53" s="41"/>
      <c r="D53" s="41"/>
      <c r="E53" s="41"/>
      <c r="F53" s="41"/>
      <c r="G53" s="41"/>
      <c r="H53" s="41"/>
      <c r="I53" s="41"/>
      <c r="J53" s="2"/>
    </row>
    <row r="54" spans="1:10" x14ac:dyDescent="0.25">
      <c r="A54" s="1" t="s">
        <v>206</v>
      </c>
      <c r="B54" s="577">
        <v>35902</v>
      </c>
      <c r="C54" s="578"/>
      <c r="D54" s="578"/>
      <c r="E54" s="578"/>
      <c r="F54" s="578"/>
      <c r="G54" s="578"/>
      <c r="H54" s="578"/>
      <c r="I54" s="578"/>
      <c r="J54" s="579"/>
    </row>
    <row r="55" spans="1:10" x14ac:dyDescent="0.25">
      <c r="A55" s="1" t="s">
        <v>209</v>
      </c>
      <c r="B55" s="577">
        <v>38919</v>
      </c>
      <c r="C55" s="578"/>
      <c r="D55" s="578"/>
      <c r="E55" s="578"/>
      <c r="F55" s="578"/>
      <c r="G55" s="578"/>
      <c r="H55" s="578"/>
      <c r="I55" s="578"/>
      <c r="J55" s="579"/>
    </row>
    <row r="56" spans="1:10" x14ac:dyDescent="0.25">
      <c r="A56" s="1" t="s">
        <v>38</v>
      </c>
      <c r="B56" s="568">
        <f>((B55-B54)/365)-4</f>
        <v>4.2657534246575342</v>
      </c>
      <c r="C56" s="569"/>
      <c r="D56" s="569"/>
      <c r="E56" s="569"/>
      <c r="F56" s="569"/>
      <c r="G56" s="569"/>
      <c r="H56" s="569"/>
      <c r="I56" s="569"/>
      <c r="J56" s="570"/>
    </row>
    <row r="57" spans="1:10" ht="15.75" thickBot="1" x14ac:dyDescent="0.3">
      <c r="A57" s="4" t="s">
        <v>42</v>
      </c>
      <c r="B57" s="571">
        <v>1</v>
      </c>
      <c r="C57" s="572"/>
      <c r="D57" s="572"/>
      <c r="E57" s="572"/>
      <c r="F57" s="572"/>
      <c r="G57" s="572"/>
      <c r="H57" s="572"/>
      <c r="I57" s="572"/>
      <c r="J57" s="573"/>
    </row>
    <row r="58" spans="1:10" ht="15.75" thickBot="1" x14ac:dyDescent="0.3">
      <c r="A58" s="8" t="s">
        <v>41</v>
      </c>
      <c r="B58" s="580">
        <f>B56</f>
        <v>4.2657534246575342</v>
      </c>
      <c r="C58" s="580"/>
      <c r="D58" s="580"/>
      <c r="E58" s="580"/>
      <c r="F58" s="580"/>
      <c r="G58" s="580"/>
      <c r="H58" s="580"/>
      <c r="I58" s="580"/>
      <c r="J58" s="581"/>
    </row>
    <row r="59" spans="1:10" ht="15.75" thickBot="1" x14ac:dyDescent="0.3"/>
    <row r="60" spans="1:10" x14ac:dyDescent="0.25">
      <c r="A60" s="9" t="s">
        <v>225</v>
      </c>
      <c r="B60" s="574" t="s">
        <v>28</v>
      </c>
      <c r="C60" s="575"/>
      <c r="D60" s="575"/>
      <c r="E60" s="575"/>
      <c r="F60" s="575"/>
      <c r="G60" s="575"/>
      <c r="H60" s="575"/>
      <c r="I60" s="575"/>
      <c r="J60" s="576"/>
    </row>
    <row r="61" spans="1:10" x14ac:dyDescent="0.25">
      <c r="A61" s="1" t="s">
        <v>23</v>
      </c>
      <c r="B61" s="565" t="s">
        <v>59</v>
      </c>
      <c r="C61" s="566"/>
      <c r="D61" s="566"/>
      <c r="E61" s="566"/>
      <c r="F61" s="566"/>
      <c r="G61" s="566"/>
      <c r="H61" s="566"/>
      <c r="I61" s="566"/>
      <c r="J61" s="567"/>
    </row>
    <row r="62" spans="1:10" hidden="1" x14ac:dyDescent="0.25">
      <c r="A62" s="1" t="s">
        <v>24</v>
      </c>
      <c r="B62" s="1" t="s">
        <v>60</v>
      </c>
      <c r="C62" s="41"/>
      <c r="D62" s="41"/>
      <c r="E62" s="41"/>
      <c r="F62" s="41"/>
      <c r="G62" s="41"/>
      <c r="H62" s="41"/>
      <c r="I62" s="41"/>
      <c r="J62" s="2"/>
    </row>
    <row r="63" spans="1:10" hidden="1" x14ac:dyDescent="0.25">
      <c r="A63" s="1" t="s">
        <v>25</v>
      </c>
      <c r="B63" s="1"/>
      <c r="C63" s="41"/>
      <c r="D63" s="41"/>
      <c r="E63" s="41"/>
      <c r="F63" s="41"/>
      <c r="G63" s="41"/>
      <c r="H63" s="41"/>
      <c r="I63" s="41"/>
      <c r="J63" s="2"/>
    </row>
    <row r="64" spans="1:10" hidden="1" x14ac:dyDescent="0.25">
      <c r="A64" s="1" t="s">
        <v>26</v>
      </c>
      <c r="B64" s="1" t="s">
        <v>61</v>
      </c>
      <c r="C64" s="41"/>
      <c r="D64" s="41"/>
      <c r="E64" s="41"/>
      <c r="F64" s="41"/>
      <c r="G64" s="41"/>
      <c r="H64" s="41"/>
      <c r="I64" s="41"/>
      <c r="J64" s="2"/>
    </row>
    <row r="65" spans="1:10" x14ac:dyDescent="0.25">
      <c r="A65" s="1" t="s">
        <v>205</v>
      </c>
      <c r="B65" s="565" t="s">
        <v>470</v>
      </c>
      <c r="C65" s="566"/>
      <c r="D65" s="566"/>
      <c r="E65" s="566"/>
      <c r="F65" s="566"/>
      <c r="G65" s="566"/>
      <c r="H65" s="566"/>
      <c r="I65" s="566"/>
      <c r="J65" s="567"/>
    </row>
    <row r="66" spans="1:10" hidden="1" x14ac:dyDescent="0.25">
      <c r="A66" s="1" t="s">
        <v>35</v>
      </c>
      <c r="B66" s="1"/>
      <c r="C66" s="41"/>
      <c r="D66" s="41"/>
      <c r="E66" s="41"/>
      <c r="F66" s="41"/>
      <c r="G66" s="41"/>
      <c r="H66" s="41"/>
      <c r="I66" s="41"/>
      <c r="J66" s="2"/>
    </row>
    <row r="67" spans="1:10" hidden="1" x14ac:dyDescent="0.25">
      <c r="A67" s="1" t="s">
        <v>34</v>
      </c>
      <c r="B67" s="1"/>
      <c r="C67" s="41"/>
      <c r="D67" s="41"/>
      <c r="E67" s="41"/>
      <c r="F67" s="41"/>
      <c r="G67" s="41"/>
      <c r="H67" s="41"/>
      <c r="I67" s="41"/>
      <c r="J67" s="2"/>
    </row>
    <row r="68" spans="1:10" x14ac:dyDescent="0.25">
      <c r="A68" s="1" t="s">
        <v>206</v>
      </c>
      <c r="B68" s="577">
        <v>39293</v>
      </c>
      <c r="C68" s="578"/>
      <c r="D68" s="578"/>
      <c r="E68" s="578"/>
      <c r="F68" s="578"/>
      <c r="G68" s="578"/>
      <c r="H68" s="578"/>
      <c r="I68" s="578"/>
      <c r="J68" s="579"/>
    </row>
    <row r="69" spans="1:10" x14ac:dyDescent="0.25">
      <c r="A69" s="1" t="s">
        <v>209</v>
      </c>
      <c r="B69" s="577">
        <v>41647</v>
      </c>
      <c r="C69" s="578"/>
      <c r="D69" s="578"/>
      <c r="E69" s="578"/>
      <c r="F69" s="578"/>
      <c r="G69" s="578"/>
      <c r="H69" s="578"/>
      <c r="I69" s="578"/>
      <c r="J69" s="579"/>
    </row>
    <row r="70" spans="1:10" x14ac:dyDescent="0.25">
      <c r="A70" s="1" t="s">
        <v>38</v>
      </c>
      <c r="B70" s="568">
        <f>((B69-B68)/365)-5</f>
        <v>1.4493150684931511</v>
      </c>
      <c r="C70" s="569"/>
      <c r="D70" s="569"/>
      <c r="E70" s="569"/>
      <c r="F70" s="569"/>
      <c r="G70" s="569"/>
      <c r="H70" s="569"/>
      <c r="I70" s="569"/>
      <c r="J70" s="570"/>
    </row>
    <row r="71" spans="1:10" ht="15.75" thickBot="1" x14ac:dyDescent="0.3">
      <c r="A71" s="4" t="s">
        <v>42</v>
      </c>
      <c r="B71" s="571">
        <v>1</v>
      </c>
      <c r="C71" s="572"/>
      <c r="D71" s="572"/>
      <c r="E71" s="572"/>
      <c r="F71" s="572"/>
      <c r="G71" s="572"/>
      <c r="H71" s="572"/>
      <c r="I71" s="572"/>
      <c r="J71" s="573"/>
    </row>
    <row r="72" spans="1:10" ht="15.75" thickBot="1" x14ac:dyDescent="0.3">
      <c r="A72" s="8" t="s">
        <v>41</v>
      </c>
      <c r="B72" s="580">
        <f>B70</f>
        <v>1.4493150684931511</v>
      </c>
      <c r="C72" s="580"/>
      <c r="D72" s="580"/>
      <c r="E72" s="580"/>
      <c r="F72" s="580"/>
      <c r="G72" s="580"/>
      <c r="H72" s="580"/>
      <c r="I72" s="580"/>
      <c r="J72" s="581"/>
    </row>
    <row r="73" spans="1:10" ht="15.75" thickBot="1" x14ac:dyDescent="0.3">
      <c r="A73" s="43"/>
      <c r="B73" s="19"/>
      <c r="C73" s="19"/>
      <c r="D73" s="19"/>
      <c r="E73" s="19"/>
      <c r="F73" s="19"/>
      <c r="G73" s="19"/>
      <c r="H73" s="19"/>
      <c r="I73" s="19"/>
      <c r="J73" s="19"/>
    </row>
    <row r="74" spans="1:10" x14ac:dyDescent="0.25">
      <c r="A74" s="9" t="s">
        <v>226</v>
      </c>
      <c r="B74" s="574" t="s">
        <v>28</v>
      </c>
      <c r="C74" s="575"/>
      <c r="D74" s="575"/>
      <c r="E74" s="575"/>
      <c r="F74" s="575"/>
      <c r="G74" s="575"/>
      <c r="H74" s="575"/>
      <c r="I74" s="575"/>
      <c r="J74" s="576"/>
    </row>
    <row r="75" spans="1:10" x14ac:dyDescent="0.25">
      <c r="A75" s="1" t="s">
        <v>23</v>
      </c>
      <c r="B75" s="565" t="s">
        <v>62</v>
      </c>
      <c r="C75" s="566"/>
      <c r="D75" s="566"/>
      <c r="E75" s="566"/>
      <c r="F75" s="566"/>
      <c r="G75" s="566"/>
      <c r="H75" s="566"/>
      <c r="I75" s="566"/>
      <c r="J75" s="567"/>
    </row>
    <row r="76" spans="1:10" hidden="1" x14ac:dyDescent="0.25">
      <c r="A76" s="1" t="s">
        <v>24</v>
      </c>
      <c r="B76" s="1"/>
      <c r="C76" s="41"/>
      <c r="D76" s="41"/>
      <c r="E76" s="41"/>
      <c r="F76" s="41"/>
      <c r="G76" s="41"/>
      <c r="H76" s="41"/>
      <c r="I76" s="41"/>
      <c r="J76" s="2"/>
    </row>
    <row r="77" spans="1:10" hidden="1" x14ac:dyDescent="0.25">
      <c r="A77" s="1" t="s">
        <v>25</v>
      </c>
      <c r="B77" s="1" t="s">
        <v>64</v>
      </c>
      <c r="C77" s="41"/>
      <c r="D77" s="41"/>
      <c r="E77" s="41"/>
      <c r="F77" s="41"/>
      <c r="G77" s="41"/>
      <c r="H77" s="41"/>
      <c r="I77" s="41"/>
      <c r="J77" s="2"/>
    </row>
    <row r="78" spans="1:10" hidden="1" x14ac:dyDescent="0.25">
      <c r="A78" s="1" t="s">
        <v>26</v>
      </c>
      <c r="B78" s="1" t="s">
        <v>63</v>
      </c>
      <c r="C78" s="41"/>
      <c r="D78" s="41"/>
      <c r="E78" s="41"/>
      <c r="F78" s="41"/>
      <c r="G78" s="41"/>
      <c r="H78" s="41"/>
      <c r="I78" s="41"/>
      <c r="J78" s="2"/>
    </row>
    <row r="79" spans="1:10" x14ac:dyDescent="0.25">
      <c r="A79" s="1" t="s">
        <v>205</v>
      </c>
      <c r="B79" s="565" t="s">
        <v>65</v>
      </c>
      <c r="C79" s="566"/>
      <c r="D79" s="566"/>
      <c r="E79" s="566"/>
      <c r="F79" s="566"/>
      <c r="G79" s="566"/>
      <c r="H79" s="566"/>
      <c r="I79" s="566"/>
      <c r="J79" s="567"/>
    </row>
    <row r="80" spans="1:10" hidden="1" x14ac:dyDescent="0.25">
      <c r="A80" s="1" t="s">
        <v>35</v>
      </c>
      <c r="B80" s="1"/>
      <c r="C80" s="41"/>
      <c r="D80" s="41"/>
      <c r="E80" s="41"/>
      <c r="F80" s="41"/>
      <c r="G80" s="41"/>
      <c r="H80" s="41"/>
      <c r="I80" s="41"/>
      <c r="J80" s="2"/>
    </row>
    <row r="81" spans="1:10" hidden="1" x14ac:dyDescent="0.25">
      <c r="A81" s="1" t="s">
        <v>34</v>
      </c>
      <c r="B81" s="1"/>
      <c r="C81" s="41"/>
      <c r="D81" s="41"/>
      <c r="E81" s="41"/>
      <c r="F81" s="41"/>
      <c r="G81" s="41"/>
      <c r="H81" s="41"/>
      <c r="I81" s="41"/>
      <c r="J81" s="2"/>
    </row>
    <row r="82" spans="1:10" x14ac:dyDescent="0.25">
      <c r="A82" s="1" t="s">
        <v>206</v>
      </c>
      <c r="B82" s="577">
        <v>37549</v>
      </c>
      <c r="C82" s="578"/>
      <c r="D82" s="578"/>
      <c r="E82" s="578"/>
      <c r="F82" s="578"/>
      <c r="G82" s="578"/>
      <c r="H82" s="578"/>
      <c r="I82" s="578"/>
      <c r="J82" s="579"/>
    </row>
    <row r="83" spans="1:10" x14ac:dyDescent="0.25">
      <c r="A83" s="1" t="s">
        <v>209</v>
      </c>
      <c r="B83" s="577">
        <v>39864</v>
      </c>
      <c r="C83" s="578"/>
      <c r="D83" s="578"/>
      <c r="E83" s="578"/>
      <c r="F83" s="578"/>
      <c r="G83" s="578"/>
      <c r="H83" s="578"/>
      <c r="I83" s="578"/>
      <c r="J83" s="579"/>
    </row>
    <row r="84" spans="1:10" x14ac:dyDescent="0.25">
      <c r="A84" s="1" t="s">
        <v>38</v>
      </c>
      <c r="B84" s="568">
        <f>((B83-B82)/365)-5</f>
        <v>1.3424657534246576</v>
      </c>
      <c r="C84" s="569"/>
      <c r="D84" s="569"/>
      <c r="E84" s="569"/>
      <c r="F84" s="569"/>
      <c r="G84" s="569"/>
      <c r="H84" s="569"/>
      <c r="I84" s="569"/>
      <c r="J84" s="570"/>
    </row>
    <row r="85" spans="1:10" ht="15.75" thickBot="1" x14ac:dyDescent="0.3">
      <c r="A85" s="4" t="s">
        <v>42</v>
      </c>
      <c r="B85" s="571">
        <v>1</v>
      </c>
      <c r="C85" s="572"/>
      <c r="D85" s="572"/>
      <c r="E85" s="572"/>
      <c r="F85" s="572"/>
      <c r="G85" s="572"/>
      <c r="H85" s="572"/>
      <c r="I85" s="572"/>
      <c r="J85" s="573"/>
    </row>
    <row r="86" spans="1:10" ht="15.75" thickBot="1" x14ac:dyDescent="0.3">
      <c r="A86" s="8" t="s">
        <v>41</v>
      </c>
      <c r="B86" s="580">
        <f>B84</f>
        <v>1.3424657534246576</v>
      </c>
      <c r="C86" s="580"/>
      <c r="D86" s="580"/>
      <c r="E86" s="580"/>
      <c r="F86" s="580"/>
      <c r="G86" s="580"/>
      <c r="H86" s="580"/>
      <c r="I86" s="580"/>
      <c r="J86" s="581"/>
    </row>
    <row r="87" spans="1:10" ht="15.75" thickBot="1" x14ac:dyDescent="0.3">
      <c r="A87" s="43"/>
      <c r="B87" s="19"/>
      <c r="C87" s="19"/>
      <c r="D87" s="19"/>
      <c r="E87" s="19"/>
      <c r="F87" s="19"/>
      <c r="G87" s="19"/>
      <c r="H87" s="19"/>
      <c r="I87" s="19"/>
      <c r="J87" s="19"/>
    </row>
    <row r="88" spans="1:10" x14ac:dyDescent="0.25">
      <c r="A88" s="9" t="s">
        <v>227</v>
      </c>
      <c r="B88" s="574" t="s">
        <v>28</v>
      </c>
      <c r="C88" s="575"/>
      <c r="D88" s="575"/>
      <c r="E88" s="575"/>
      <c r="F88" s="575"/>
      <c r="G88" s="575"/>
      <c r="H88" s="575"/>
      <c r="I88" s="575"/>
      <c r="J88" s="576"/>
    </row>
    <row r="89" spans="1:10" x14ac:dyDescent="0.25">
      <c r="A89" s="1" t="s">
        <v>23</v>
      </c>
      <c r="B89" s="565" t="s">
        <v>66</v>
      </c>
      <c r="C89" s="566"/>
      <c r="D89" s="566"/>
      <c r="E89" s="566"/>
      <c r="F89" s="566"/>
      <c r="G89" s="566"/>
      <c r="H89" s="566"/>
      <c r="I89" s="566"/>
      <c r="J89" s="567"/>
    </row>
    <row r="90" spans="1:10" hidden="1" x14ac:dyDescent="0.25">
      <c r="A90" s="1" t="s">
        <v>24</v>
      </c>
      <c r="B90" s="1" t="s">
        <v>67</v>
      </c>
      <c r="C90" s="41"/>
      <c r="D90" s="41"/>
      <c r="E90" s="41"/>
      <c r="F90" s="41"/>
      <c r="G90" s="41"/>
      <c r="H90" s="41"/>
      <c r="I90" s="41"/>
      <c r="J90" s="2"/>
    </row>
    <row r="91" spans="1:10" hidden="1" x14ac:dyDescent="0.25">
      <c r="A91" s="1" t="s">
        <v>25</v>
      </c>
      <c r="B91" s="1"/>
      <c r="C91" s="41"/>
      <c r="D91" s="41"/>
      <c r="E91" s="41"/>
      <c r="F91" s="41"/>
      <c r="G91" s="41"/>
      <c r="H91" s="41"/>
      <c r="I91" s="41"/>
      <c r="J91" s="2"/>
    </row>
    <row r="92" spans="1:10" hidden="1" x14ac:dyDescent="0.25">
      <c r="A92" s="1" t="s">
        <v>26</v>
      </c>
      <c r="B92" s="1"/>
      <c r="C92" s="41"/>
      <c r="D92" s="41"/>
      <c r="E92" s="41"/>
      <c r="F92" s="41"/>
      <c r="G92" s="41"/>
      <c r="H92" s="41"/>
      <c r="I92" s="41"/>
      <c r="J92" s="2"/>
    </row>
    <row r="93" spans="1:10" x14ac:dyDescent="0.25">
      <c r="A93" s="1" t="s">
        <v>205</v>
      </c>
      <c r="B93" s="565"/>
      <c r="C93" s="566"/>
      <c r="D93" s="566"/>
      <c r="E93" s="566"/>
      <c r="F93" s="566"/>
      <c r="G93" s="566"/>
      <c r="H93" s="566"/>
      <c r="I93" s="566"/>
      <c r="J93" s="567"/>
    </row>
    <row r="94" spans="1:10" hidden="1" x14ac:dyDescent="0.25">
      <c r="A94" s="1" t="s">
        <v>35</v>
      </c>
      <c r="B94" s="1"/>
      <c r="C94" s="41"/>
      <c r="D94" s="41"/>
      <c r="E94" s="41"/>
      <c r="F94" s="41"/>
      <c r="G94" s="41"/>
      <c r="H94" s="41"/>
      <c r="I94" s="41"/>
      <c r="J94" s="2"/>
    </row>
    <row r="95" spans="1:10" hidden="1" x14ac:dyDescent="0.25">
      <c r="A95" s="1" t="s">
        <v>34</v>
      </c>
      <c r="B95" s="1"/>
      <c r="C95" s="41"/>
      <c r="D95" s="41"/>
      <c r="E95" s="41"/>
      <c r="F95" s="41"/>
      <c r="G95" s="41"/>
      <c r="H95" s="41"/>
      <c r="I95" s="41"/>
      <c r="J95" s="2"/>
    </row>
    <row r="96" spans="1:10" x14ac:dyDescent="0.25">
      <c r="A96" s="1" t="s">
        <v>206</v>
      </c>
      <c r="B96" s="577">
        <v>38718</v>
      </c>
      <c r="C96" s="578"/>
      <c r="D96" s="578"/>
      <c r="E96" s="578"/>
      <c r="F96" s="578"/>
      <c r="G96" s="578"/>
      <c r="H96" s="578"/>
      <c r="I96" s="578"/>
      <c r="J96" s="579"/>
    </row>
    <row r="97" spans="1:10" x14ac:dyDescent="0.25">
      <c r="A97" s="1" t="s">
        <v>207</v>
      </c>
      <c r="B97" s="577">
        <v>40625</v>
      </c>
      <c r="C97" s="578"/>
      <c r="D97" s="578"/>
      <c r="E97" s="578"/>
      <c r="F97" s="578"/>
      <c r="G97" s="578"/>
      <c r="H97" s="578"/>
      <c r="I97" s="578"/>
      <c r="J97" s="579"/>
    </row>
    <row r="98" spans="1:10" x14ac:dyDescent="0.25">
      <c r="A98" s="1" t="s">
        <v>38</v>
      </c>
      <c r="B98" s="568">
        <f>((B97-B96)/365)-1</f>
        <v>4.2246575342465755</v>
      </c>
      <c r="C98" s="569"/>
      <c r="D98" s="569"/>
      <c r="E98" s="569"/>
      <c r="F98" s="569"/>
      <c r="G98" s="569"/>
      <c r="H98" s="569"/>
      <c r="I98" s="569"/>
      <c r="J98" s="570"/>
    </row>
    <row r="99" spans="1:10" ht="15.75" thickBot="1" x14ac:dyDescent="0.3">
      <c r="A99" s="4" t="s">
        <v>42</v>
      </c>
      <c r="B99" s="571">
        <v>1</v>
      </c>
      <c r="C99" s="572"/>
      <c r="D99" s="572"/>
      <c r="E99" s="572"/>
      <c r="F99" s="572"/>
      <c r="G99" s="572"/>
      <c r="H99" s="572"/>
      <c r="I99" s="572"/>
      <c r="J99" s="573"/>
    </row>
    <row r="100" spans="1:10" ht="15.75" thickBot="1" x14ac:dyDescent="0.3">
      <c r="A100" s="8" t="s">
        <v>41</v>
      </c>
      <c r="B100" s="580">
        <f>B98</f>
        <v>4.2246575342465755</v>
      </c>
      <c r="C100" s="580"/>
      <c r="D100" s="580"/>
      <c r="E100" s="580"/>
      <c r="F100" s="580"/>
      <c r="G100" s="580"/>
      <c r="H100" s="580"/>
      <c r="I100" s="580"/>
      <c r="J100" s="581"/>
    </row>
    <row r="101" spans="1:10" ht="15.75" thickBot="1" x14ac:dyDescent="0.3"/>
    <row r="102" spans="1:10" x14ac:dyDescent="0.25">
      <c r="A102" s="9" t="s">
        <v>228</v>
      </c>
      <c r="B102" s="574" t="s">
        <v>28</v>
      </c>
      <c r="C102" s="575"/>
      <c r="D102" s="575"/>
      <c r="E102" s="575"/>
      <c r="F102" s="575"/>
      <c r="G102" s="575"/>
      <c r="H102" s="575"/>
      <c r="I102" s="575"/>
      <c r="J102" s="576"/>
    </row>
    <row r="103" spans="1:10" x14ac:dyDescent="0.25">
      <c r="A103" s="3" t="s">
        <v>23</v>
      </c>
      <c r="B103" s="565" t="s">
        <v>69</v>
      </c>
      <c r="C103" s="566"/>
      <c r="D103" s="566"/>
      <c r="E103" s="566"/>
      <c r="F103" s="566"/>
      <c r="G103" s="566"/>
      <c r="H103" s="566"/>
      <c r="I103" s="566"/>
      <c r="J103" s="567"/>
    </row>
    <row r="104" spans="1:10" hidden="1" x14ac:dyDescent="0.25">
      <c r="A104" s="1" t="s">
        <v>24</v>
      </c>
      <c r="B104" s="1" t="s">
        <v>70</v>
      </c>
      <c r="C104" s="41"/>
      <c r="D104" s="41"/>
      <c r="E104" s="41"/>
      <c r="F104" s="41"/>
      <c r="G104" s="41"/>
      <c r="H104" s="41"/>
      <c r="I104" s="41"/>
      <c r="J104" s="2"/>
    </row>
    <row r="105" spans="1:10" hidden="1" x14ac:dyDescent="0.25">
      <c r="A105" s="1" t="s">
        <v>25</v>
      </c>
      <c r="B105" s="1"/>
      <c r="C105" s="41"/>
      <c r="D105" s="41"/>
      <c r="E105" s="41"/>
      <c r="F105" s="41"/>
      <c r="G105" s="41"/>
      <c r="H105" s="41"/>
      <c r="I105" s="41"/>
      <c r="J105" s="2"/>
    </row>
    <row r="106" spans="1:10" hidden="1" x14ac:dyDescent="0.25">
      <c r="A106" s="1" t="s">
        <v>26</v>
      </c>
      <c r="B106" s="1" t="s">
        <v>68</v>
      </c>
      <c r="C106" s="41"/>
      <c r="D106" s="41"/>
      <c r="E106" s="41"/>
      <c r="F106" s="41"/>
      <c r="G106" s="41"/>
      <c r="H106" s="41"/>
      <c r="I106" s="41"/>
      <c r="J106" s="2"/>
    </row>
    <row r="107" spans="1:10" x14ac:dyDescent="0.25">
      <c r="A107" s="1" t="s">
        <v>205</v>
      </c>
      <c r="B107" s="565"/>
      <c r="C107" s="566"/>
      <c r="D107" s="566"/>
      <c r="E107" s="566"/>
      <c r="F107" s="566"/>
      <c r="G107" s="566"/>
      <c r="H107" s="566"/>
      <c r="I107" s="566"/>
      <c r="J107" s="567"/>
    </row>
    <row r="108" spans="1:10" hidden="1" x14ac:dyDescent="0.25">
      <c r="A108" s="1" t="s">
        <v>35</v>
      </c>
      <c r="B108" s="1"/>
      <c r="C108" s="41"/>
      <c r="D108" s="41"/>
      <c r="E108" s="41"/>
      <c r="F108" s="41"/>
      <c r="G108" s="41"/>
      <c r="H108" s="41"/>
      <c r="I108" s="41"/>
      <c r="J108" s="2"/>
    </row>
    <row r="109" spans="1:10" hidden="1" x14ac:dyDescent="0.25">
      <c r="A109" s="1" t="s">
        <v>34</v>
      </c>
      <c r="B109" s="1"/>
      <c r="C109" s="41"/>
      <c r="D109" s="41"/>
      <c r="E109" s="41"/>
      <c r="F109" s="41"/>
      <c r="G109" s="41"/>
      <c r="H109" s="41"/>
      <c r="I109" s="41"/>
      <c r="J109" s="2"/>
    </row>
    <row r="110" spans="1:10" x14ac:dyDescent="0.25">
      <c r="A110" s="1" t="s">
        <v>208</v>
      </c>
      <c r="B110" s="577">
        <v>36189</v>
      </c>
      <c r="C110" s="578"/>
      <c r="D110" s="578"/>
      <c r="E110" s="578"/>
      <c r="F110" s="578"/>
      <c r="G110" s="578"/>
      <c r="H110" s="578"/>
      <c r="I110" s="578"/>
      <c r="J110" s="579"/>
    </row>
    <row r="111" spans="1:10" x14ac:dyDescent="0.25">
      <c r="A111" s="1" t="s">
        <v>209</v>
      </c>
      <c r="B111" s="577">
        <v>40785</v>
      </c>
      <c r="C111" s="578"/>
      <c r="D111" s="578"/>
      <c r="E111" s="578"/>
      <c r="F111" s="578"/>
      <c r="G111" s="578"/>
      <c r="H111" s="578"/>
      <c r="I111" s="578"/>
      <c r="J111" s="579"/>
    </row>
    <row r="112" spans="1:10" x14ac:dyDescent="0.25">
      <c r="A112" s="1" t="s">
        <v>38</v>
      </c>
      <c r="B112" s="568">
        <f>((B111-B110)/365)-6</f>
        <v>6.5917808219178085</v>
      </c>
      <c r="C112" s="569"/>
      <c r="D112" s="569"/>
      <c r="E112" s="569"/>
      <c r="F112" s="569"/>
      <c r="G112" s="569"/>
      <c r="H112" s="569"/>
      <c r="I112" s="569"/>
      <c r="J112" s="570"/>
    </row>
    <row r="113" spans="1:10" ht="15.75" thickBot="1" x14ac:dyDescent="0.3">
      <c r="A113" s="4" t="s">
        <v>42</v>
      </c>
      <c r="B113" s="571">
        <v>1</v>
      </c>
      <c r="C113" s="572"/>
      <c r="D113" s="572"/>
      <c r="E113" s="572"/>
      <c r="F113" s="572"/>
      <c r="G113" s="572"/>
      <c r="H113" s="572"/>
      <c r="I113" s="572"/>
      <c r="J113" s="573"/>
    </row>
    <row r="114" spans="1:10" ht="15.75" thickBot="1" x14ac:dyDescent="0.3">
      <c r="A114" s="8" t="s">
        <v>41</v>
      </c>
      <c r="B114" s="594">
        <f>MIN(SUMIFS(B112:J112,B113:J113,1),5)</f>
        <v>5</v>
      </c>
      <c r="C114" s="594"/>
      <c r="D114" s="594"/>
      <c r="E114" s="594"/>
      <c r="F114" s="594"/>
      <c r="G114" s="594"/>
      <c r="H114" s="594"/>
      <c r="I114" s="594"/>
      <c r="J114" s="595"/>
    </row>
  </sheetData>
  <mergeCells count="71">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D33:E33"/>
    <mergeCell ref="D37:E37"/>
    <mergeCell ref="D40:E40"/>
    <mergeCell ref="F32:J32"/>
    <mergeCell ref="F33:J33"/>
    <mergeCell ref="F37:J37"/>
    <mergeCell ref="F40:J40"/>
    <mergeCell ref="D32:E32"/>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x14ac:dyDescent="0.25"/>
  <cols>
    <col min="1" max="1" width="39.7109375" customWidth="1"/>
    <col min="2" max="2" width="16.140625" customWidth="1"/>
    <col min="3" max="3" width="13.140625" customWidth="1"/>
  </cols>
  <sheetData>
    <row r="6" spans="1:10" x14ac:dyDescent="0.25">
      <c r="A6" s="391" t="s">
        <v>201</v>
      </c>
      <c r="B6" s="391"/>
      <c r="C6" s="391"/>
      <c r="D6" s="391"/>
      <c r="E6" s="391"/>
      <c r="F6" s="391"/>
      <c r="G6" s="391"/>
      <c r="H6" s="391"/>
      <c r="I6" s="391"/>
      <c r="J6" s="391"/>
    </row>
    <row r="7" spans="1:10" x14ac:dyDescent="0.25">
      <c r="A7" s="391" t="s">
        <v>202</v>
      </c>
      <c r="B7" s="391"/>
      <c r="C7" s="391"/>
      <c r="D7" s="391"/>
      <c r="E7" s="391"/>
      <c r="F7" s="391"/>
      <c r="G7" s="391"/>
      <c r="H7" s="391"/>
      <c r="I7" s="391"/>
      <c r="J7" s="391"/>
    </row>
    <row r="8" spans="1:10" x14ac:dyDescent="0.25">
      <c r="A8" s="391" t="s">
        <v>203</v>
      </c>
      <c r="B8" s="391"/>
      <c r="C8" s="391"/>
      <c r="D8" s="391"/>
      <c r="E8" s="391"/>
      <c r="F8" s="391"/>
      <c r="G8" s="391"/>
      <c r="H8" s="391"/>
      <c r="I8" s="391"/>
      <c r="J8" s="391"/>
    </row>
    <row r="9" spans="1:10" x14ac:dyDescent="0.25">
      <c r="A9" s="391" t="s">
        <v>473</v>
      </c>
      <c r="B9" s="391"/>
      <c r="C9" s="391"/>
      <c r="D9" s="391"/>
      <c r="E9" s="391"/>
      <c r="F9" s="391"/>
      <c r="G9" s="391"/>
      <c r="H9" s="391"/>
      <c r="I9" s="391"/>
      <c r="J9" s="391"/>
    </row>
    <row r="11" spans="1:10" x14ac:dyDescent="0.25">
      <c r="A11" s="12" t="s">
        <v>13</v>
      </c>
      <c r="B11" s="597" t="s">
        <v>85</v>
      </c>
      <c r="C11" s="597"/>
      <c r="D11" s="597"/>
      <c r="E11" s="597"/>
      <c r="F11" s="597"/>
      <c r="G11" s="597"/>
      <c r="H11" s="597"/>
      <c r="I11" s="597"/>
      <c r="J11" s="597"/>
    </row>
    <row r="12" spans="1:10" x14ac:dyDescent="0.25">
      <c r="A12" s="12" t="s">
        <v>43</v>
      </c>
      <c r="B12" s="56">
        <f>SUM(B26,B40,B54,B68,B82,B96,B110)</f>
        <v>27.019178082191779</v>
      </c>
      <c r="C12" s="16"/>
      <c r="D12" s="16"/>
      <c r="E12" s="16"/>
      <c r="F12" s="16"/>
      <c r="G12" s="16"/>
      <c r="H12" s="16"/>
      <c r="I12" s="16"/>
      <c r="J12" s="16"/>
    </row>
    <row r="13" spans="1:10" ht="15.75" thickBot="1" x14ac:dyDescent="0.3"/>
    <row r="14" spans="1:10" x14ac:dyDescent="0.25">
      <c r="A14" s="9" t="s">
        <v>221</v>
      </c>
      <c r="B14" s="51" t="s">
        <v>28</v>
      </c>
      <c r="C14" s="51" t="s">
        <v>29</v>
      </c>
      <c r="D14" s="51" t="s">
        <v>30</v>
      </c>
      <c r="E14" s="51" t="s">
        <v>31</v>
      </c>
      <c r="F14" s="51"/>
      <c r="G14" s="51"/>
      <c r="H14" s="51"/>
      <c r="I14" s="51"/>
      <c r="J14" s="52"/>
    </row>
    <row r="15" spans="1:10" x14ac:dyDescent="0.25">
      <c r="A15" s="20" t="s">
        <v>23</v>
      </c>
      <c r="B15" s="591" t="s">
        <v>89</v>
      </c>
      <c r="C15" s="566"/>
      <c r="D15" s="566"/>
      <c r="E15" s="592"/>
      <c r="F15" s="38"/>
      <c r="G15" s="41"/>
      <c r="H15" s="41"/>
      <c r="I15" s="41"/>
      <c r="J15" s="2"/>
    </row>
    <row r="16" spans="1:10" hidden="1" x14ac:dyDescent="0.25">
      <c r="A16" s="20" t="s">
        <v>24</v>
      </c>
      <c r="B16" s="41" t="s">
        <v>95</v>
      </c>
      <c r="C16" s="41" t="s">
        <v>95</v>
      </c>
      <c r="D16" s="41" t="s">
        <v>95</v>
      </c>
      <c r="E16" s="41" t="s">
        <v>95</v>
      </c>
      <c r="F16" s="38"/>
      <c r="G16" s="41"/>
      <c r="H16" s="41"/>
      <c r="I16" s="41"/>
      <c r="J16" s="2"/>
    </row>
    <row r="17" spans="1:10" hidden="1" x14ac:dyDescent="0.25">
      <c r="A17" s="20" t="s">
        <v>25</v>
      </c>
      <c r="B17" s="41" t="s">
        <v>93</v>
      </c>
      <c r="C17" s="41" t="s">
        <v>87</v>
      </c>
      <c r="D17" s="41" t="s">
        <v>94</v>
      </c>
      <c r="E17" s="41" t="s">
        <v>92</v>
      </c>
      <c r="F17" s="38"/>
      <c r="G17" s="41"/>
      <c r="H17" s="41"/>
      <c r="I17" s="41"/>
      <c r="J17" s="2"/>
    </row>
    <row r="18" spans="1:10" hidden="1" x14ac:dyDescent="0.25">
      <c r="A18" s="20" t="s">
        <v>26</v>
      </c>
      <c r="B18" s="41" t="s">
        <v>88</v>
      </c>
      <c r="C18" s="41" t="s">
        <v>88</v>
      </c>
      <c r="D18" s="41" t="s">
        <v>88</v>
      </c>
      <c r="E18" s="41" t="s">
        <v>88</v>
      </c>
      <c r="F18" s="38"/>
      <c r="G18" s="41"/>
      <c r="H18" s="41"/>
      <c r="I18" s="41"/>
      <c r="J18" s="2"/>
    </row>
    <row r="19" spans="1:10" x14ac:dyDescent="0.25">
      <c r="A19" s="20" t="s">
        <v>205</v>
      </c>
      <c r="B19" s="41"/>
      <c r="C19" s="41"/>
      <c r="D19" s="41"/>
      <c r="E19" s="41"/>
      <c r="F19" s="38"/>
      <c r="G19" s="41"/>
      <c r="H19" s="41"/>
      <c r="I19" s="41"/>
      <c r="J19" s="2"/>
    </row>
    <row r="20" spans="1:10" hidden="1" x14ac:dyDescent="0.25">
      <c r="A20" s="20" t="s">
        <v>35</v>
      </c>
      <c r="B20" s="41"/>
      <c r="C20" s="41"/>
      <c r="D20" s="41"/>
      <c r="E20" s="41"/>
      <c r="F20" s="38"/>
      <c r="G20" s="41"/>
      <c r="H20" s="41"/>
      <c r="I20" s="41"/>
      <c r="J20" s="2"/>
    </row>
    <row r="21" spans="1:10" hidden="1" x14ac:dyDescent="0.25">
      <c r="A21" s="20" t="s">
        <v>34</v>
      </c>
      <c r="B21" s="41"/>
      <c r="C21" s="41"/>
      <c r="D21" s="41"/>
      <c r="E21" s="41"/>
      <c r="F21" s="38"/>
      <c r="G21" s="41"/>
      <c r="H21" s="41"/>
      <c r="I21" s="41"/>
      <c r="J21" s="2"/>
    </row>
    <row r="22" spans="1:10" x14ac:dyDescent="0.25">
      <c r="A22" s="20" t="s">
        <v>206</v>
      </c>
      <c r="B22" s="42">
        <v>39990</v>
      </c>
      <c r="C22" s="42">
        <v>40909</v>
      </c>
      <c r="D22" s="42">
        <v>41239</v>
      </c>
      <c r="E22" s="42">
        <v>38353</v>
      </c>
      <c r="F22" s="38"/>
      <c r="G22" s="41"/>
      <c r="H22" s="41"/>
      <c r="I22" s="41"/>
      <c r="J22" s="2"/>
    </row>
    <row r="23" spans="1:10" x14ac:dyDescent="0.25">
      <c r="A23" s="20" t="s">
        <v>209</v>
      </c>
      <c r="B23" s="42">
        <v>40908</v>
      </c>
      <c r="C23" s="42">
        <v>41229</v>
      </c>
      <c r="D23" s="42">
        <v>41656</v>
      </c>
      <c r="E23" s="42">
        <v>39989</v>
      </c>
      <c r="F23" s="38"/>
      <c r="G23" s="41"/>
      <c r="H23" s="41"/>
      <c r="I23" s="41"/>
      <c r="J23" s="2"/>
    </row>
    <row r="24" spans="1:10" x14ac:dyDescent="0.25">
      <c r="A24" s="20" t="s">
        <v>38</v>
      </c>
      <c r="B24" s="14">
        <f>(B23-B22)/365</f>
        <v>2.515068493150685</v>
      </c>
      <c r="C24" s="14">
        <f>(C23-C22)/365</f>
        <v>0.87671232876712324</v>
      </c>
      <c r="D24" s="14">
        <f>(D23-D22)/365</f>
        <v>1.1424657534246576</v>
      </c>
      <c r="E24" s="14">
        <f>(E23-E22)/365</f>
        <v>4.4821917808219176</v>
      </c>
      <c r="F24" s="38"/>
      <c r="G24" s="41"/>
      <c r="H24" s="41"/>
      <c r="I24" s="41"/>
      <c r="J24" s="2"/>
    </row>
    <row r="25" spans="1:10" ht="15.75" thickBot="1" x14ac:dyDescent="0.3">
      <c r="A25" s="4" t="s">
        <v>42</v>
      </c>
      <c r="B25" s="10">
        <v>1</v>
      </c>
      <c r="C25" s="10">
        <v>1</v>
      </c>
      <c r="D25" s="10">
        <v>1</v>
      </c>
      <c r="E25" s="10">
        <v>1</v>
      </c>
      <c r="F25" s="10"/>
      <c r="G25" s="10"/>
      <c r="H25" s="10"/>
      <c r="I25" s="10"/>
      <c r="J25" s="11"/>
    </row>
    <row r="26" spans="1:10" ht="15.75" thickBot="1" x14ac:dyDescent="0.3">
      <c r="A26" s="8" t="s">
        <v>41</v>
      </c>
      <c r="B26" s="594">
        <f>MIN(SUMIFS(B24:J24,B25:J25,1),5)</f>
        <v>5</v>
      </c>
      <c r="C26" s="594"/>
      <c r="D26" s="594"/>
      <c r="E26" s="594"/>
      <c r="F26" s="594"/>
      <c r="G26" s="594"/>
      <c r="H26" s="594"/>
      <c r="I26" s="594"/>
      <c r="J26" s="595"/>
    </row>
    <row r="27" spans="1:10" ht="15.75" thickBot="1" x14ac:dyDescent="0.3"/>
    <row r="28" spans="1:10" x14ac:dyDescent="0.25">
      <c r="A28" s="9" t="s">
        <v>223</v>
      </c>
      <c r="B28" s="574" t="s">
        <v>28</v>
      </c>
      <c r="C28" s="593"/>
      <c r="D28" s="51" t="s">
        <v>29</v>
      </c>
      <c r="E28" s="51"/>
      <c r="F28" s="51"/>
      <c r="G28" s="51"/>
      <c r="H28" s="51"/>
      <c r="I28" s="51"/>
      <c r="J28" s="52"/>
    </row>
    <row r="29" spans="1:10" x14ac:dyDescent="0.25">
      <c r="A29" s="1" t="s">
        <v>23</v>
      </c>
      <c r="B29" s="591" t="s">
        <v>91</v>
      </c>
      <c r="C29" s="566"/>
      <c r="D29" s="592"/>
      <c r="E29" s="41"/>
      <c r="F29" s="41"/>
      <c r="G29" s="41"/>
      <c r="H29" s="41"/>
      <c r="I29" s="41"/>
      <c r="J29" s="2"/>
    </row>
    <row r="30" spans="1:10" hidden="1" x14ac:dyDescent="0.25">
      <c r="A30" s="1" t="s">
        <v>24</v>
      </c>
      <c r="B30" s="41" t="s">
        <v>95</v>
      </c>
      <c r="C30" s="41"/>
      <c r="D30" s="41" t="s">
        <v>95</v>
      </c>
      <c r="E30" s="41"/>
      <c r="F30" s="41"/>
      <c r="G30" s="41"/>
      <c r="H30" s="41"/>
      <c r="I30" s="41"/>
      <c r="J30" s="2"/>
    </row>
    <row r="31" spans="1:10" hidden="1" x14ac:dyDescent="0.25">
      <c r="A31" s="1" t="s">
        <v>25</v>
      </c>
      <c r="B31" s="41" t="s">
        <v>87</v>
      </c>
      <c r="C31" s="41"/>
      <c r="D31" s="41" t="s">
        <v>94</v>
      </c>
      <c r="E31" s="41"/>
      <c r="F31" s="41"/>
      <c r="G31" s="41"/>
      <c r="H31" s="41"/>
      <c r="I31" s="41"/>
      <c r="J31" s="2"/>
    </row>
    <row r="32" spans="1:10" hidden="1" x14ac:dyDescent="0.25">
      <c r="A32" s="1" t="s">
        <v>26</v>
      </c>
      <c r="B32" s="41" t="s">
        <v>90</v>
      </c>
      <c r="C32" s="41"/>
      <c r="D32" s="41" t="s">
        <v>90</v>
      </c>
      <c r="E32" s="41"/>
      <c r="F32" s="41"/>
      <c r="G32" s="41"/>
      <c r="H32" s="41"/>
      <c r="I32" s="41"/>
      <c r="J32" s="2"/>
    </row>
    <row r="33" spans="1:10" x14ac:dyDescent="0.25">
      <c r="A33" s="1" t="s">
        <v>205</v>
      </c>
      <c r="B33" s="591"/>
      <c r="C33" s="592"/>
      <c r="D33" s="41"/>
      <c r="E33" s="41"/>
      <c r="F33" s="41"/>
      <c r="G33" s="41"/>
      <c r="H33" s="41"/>
      <c r="I33" s="41"/>
      <c r="J33" s="2"/>
    </row>
    <row r="34" spans="1:10" hidden="1" x14ac:dyDescent="0.25">
      <c r="A34" s="1" t="s">
        <v>35</v>
      </c>
      <c r="B34" s="41"/>
      <c r="C34" s="41"/>
      <c r="D34" s="41"/>
      <c r="E34" s="41"/>
      <c r="F34" s="41"/>
      <c r="G34" s="41"/>
      <c r="H34" s="41"/>
      <c r="I34" s="41"/>
      <c r="J34" s="2"/>
    </row>
    <row r="35" spans="1:10" hidden="1" x14ac:dyDescent="0.25">
      <c r="A35" s="1" t="s">
        <v>34</v>
      </c>
      <c r="B35" s="41"/>
      <c r="C35" s="41"/>
      <c r="D35" s="41"/>
      <c r="E35" s="41"/>
      <c r="F35" s="41"/>
      <c r="G35" s="41"/>
      <c r="H35" s="41"/>
      <c r="I35" s="41"/>
      <c r="J35" s="2"/>
    </row>
    <row r="36" spans="1:10" x14ac:dyDescent="0.25">
      <c r="A36" s="1" t="s">
        <v>206</v>
      </c>
      <c r="B36" s="589">
        <v>40909</v>
      </c>
      <c r="C36" s="590"/>
      <c r="D36" s="42">
        <v>41239</v>
      </c>
      <c r="E36" s="41"/>
      <c r="F36" s="41"/>
      <c r="G36" s="41"/>
      <c r="H36" s="41"/>
      <c r="I36" s="41"/>
      <c r="J36" s="2"/>
    </row>
    <row r="37" spans="1:10" x14ac:dyDescent="0.25">
      <c r="A37" s="1" t="s">
        <v>209</v>
      </c>
      <c r="B37" s="589">
        <v>41229</v>
      </c>
      <c r="C37" s="590"/>
      <c r="D37" s="42">
        <v>41656</v>
      </c>
      <c r="E37" s="41"/>
      <c r="F37" s="41"/>
      <c r="G37" s="41"/>
      <c r="H37" s="41"/>
      <c r="I37" s="41"/>
      <c r="J37" s="2"/>
    </row>
    <row r="38" spans="1:10" x14ac:dyDescent="0.25">
      <c r="A38" s="1" t="s">
        <v>38</v>
      </c>
      <c r="B38" s="563">
        <f>(B37-B36)/365</f>
        <v>0.87671232876712324</v>
      </c>
      <c r="C38" s="564"/>
      <c r="D38" s="14">
        <f>(D37-D36)/365</f>
        <v>1.1424657534246576</v>
      </c>
      <c r="E38" s="41"/>
      <c r="F38" s="41"/>
      <c r="G38" s="41"/>
      <c r="H38" s="41"/>
      <c r="I38" s="41"/>
      <c r="J38" s="2"/>
    </row>
    <row r="39" spans="1:10" ht="15.75" thickBot="1" x14ac:dyDescent="0.3">
      <c r="A39" s="4" t="s">
        <v>42</v>
      </c>
      <c r="B39" s="571">
        <v>1</v>
      </c>
      <c r="C39" s="596"/>
      <c r="D39" s="10">
        <v>1</v>
      </c>
      <c r="E39" s="10"/>
      <c r="F39" s="10"/>
      <c r="G39" s="10"/>
      <c r="H39" s="10"/>
      <c r="I39" s="10"/>
      <c r="J39" s="11"/>
    </row>
    <row r="40" spans="1:10" ht="15.75" thickBot="1" x14ac:dyDescent="0.3">
      <c r="A40" s="8" t="s">
        <v>41</v>
      </c>
      <c r="B40" s="580">
        <f>B38+D38</f>
        <v>2.0191780821917806</v>
      </c>
      <c r="C40" s="594"/>
      <c r="D40" s="594"/>
      <c r="E40" s="594"/>
      <c r="F40" s="594"/>
      <c r="G40" s="594"/>
      <c r="H40" s="594"/>
      <c r="I40" s="594"/>
      <c r="J40" s="595"/>
    </row>
    <row r="41" spans="1:10" ht="15.75" thickBot="1" x14ac:dyDescent="0.3"/>
    <row r="42" spans="1:10" x14ac:dyDescent="0.25">
      <c r="A42" s="9" t="s">
        <v>193</v>
      </c>
      <c r="B42" s="574" t="s">
        <v>28</v>
      </c>
      <c r="C42" s="593"/>
      <c r="D42" s="51" t="s">
        <v>29</v>
      </c>
      <c r="E42" s="51"/>
      <c r="F42" s="51"/>
      <c r="G42" s="51"/>
      <c r="H42" s="51"/>
      <c r="I42" s="51"/>
      <c r="J42" s="52"/>
    </row>
    <row r="43" spans="1:10" x14ac:dyDescent="0.25">
      <c r="A43" s="1" t="s">
        <v>23</v>
      </c>
      <c r="B43" s="591" t="s">
        <v>91</v>
      </c>
      <c r="C43" s="566"/>
      <c r="D43" s="592"/>
      <c r="E43" s="41"/>
      <c r="F43" s="41"/>
      <c r="G43" s="41"/>
      <c r="H43" s="41"/>
      <c r="I43" s="41"/>
      <c r="J43" s="2"/>
    </row>
    <row r="44" spans="1:10" hidden="1" x14ac:dyDescent="0.25">
      <c r="A44" s="1" t="s">
        <v>24</v>
      </c>
      <c r="B44" s="41" t="s">
        <v>95</v>
      </c>
      <c r="C44" s="41"/>
      <c r="D44" s="41" t="s">
        <v>95</v>
      </c>
      <c r="E44" s="41"/>
      <c r="F44" s="41"/>
      <c r="G44" s="41"/>
      <c r="H44" s="41"/>
      <c r="I44" s="41"/>
      <c r="J44" s="2"/>
    </row>
    <row r="45" spans="1:10" hidden="1" x14ac:dyDescent="0.25">
      <c r="A45" s="1" t="s">
        <v>25</v>
      </c>
      <c r="B45" s="41" t="s">
        <v>93</v>
      </c>
      <c r="C45" s="41"/>
      <c r="D45" s="41" t="s">
        <v>87</v>
      </c>
      <c r="E45" s="41"/>
      <c r="F45" s="41"/>
      <c r="G45" s="41"/>
      <c r="H45" s="41"/>
      <c r="I45" s="41"/>
      <c r="J45" s="2"/>
    </row>
    <row r="46" spans="1:10" hidden="1" x14ac:dyDescent="0.25">
      <c r="A46" s="1" t="s">
        <v>26</v>
      </c>
      <c r="B46" s="41"/>
      <c r="C46" s="41"/>
      <c r="D46" s="41"/>
      <c r="E46" s="41"/>
      <c r="F46" s="41"/>
      <c r="G46" s="41"/>
      <c r="H46" s="41"/>
      <c r="I46" s="41"/>
      <c r="J46" s="2"/>
    </row>
    <row r="47" spans="1:10" x14ac:dyDescent="0.25">
      <c r="A47" s="1" t="s">
        <v>205</v>
      </c>
      <c r="B47" s="591" t="s">
        <v>192</v>
      </c>
      <c r="C47" s="592"/>
      <c r="D47" s="41" t="s">
        <v>192</v>
      </c>
      <c r="E47" s="41"/>
      <c r="F47" s="41"/>
      <c r="G47" s="41"/>
      <c r="H47" s="41"/>
      <c r="I47" s="41"/>
      <c r="J47" s="2"/>
    </row>
    <row r="48" spans="1:10" hidden="1" x14ac:dyDescent="0.25">
      <c r="A48" s="1" t="s">
        <v>35</v>
      </c>
      <c r="B48" s="41"/>
      <c r="C48" s="41"/>
      <c r="D48" s="41"/>
      <c r="E48" s="41"/>
      <c r="F48" s="41"/>
      <c r="G48" s="41"/>
      <c r="H48" s="41"/>
      <c r="I48" s="41"/>
      <c r="J48" s="2"/>
    </row>
    <row r="49" spans="1:10" hidden="1" x14ac:dyDescent="0.25">
      <c r="A49" s="1" t="s">
        <v>34</v>
      </c>
      <c r="B49" s="41"/>
      <c r="C49" s="41"/>
      <c r="D49" s="41"/>
      <c r="E49" s="41"/>
      <c r="F49" s="41"/>
      <c r="G49" s="41"/>
      <c r="H49" s="41"/>
      <c r="I49" s="41"/>
      <c r="J49" s="2"/>
    </row>
    <row r="50" spans="1:10" x14ac:dyDescent="0.25">
      <c r="A50" s="1" t="s">
        <v>208</v>
      </c>
      <c r="B50" s="589">
        <v>39990</v>
      </c>
      <c r="C50" s="590"/>
      <c r="D50" s="42">
        <v>40700</v>
      </c>
      <c r="E50" s="41"/>
      <c r="F50" s="41"/>
      <c r="G50" s="41"/>
      <c r="H50" s="41"/>
      <c r="I50" s="41"/>
      <c r="J50" s="2"/>
    </row>
    <row r="51" spans="1:10" x14ac:dyDescent="0.25">
      <c r="A51" s="1" t="s">
        <v>209</v>
      </c>
      <c r="B51" s="589">
        <v>40699</v>
      </c>
      <c r="C51" s="590"/>
      <c r="D51" s="42">
        <v>41229</v>
      </c>
      <c r="E51" s="41"/>
      <c r="F51" s="41"/>
      <c r="G51" s="41"/>
      <c r="H51" s="41"/>
      <c r="I51" s="41"/>
      <c r="J51" s="2"/>
    </row>
    <row r="52" spans="1:10" x14ac:dyDescent="0.25">
      <c r="A52" s="1" t="s">
        <v>38</v>
      </c>
      <c r="B52" s="563">
        <f>(B51-B50)/365</f>
        <v>1.9424657534246574</v>
      </c>
      <c r="C52" s="564"/>
      <c r="D52" s="14">
        <f>(D51-D50)/365</f>
        <v>1.4493150684931506</v>
      </c>
      <c r="E52" s="41"/>
      <c r="F52" s="41"/>
      <c r="G52" s="41"/>
      <c r="H52" s="41"/>
      <c r="I52" s="41"/>
      <c r="J52" s="2"/>
    </row>
    <row r="53" spans="1:10" ht="15.75" thickBot="1" x14ac:dyDescent="0.3">
      <c r="A53" s="4" t="s">
        <v>42</v>
      </c>
      <c r="B53" s="571">
        <v>0</v>
      </c>
      <c r="C53" s="596"/>
      <c r="D53" s="10">
        <v>0</v>
      </c>
      <c r="E53" s="10"/>
      <c r="F53" s="10"/>
      <c r="G53" s="10"/>
      <c r="H53" s="10"/>
      <c r="I53" s="10"/>
      <c r="J53" s="11"/>
    </row>
    <row r="54" spans="1:10" ht="15.75" thickBot="1" x14ac:dyDescent="0.3">
      <c r="A54" s="8" t="s">
        <v>41</v>
      </c>
      <c r="B54" s="580">
        <v>0</v>
      </c>
      <c r="C54" s="594"/>
      <c r="D54" s="594"/>
      <c r="E54" s="594"/>
      <c r="F54" s="594"/>
      <c r="G54" s="594"/>
      <c r="H54" s="594"/>
      <c r="I54" s="594"/>
      <c r="J54" s="595"/>
    </row>
    <row r="55" spans="1:10" ht="15.75" thickBot="1" x14ac:dyDescent="0.3"/>
    <row r="56" spans="1:10" x14ac:dyDescent="0.25">
      <c r="A56" s="9" t="s">
        <v>226</v>
      </c>
      <c r="B56" s="574" t="s">
        <v>28</v>
      </c>
      <c r="C56" s="593"/>
      <c r="D56" s="51" t="s">
        <v>29</v>
      </c>
      <c r="E56" s="51"/>
      <c r="F56" s="51"/>
      <c r="G56" s="51"/>
      <c r="H56" s="51"/>
      <c r="I56" s="51"/>
      <c r="J56" s="52"/>
    </row>
    <row r="57" spans="1:10" x14ac:dyDescent="0.25">
      <c r="A57" s="1" t="s">
        <v>23</v>
      </c>
      <c r="B57" s="591" t="s">
        <v>256</v>
      </c>
      <c r="C57" s="566"/>
      <c r="D57" s="592"/>
      <c r="E57" s="41"/>
      <c r="F57" s="41"/>
      <c r="G57" s="41"/>
      <c r="H57" s="41"/>
      <c r="I57" s="41"/>
      <c r="J57" s="2"/>
    </row>
    <row r="58" spans="1:10" hidden="1" x14ac:dyDescent="0.25">
      <c r="A58" s="1" t="s">
        <v>24</v>
      </c>
      <c r="B58" s="41" t="s">
        <v>95</v>
      </c>
      <c r="C58" s="41"/>
      <c r="D58" s="41" t="s">
        <v>95</v>
      </c>
      <c r="E58" s="41"/>
      <c r="F58" s="41"/>
      <c r="G58" s="41"/>
      <c r="H58" s="41"/>
      <c r="I58" s="41"/>
      <c r="J58" s="2"/>
    </row>
    <row r="59" spans="1:10" hidden="1" x14ac:dyDescent="0.25">
      <c r="A59" s="1" t="s">
        <v>25</v>
      </c>
      <c r="B59" s="41" t="s">
        <v>92</v>
      </c>
      <c r="C59" s="41"/>
      <c r="D59" s="41" t="s">
        <v>94</v>
      </c>
      <c r="E59" s="41"/>
      <c r="F59" s="41"/>
      <c r="G59" s="41"/>
      <c r="H59" s="41"/>
      <c r="I59" s="41"/>
      <c r="J59" s="2"/>
    </row>
    <row r="60" spans="1:10" hidden="1" x14ac:dyDescent="0.25">
      <c r="A60" s="1" t="s">
        <v>26</v>
      </c>
      <c r="B60" s="41" t="s">
        <v>96</v>
      </c>
      <c r="C60" s="41"/>
      <c r="D60" s="41" t="s">
        <v>96</v>
      </c>
      <c r="E60" s="41"/>
      <c r="F60" s="41"/>
      <c r="G60" s="41"/>
      <c r="H60" s="41"/>
      <c r="I60" s="41"/>
      <c r="J60" s="2"/>
    </row>
    <row r="61" spans="1:10" x14ac:dyDescent="0.25">
      <c r="A61" s="1" t="s">
        <v>205</v>
      </c>
      <c r="B61" s="591" t="s">
        <v>194</v>
      </c>
      <c r="C61" s="566"/>
      <c r="D61" s="592"/>
      <c r="E61" s="41"/>
      <c r="F61" s="41"/>
      <c r="G61" s="41"/>
      <c r="H61" s="41"/>
      <c r="I61" s="41"/>
      <c r="J61" s="2"/>
    </row>
    <row r="62" spans="1:10" hidden="1" x14ac:dyDescent="0.25">
      <c r="A62" s="1" t="s">
        <v>35</v>
      </c>
      <c r="B62" s="41"/>
      <c r="C62" s="41"/>
      <c r="D62" s="41"/>
      <c r="E62" s="41"/>
      <c r="F62" s="41"/>
      <c r="G62" s="41"/>
      <c r="H62" s="41"/>
      <c r="I62" s="41"/>
      <c r="J62" s="2"/>
    </row>
    <row r="63" spans="1:10" hidden="1" x14ac:dyDescent="0.25">
      <c r="A63" s="1" t="s">
        <v>34</v>
      </c>
      <c r="B63" s="41"/>
      <c r="C63" s="41"/>
      <c r="D63" s="41"/>
      <c r="E63" s="41"/>
      <c r="F63" s="41"/>
      <c r="G63" s="41"/>
      <c r="H63" s="41"/>
      <c r="I63" s="41"/>
      <c r="J63" s="2"/>
    </row>
    <row r="64" spans="1:10" x14ac:dyDescent="0.25">
      <c r="A64" s="1" t="s">
        <v>206</v>
      </c>
      <c r="B64" s="589">
        <v>38993</v>
      </c>
      <c r="C64" s="590"/>
      <c r="D64" s="42">
        <v>41239</v>
      </c>
      <c r="E64" s="41"/>
      <c r="F64" s="41"/>
      <c r="G64" s="41"/>
      <c r="H64" s="41"/>
      <c r="I64" s="41"/>
      <c r="J64" s="2"/>
    </row>
    <row r="65" spans="1:10" x14ac:dyDescent="0.25">
      <c r="A65" s="1" t="s">
        <v>207</v>
      </c>
      <c r="B65" s="589">
        <v>41639</v>
      </c>
      <c r="C65" s="590"/>
      <c r="D65" s="42">
        <v>41656</v>
      </c>
      <c r="E65" s="41"/>
      <c r="F65" s="41"/>
      <c r="G65" s="41"/>
      <c r="H65" s="41"/>
      <c r="I65" s="41"/>
      <c r="J65" s="2"/>
    </row>
    <row r="66" spans="1:10" x14ac:dyDescent="0.25">
      <c r="A66" s="1" t="s">
        <v>38</v>
      </c>
      <c r="B66" s="563">
        <f>(B65-B64)/365</f>
        <v>7.2493150684931509</v>
      </c>
      <c r="C66" s="564"/>
      <c r="D66" s="14">
        <f>(D65-D64)/365</f>
        <v>1.1424657534246576</v>
      </c>
      <c r="E66" s="41"/>
      <c r="F66" s="41"/>
      <c r="G66" s="41"/>
      <c r="H66" s="41"/>
      <c r="I66" s="41"/>
      <c r="J66" s="2"/>
    </row>
    <row r="67" spans="1:10" ht="15.75" thickBot="1" x14ac:dyDescent="0.3">
      <c r="A67" s="4" t="s">
        <v>42</v>
      </c>
      <c r="B67" s="571">
        <v>1</v>
      </c>
      <c r="C67" s="596"/>
      <c r="D67" s="10">
        <v>1</v>
      </c>
      <c r="E67" s="10"/>
      <c r="F67" s="10"/>
      <c r="G67" s="10"/>
      <c r="H67" s="10"/>
      <c r="I67" s="10"/>
      <c r="J67" s="11"/>
    </row>
    <row r="68" spans="1:10" ht="15.75" thickBot="1" x14ac:dyDescent="0.3">
      <c r="A68" s="8" t="s">
        <v>41</v>
      </c>
      <c r="B68" s="594">
        <f>MIN(SUMIFS(B66:J66,B67:J67,1),5)</f>
        <v>5</v>
      </c>
      <c r="C68" s="594"/>
      <c r="D68" s="594"/>
      <c r="E68" s="594"/>
      <c r="F68" s="594"/>
      <c r="G68" s="594"/>
      <c r="H68" s="594"/>
      <c r="I68" s="594"/>
      <c r="J68" s="595"/>
    </row>
    <row r="69" spans="1:10" ht="15.75" thickBot="1" x14ac:dyDescent="0.3">
      <c r="A69" s="7"/>
      <c r="B69" s="24"/>
      <c r="C69" s="24"/>
      <c r="D69" s="24"/>
      <c r="E69" s="24"/>
      <c r="F69" s="24"/>
      <c r="G69" s="24"/>
      <c r="H69" s="24"/>
      <c r="I69" s="24"/>
      <c r="J69" s="25"/>
    </row>
    <row r="70" spans="1:10" x14ac:dyDescent="0.25">
      <c r="A70" s="9" t="s">
        <v>225</v>
      </c>
      <c r="B70" s="574" t="s">
        <v>28</v>
      </c>
      <c r="C70" s="593"/>
      <c r="D70" s="51" t="s">
        <v>29</v>
      </c>
      <c r="E70" s="51"/>
      <c r="F70" s="51"/>
      <c r="G70" s="51"/>
      <c r="H70" s="51"/>
      <c r="I70" s="51"/>
      <c r="J70" s="52"/>
    </row>
    <row r="71" spans="1:10" x14ac:dyDescent="0.25">
      <c r="A71" s="1" t="s">
        <v>23</v>
      </c>
      <c r="B71" s="591" t="s">
        <v>256</v>
      </c>
      <c r="C71" s="566"/>
      <c r="D71" s="592"/>
      <c r="E71" s="41"/>
      <c r="F71" s="41"/>
      <c r="G71" s="41"/>
      <c r="H71" s="41"/>
      <c r="I71" s="41"/>
      <c r="J71" s="2"/>
    </row>
    <row r="72" spans="1:10" hidden="1" x14ac:dyDescent="0.25">
      <c r="A72" s="1" t="s">
        <v>24</v>
      </c>
      <c r="B72" s="41" t="s">
        <v>95</v>
      </c>
      <c r="C72" s="41"/>
      <c r="D72" s="41" t="s">
        <v>95</v>
      </c>
      <c r="E72" s="41"/>
      <c r="F72" s="41"/>
      <c r="G72" s="41"/>
      <c r="H72" s="41"/>
      <c r="I72" s="41"/>
      <c r="J72" s="2"/>
    </row>
    <row r="73" spans="1:10" hidden="1" x14ac:dyDescent="0.25">
      <c r="A73" s="1" t="s">
        <v>25</v>
      </c>
      <c r="B73" s="41" t="s">
        <v>92</v>
      </c>
      <c r="C73" s="41"/>
      <c r="D73" s="41" t="s">
        <v>94</v>
      </c>
      <c r="E73" s="41"/>
      <c r="F73" s="41"/>
      <c r="G73" s="41"/>
      <c r="H73" s="41"/>
      <c r="I73" s="41"/>
      <c r="J73" s="2"/>
    </row>
    <row r="74" spans="1:10" hidden="1" x14ac:dyDescent="0.25">
      <c r="A74" s="1" t="s">
        <v>26</v>
      </c>
      <c r="B74" s="41" t="s">
        <v>98</v>
      </c>
      <c r="C74" s="41"/>
      <c r="D74" s="41" t="s">
        <v>98</v>
      </c>
      <c r="E74" s="41"/>
      <c r="F74" s="41"/>
      <c r="G74" s="41"/>
      <c r="H74" s="41"/>
      <c r="I74" s="41"/>
      <c r="J74" s="2"/>
    </row>
    <row r="75" spans="1:10" x14ac:dyDescent="0.25">
      <c r="A75" s="1" t="s">
        <v>205</v>
      </c>
      <c r="B75" s="591"/>
      <c r="C75" s="592"/>
      <c r="D75" s="41"/>
      <c r="E75" s="41"/>
      <c r="F75" s="41"/>
      <c r="G75" s="41"/>
      <c r="H75" s="41"/>
      <c r="I75" s="41"/>
      <c r="J75" s="2"/>
    </row>
    <row r="76" spans="1:10" hidden="1" x14ac:dyDescent="0.25">
      <c r="A76" s="1" t="s">
        <v>35</v>
      </c>
      <c r="B76" s="41"/>
      <c r="C76" s="41"/>
      <c r="D76" s="41"/>
      <c r="E76" s="41"/>
      <c r="F76" s="41"/>
      <c r="G76" s="41"/>
      <c r="H76" s="41"/>
      <c r="I76" s="41"/>
      <c r="J76" s="2"/>
    </row>
    <row r="77" spans="1:10" hidden="1" x14ac:dyDescent="0.25">
      <c r="A77" s="1" t="s">
        <v>34</v>
      </c>
      <c r="B77" s="41"/>
      <c r="C77" s="41"/>
      <c r="D77" s="41"/>
      <c r="E77" s="41"/>
      <c r="F77" s="41"/>
      <c r="G77" s="41"/>
      <c r="H77" s="41"/>
      <c r="I77" s="41"/>
      <c r="J77" s="2"/>
    </row>
    <row r="78" spans="1:10" x14ac:dyDescent="0.25">
      <c r="A78" s="1" t="s">
        <v>206</v>
      </c>
      <c r="B78" s="589">
        <v>38353</v>
      </c>
      <c r="C78" s="590"/>
      <c r="D78" s="42">
        <v>41239</v>
      </c>
      <c r="E78" s="41"/>
      <c r="F78" s="41"/>
      <c r="G78" s="41"/>
      <c r="H78" s="41"/>
      <c r="I78" s="41"/>
      <c r="J78" s="2"/>
    </row>
    <row r="79" spans="1:10" x14ac:dyDescent="0.25">
      <c r="A79" s="1" t="s">
        <v>209</v>
      </c>
      <c r="B79" s="589">
        <v>40699</v>
      </c>
      <c r="C79" s="590"/>
      <c r="D79" s="42">
        <v>41656</v>
      </c>
      <c r="E79" s="41"/>
      <c r="F79" s="41"/>
      <c r="G79" s="41"/>
      <c r="H79" s="41"/>
      <c r="I79" s="41"/>
      <c r="J79" s="2"/>
    </row>
    <row r="80" spans="1:10" x14ac:dyDescent="0.25">
      <c r="A80" s="1" t="s">
        <v>38</v>
      </c>
      <c r="B80" s="563">
        <f>(B79-B78)/365</f>
        <v>6.4273972602739722</v>
      </c>
      <c r="C80" s="564"/>
      <c r="D80" s="14">
        <f>(D79-D78)/365</f>
        <v>1.1424657534246576</v>
      </c>
      <c r="E80" s="41"/>
      <c r="F80" s="41"/>
      <c r="G80" s="41"/>
      <c r="H80" s="41"/>
      <c r="I80" s="41"/>
      <c r="J80" s="2"/>
    </row>
    <row r="81" spans="1:10" ht="15.75" thickBot="1" x14ac:dyDescent="0.3">
      <c r="A81" s="4" t="s">
        <v>42</v>
      </c>
      <c r="B81" s="571">
        <v>1</v>
      </c>
      <c r="C81" s="596"/>
      <c r="D81" s="10">
        <v>1</v>
      </c>
      <c r="E81" s="10"/>
      <c r="F81" s="10"/>
      <c r="G81" s="10"/>
      <c r="H81" s="10"/>
      <c r="I81" s="10"/>
      <c r="J81" s="11"/>
    </row>
    <row r="82" spans="1:10" ht="15.75" thickBot="1" x14ac:dyDescent="0.3">
      <c r="A82" s="8" t="s">
        <v>41</v>
      </c>
      <c r="B82" s="594">
        <f>MIN(SUMIFS(B80:J80,B81:J81,1),5)</f>
        <v>5</v>
      </c>
      <c r="C82" s="594"/>
      <c r="D82" s="594"/>
      <c r="E82" s="594"/>
      <c r="F82" s="594"/>
      <c r="G82" s="594"/>
      <c r="H82" s="594"/>
      <c r="I82" s="594"/>
      <c r="J82" s="595"/>
    </row>
    <row r="83" spans="1:10" ht="15.75" thickBot="1" x14ac:dyDescent="0.3"/>
    <row r="84" spans="1:10" x14ac:dyDescent="0.25">
      <c r="A84" s="9" t="s">
        <v>229</v>
      </c>
      <c r="B84" s="51" t="s">
        <v>28</v>
      </c>
      <c r="C84" s="51" t="s">
        <v>29</v>
      </c>
      <c r="D84" s="51" t="s">
        <v>30</v>
      </c>
      <c r="E84" s="51" t="s">
        <v>31</v>
      </c>
      <c r="F84" s="574" t="s">
        <v>32</v>
      </c>
      <c r="G84" s="593"/>
      <c r="H84" s="51" t="s">
        <v>33</v>
      </c>
      <c r="I84" s="51"/>
      <c r="J84" s="52"/>
    </row>
    <row r="85" spans="1:10" x14ac:dyDescent="0.25">
      <c r="A85" s="1" t="s">
        <v>23</v>
      </c>
      <c r="B85" s="41" t="s">
        <v>102</v>
      </c>
      <c r="C85" s="41" t="s">
        <v>100</v>
      </c>
      <c r="D85" s="41" t="s">
        <v>101</v>
      </c>
      <c r="E85" s="41" t="s">
        <v>101</v>
      </c>
      <c r="F85" s="591" t="s">
        <v>256</v>
      </c>
      <c r="G85" s="566"/>
      <c r="H85" s="592"/>
      <c r="I85" s="41"/>
      <c r="J85" s="2"/>
    </row>
    <row r="86" spans="1:10" hidden="1" x14ac:dyDescent="0.25">
      <c r="A86" s="1" t="s">
        <v>24</v>
      </c>
      <c r="B86" s="41"/>
      <c r="C86" s="41"/>
      <c r="D86" s="41"/>
      <c r="E86" s="41"/>
      <c r="F86" s="41" t="s">
        <v>95</v>
      </c>
      <c r="G86" s="41"/>
      <c r="H86" s="41" t="s">
        <v>95</v>
      </c>
      <c r="I86" s="41"/>
      <c r="J86" s="2"/>
    </row>
    <row r="87" spans="1:10" hidden="1" x14ac:dyDescent="0.25">
      <c r="A87" s="1" t="s">
        <v>25</v>
      </c>
      <c r="B87" s="41"/>
      <c r="C87" s="41"/>
      <c r="D87" s="41"/>
      <c r="E87" s="41"/>
      <c r="F87" s="41" t="s">
        <v>87</v>
      </c>
      <c r="G87" s="41"/>
      <c r="H87" s="41" t="s">
        <v>94</v>
      </c>
      <c r="I87" s="41"/>
      <c r="J87" s="2"/>
    </row>
    <row r="88" spans="1:10" hidden="1" x14ac:dyDescent="0.25">
      <c r="A88" s="1" t="s">
        <v>26</v>
      </c>
      <c r="B88" s="41" t="s">
        <v>99</v>
      </c>
      <c r="C88" s="41" t="s">
        <v>99</v>
      </c>
      <c r="D88" s="41" t="s">
        <v>99</v>
      </c>
      <c r="E88" s="41" t="s">
        <v>99</v>
      </c>
      <c r="F88" s="41" t="s">
        <v>99</v>
      </c>
      <c r="G88" s="41"/>
      <c r="H88" s="41" t="s">
        <v>99</v>
      </c>
      <c r="I88" s="41"/>
      <c r="J88" s="2"/>
    </row>
    <row r="89" spans="1:10" x14ac:dyDescent="0.25">
      <c r="A89" s="1" t="s">
        <v>210</v>
      </c>
      <c r="B89" s="41"/>
      <c r="C89" s="41"/>
      <c r="D89" s="41"/>
      <c r="E89" s="41"/>
      <c r="F89" s="591"/>
      <c r="G89" s="592"/>
      <c r="H89" s="41"/>
      <c r="I89" s="41"/>
      <c r="J89" s="2"/>
    </row>
    <row r="90" spans="1:10" hidden="1" x14ac:dyDescent="0.25">
      <c r="A90" s="1" t="s">
        <v>35</v>
      </c>
      <c r="B90" s="41"/>
      <c r="C90" s="41"/>
      <c r="D90" s="41"/>
      <c r="E90" s="41"/>
      <c r="F90" s="41"/>
      <c r="G90" s="41"/>
      <c r="H90" s="41"/>
      <c r="I90" s="41"/>
      <c r="J90" s="2"/>
    </row>
    <row r="91" spans="1:10" hidden="1" x14ac:dyDescent="0.25">
      <c r="A91" s="1" t="s">
        <v>34</v>
      </c>
      <c r="B91" s="41"/>
      <c r="C91" s="41"/>
      <c r="D91" s="41"/>
      <c r="E91" s="41"/>
      <c r="F91" s="41"/>
      <c r="G91" s="41"/>
      <c r="H91" s="41"/>
      <c r="I91" s="41"/>
      <c r="J91" s="2"/>
    </row>
    <row r="92" spans="1:10" x14ac:dyDescent="0.25">
      <c r="A92" s="1" t="s">
        <v>206</v>
      </c>
      <c r="B92" s="42">
        <v>35187</v>
      </c>
      <c r="C92" s="42">
        <v>37690</v>
      </c>
      <c r="D92" s="42">
        <v>37332</v>
      </c>
      <c r="E92" s="42">
        <v>37557</v>
      </c>
      <c r="F92" s="589">
        <v>40909</v>
      </c>
      <c r="G92" s="590"/>
      <c r="H92" s="42">
        <v>41239</v>
      </c>
      <c r="I92" s="41"/>
      <c r="J92" s="2"/>
    </row>
    <row r="93" spans="1:10" x14ac:dyDescent="0.25">
      <c r="A93" s="1" t="s">
        <v>209</v>
      </c>
      <c r="B93" s="42">
        <v>36433</v>
      </c>
      <c r="C93" s="42">
        <v>37955</v>
      </c>
      <c r="D93" s="42">
        <v>37485</v>
      </c>
      <c r="E93" s="42">
        <v>37680</v>
      </c>
      <c r="F93" s="589">
        <v>41229</v>
      </c>
      <c r="G93" s="590"/>
      <c r="H93" s="42">
        <v>41656</v>
      </c>
      <c r="I93" s="41"/>
      <c r="J93" s="2"/>
    </row>
    <row r="94" spans="1:10" x14ac:dyDescent="0.25">
      <c r="A94" s="1" t="s">
        <v>38</v>
      </c>
      <c r="B94" s="23">
        <f>(B93-B92)/365</f>
        <v>3.4136986301369863</v>
      </c>
      <c r="C94" s="23">
        <f>(C93-C92)/365</f>
        <v>0.72602739726027399</v>
      </c>
      <c r="D94" s="23">
        <f>(D93-D92)/365</f>
        <v>0.41917808219178082</v>
      </c>
      <c r="E94" s="23">
        <f>(E93-E92)/365</f>
        <v>0.33698630136986302</v>
      </c>
      <c r="F94" s="598">
        <f>(F93-F92)/365</f>
        <v>0.87671232876712324</v>
      </c>
      <c r="G94" s="599"/>
      <c r="H94" s="23">
        <f>(H93-H92)/365</f>
        <v>1.1424657534246576</v>
      </c>
      <c r="I94" s="41"/>
      <c r="J94" s="2"/>
    </row>
    <row r="95" spans="1:10" ht="15.75" thickBot="1" x14ac:dyDescent="0.3">
      <c r="A95" s="4" t="s">
        <v>42</v>
      </c>
      <c r="B95" s="10">
        <v>1</v>
      </c>
      <c r="C95" s="10">
        <v>1</v>
      </c>
      <c r="D95" s="10">
        <v>1</v>
      </c>
      <c r="E95" s="10">
        <v>1</v>
      </c>
      <c r="F95" s="571">
        <v>1</v>
      </c>
      <c r="G95" s="596"/>
      <c r="H95" s="10">
        <v>1</v>
      </c>
      <c r="I95" s="10"/>
      <c r="J95" s="11"/>
    </row>
    <row r="96" spans="1:10" ht="15.75" thickBot="1" x14ac:dyDescent="0.3">
      <c r="A96" s="8" t="s">
        <v>41</v>
      </c>
      <c r="B96" s="594">
        <f>MIN(SUMIFS(B94:J94,B95:J95,1),5)</f>
        <v>5</v>
      </c>
      <c r="C96" s="594"/>
      <c r="D96" s="594"/>
      <c r="E96" s="594"/>
      <c r="F96" s="594"/>
      <c r="G96" s="594"/>
      <c r="H96" s="594"/>
      <c r="I96" s="594"/>
      <c r="J96" s="595"/>
    </row>
    <row r="97" spans="1:10" ht="15.75" thickBot="1" x14ac:dyDescent="0.3"/>
    <row r="98" spans="1:10" x14ac:dyDescent="0.25">
      <c r="A98" s="9" t="s">
        <v>228</v>
      </c>
      <c r="B98" s="574" t="s">
        <v>28</v>
      </c>
      <c r="C98" s="575"/>
      <c r="D98" s="593"/>
      <c r="E98" s="51"/>
      <c r="F98" s="51"/>
      <c r="G98" s="51"/>
      <c r="H98" s="51"/>
      <c r="I98" s="51"/>
      <c r="J98" s="52"/>
    </row>
    <row r="99" spans="1:10" x14ac:dyDescent="0.25">
      <c r="A99" s="3" t="s">
        <v>23</v>
      </c>
      <c r="B99" s="591" t="s">
        <v>89</v>
      </c>
      <c r="C99" s="566"/>
      <c r="D99" s="592"/>
      <c r="E99" s="41"/>
      <c r="F99" s="41"/>
      <c r="G99" s="41"/>
      <c r="H99" s="41"/>
      <c r="I99" s="41"/>
      <c r="J99" s="2"/>
    </row>
    <row r="100" spans="1:10" hidden="1" x14ac:dyDescent="0.25">
      <c r="A100" s="1" t="s">
        <v>24</v>
      </c>
      <c r="B100" s="41" t="s">
        <v>95</v>
      </c>
      <c r="C100" s="41"/>
      <c r="D100" s="41"/>
      <c r="E100" s="41"/>
      <c r="F100" s="41"/>
      <c r="G100" s="41"/>
      <c r="H100" s="41"/>
      <c r="I100" s="41"/>
      <c r="J100" s="2"/>
    </row>
    <row r="101" spans="1:10" hidden="1" x14ac:dyDescent="0.25">
      <c r="A101" s="1" t="s">
        <v>25</v>
      </c>
      <c r="B101" s="41" t="s">
        <v>92</v>
      </c>
      <c r="C101" s="41"/>
      <c r="D101" s="41"/>
      <c r="E101" s="41"/>
      <c r="F101" s="41"/>
      <c r="G101" s="41"/>
      <c r="H101" s="41"/>
      <c r="I101" s="41"/>
      <c r="J101" s="2"/>
    </row>
    <row r="102" spans="1:10" hidden="1" x14ac:dyDescent="0.25">
      <c r="A102" s="20" t="s">
        <v>26</v>
      </c>
      <c r="B102" s="41" t="s">
        <v>103</v>
      </c>
      <c r="C102" s="41"/>
      <c r="D102" s="41"/>
      <c r="E102" s="41"/>
      <c r="F102" s="41"/>
      <c r="G102" s="41"/>
      <c r="H102" s="41"/>
      <c r="I102" s="41"/>
      <c r="J102" s="2"/>
    </row>
    <row r="103" spans="1:10" x14ac:dyDescent="0.25">
      <c r="A103" s="1" t="s">
        <v>205</v>
      </c>
      <c r="B103" s="591"/>
      <c r="C103" s="566"/>
      <c r="D103" s="592"/>
      <c r="E103" s="41"/>
      <c r="F103" s="41"/>
      <c r="G103" s="41"/>
      <c r="H103" s="41"/>
      <c r="I103" s="41"/>
      <c r="J103" s="2"/>
    </row>
    <row r="104" spans="1:10" hidden="1" x14ac:dyDescent="0.25">
      <c r="A104" s="1" t="s">
        <v>35</v>
      </c>
      <c r="B104" s="41"/>
      <c r="C104" s="41"/>
      <c r="D104" s="41"/>
      <c r="E104" s="41"/>
      <c r="F104" s="41"/>
      <c r="G104" s="41"/>
      <c r="H104" s="41"/>
      <c r="I104" s="41"/>
      <c r="J104" s="2"/>
    </row>
    <row r="105" spans="1:10" hidden="1" x14ac:dyDescent="0.25">
      <c r="A105" s="1" t="s">
        <v>34</v>
      </c>
      <c r="B105" s="41"/>
      <c r="C105" s="41"/>
      <c r="D105" s="41"/>
      <c r="E105" s="41"/>
      <c r="F105" s="41"/>
      <c r="G105" s="41"/>
      <c r="H105" s="41"/>
      <c r="I105" s="41"/>
      <c r="J105" s="2"/>
    </row>
    <row r="106" spans="1:10" x14ac:dyDescent="0.25">
      <c r="A106" s="1" t="s">
        <v>206</v>
      </c>
      <c r="B106" s="589">
        <v>38353</v>
      </c>
      <c r="C106" s="578"/>
      <c r="D106" s="590"/>
      <c r="E106" s="41"/>
      <c r="F106" s="41"/>
      <c r="G106" s="41"/>
      <c r="H106" s="41"/>
      <c r="I106" s="41"/>
      <c r="J106" s="2"/>
    </row>
    <row r="107" spans="1:10" x14ac:dyDescent="0.25">
      <c r="A107" s="1" t="s">
        <v>207</v>
      </c>
      <c r="B107" s="589">
        <v>40724</v>
      </c>
      <c r="C107" s="578"/>
      <c r="D107" s="590"/>
      <c r="E107" s="41"/>
      <c r="F107" s="41"/>
      <c r="G107" s="41"/>
      <c r="H107" s="41"/>
      <c r="I107" s="41"/>
      <c r="J107" s="2"/>
    </row>
    <row r="108" spans="1:10" x14ac:dyDescent="0.25">
      <c r="A108" s="1" t="s">
        <v>38</v>
      </c>
      <c r="B108" s="591">
        <f>(B107-B106)/365</f>
        <v>6.4958904109589044</v>
      </c>
      <c r="C108" s="566"/>
      <c r="D108" s="592"/>
      <c r="E108" s="41"/>
      <c r="F108" s="41"/>
      <c r="G108" s="41"/>
      <c r="H108" s="41"/>
      <c r="I108" s="41"/>
      <c r="J108" s="2"/>
    </row>
    <row r="109" spans="1:10" ht="15.75" thickBot="1" x14ac:dyDescent="0.3">
      <c r="A109" s="4" t="s">
        <v>42</v>
      </c>
      <c r="B109" s="571">
        <v>1</v>
      </c>
      <c r="C109" s="572"/>
      <c r="D109" s="596"/>
      <c r="E109" s="10"/>
      <c r="F109" s="10"/>
      <c r="G109" s="10"/>
      <c r="H109" s="10"/>
      <c r="I109" s="10"/>
      <c r="J109" s="11"/>
    </row>
    <row r="110" spans="1:10" ht="15.75" thickBot="1" x14ac:dyDescent="0.3">
      <c r="A110" s="8" t="s">
        <v>41</v>
      </c>
      <c r="B110" s="594">
        <f>MIN(SUMIFS(B108:J108,B109:J109,1),5)</f>
        <v>5</v>
      </c>
      <c r="C110" s="594"/>
      <c r="D110" s="594"/>
      <c r="E110" s="594"/>
      <c r="F110" s="594"/>
      <c r="G110" s="594"/>
      <c r="H110" s="594"/>
      <c r="I110" s="594"/>
      <c r="J110" s="595"/>
    </row>
  </sheetData>
  <mergeCells count="55">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 ref="B28:C28"/>
    <mergeCell ref="B29:D29"/>
    <mergeCell ref="B42:C42"/>
    <mergeCell ref="B33:C33"/>
    <mergeCell ref="B36:C36"/>
    <mergeCell ref="B37:C37"/>
    <mergeCell ref="B38:C38"/>
    <mergeCell ref="B39:C39"/>
    <mergeCell ref="B71:D71"/>
    <mergeCell ref="B43:D43"/>
    <mergeCell ref="B47:C47"/>
    <mergeCell ref="B50:C50"/>
    <mergeCell ref="B51:C51"/>
    <mergeCell ref="B52:C52"/>
    <mergeCell ref="B53:C53"/>
    <mergeCell ref="B61:D61"/>
    <mergeCell ref="B67:C67"/>
    <mergeCell ref="B66:C66"/>
    <mergeCell ref="B56:C56"/>
    <mergeCell ref="B57:D57"/>
    <mergeCell ref="B70:C70"/>
    <mergeCell ref="B108:D108"/>
    <mergeCell ref="B109:D109"/>
    <mergeCell ref="F95:G95"/>
    <mergeCell ref="B98:D98"/>
    <mergeCell ref="B99:D99"/>
    <mergeCell ref="B103:D103"/>
    <mergeCell ref="B106:D106"/>
    <mergeCell ref="B107:D107"/>
    <mergeCell ref="F94:G94"/>
    <mergeCell ref="B78:C78"/>
    <mergeCell ref="F84:G84"/>
    <mergeCell ref="F85:H85"/>
    <mergeCell ref="F89:G89"/>
    <mergeCell ref="F92:G92"/>
    <mergeCell ref="F93:G93"/>
    <mergeCell ref="B79:C79"/>
    <mergeCell ref="B80:C80"/>
    <mergeCell ref="B81:C81"/>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x14ac:dyDescent="0.25"/>
  <cols>
    <col min="1" max="1" width="41.140625" customWidth="1"/>
  </cols>
  <sheetData>
    <row r="6" spans="1:10" x14ac:dyDescent="0.25">
      <c r="A6" s="391" t="s">
        <v>201</v>
      </c>
      <c r="B6" s="391"/>
      <c r="C6" s="391"/>
      <c r="D6" s="391"/>
      <c r="E6" s="391"/>
      <c r="F6" s="391"/>
      <c r="G6" s="391"/>
      <c r="H6" s="391"/>
      <c r="I6" s="391"/>
      <c r="J6" s="391"/>
    </row>
    <row r="7" spans="1:10" x14ac:dyDescent="0.25">
      <c r="A7" s="391" t="s">
        <v>202</v>
      </c>
      <c r="B7" s="391"/>
      <c r="C7" s="391"/>
      <c r="D7" s="391"/>
      <c r="E7" s="391"/>
      <c r="F7" s="391"/>
      <c r="G7" s="391"/>
      <c r="H7" s="391"/>
      <c r="I7" s="391"/>
      <c r="J7" s="391"/>
    </row>
    <row r="8" spans="1:10" x14ac:dyDescent="0.25">
      <c r="A8" s="391" t="s">
        <v>203</v>
      </c>
      <c r="B8" s="391"/>
      <c r="C8" s="391"/>
      <c r="D8" s="391"/>
      <c r="E8" s="391"/>
      <c r="F8" s="391"/>
      <c r="G8" s="391"/>
      <c r="H8" s="391"/>
      <c r="I8" s="391"/>
      <c r="J8" s="391"/>
    </row>
    <row r="9" spans="1:10" x14ac:dyDescent="0.25">
      <c r="A9" s="391" t="s">
        <v>473</v>
      </c>
      <c r="B9" s="391"/>
      <c r="C9" s="391"/>
      <c r="D9" s="391"/>
      <c r="E9" s="391"/>
      <c r="F9" s="391"/>
      <c r="G9" s="391"/>
      <c r="H9" s="391"/>
      <c r="I9" s="391"/>
      <c r="J9" s="391"/>
    </row>
    <row r="11" spans="1:10" x14ac:dyDescent="0.25">
      <c r="A11" s="12" t="s">
        <v>13</v>
      </c>
      <c r="B11" s="597" t="s">
        <v>195</v>
      </c>
      <c r="C11" s="597"/>
      <c r="D11" s="597"/>
      <c r="E11" s="597"/>
      <c r="F11" s="597"/>
      <c r="G11" s="597"/>
      <c r="H11" s="597"/>
      <c r="I11" s="597"/>
      <c r="J11" s="597"/>
    </row>
    <row r="12" spans="1:10" x14ac:dyDescent="0.25">
      <c r="A12" s="12" t="s">
        <v>43</v>
      </c>
      <c r="B12" s="56">
        <f>SUM(B26,B40,B54,B68,B82,B96,B110)</f>
        <v>22.358904109589041</v>
      </c>
      <c r="C12" s="16"/>
      <c r="D12" s="16"/>
      <c r="E12" s="16"/>
      <c r="F12" s="16"/>
      <c r="G12" s="16"/>
      <c r="H12" s="16"/>
      <c r="I12" s="16"/>
      <c r="J12" s="16"/>
    </row>
    <row r="13" spans="1:10" ht="15.75" thickBot="1" x14ac:dyDescent="0.3"/>
    <row r="14" spans="1:10" x14ac:dyDescent="0.25">
      <c r="A14" s="9" t="s">
        <v>221</v>
      </c>
      <c r="B14" s="574" t="s">
        <v>28</v>
      </c>
      <c r="C14" s="575"/>
      <c r="D14" s="593"/>
      <c r="E14" s="51"/>
      <c r="F14" s="51"/>
      <c r="G14" s="51"/>
      <c r="H14" s="51"/>
      <c r="I14" s="51"/>
      <c r="J14" s="52"/>
    </row>
    <row r="15" spans="1:10" x14ac:dyDescent="0.25">
      <c r="A15" s="1" t="s">
        <v>23</v>
      </c>
      <c r="B15" s="591" t="s">
        <v>120</v>
      </c>
      <c r="C15" s="566"/>
      <c r="D15" s="592"/>
      <c r="E15" s="41"/>
      <c r="F15" s="41"/>
      <c r="G15" s="41"/>
      <c r="H15" s="41"/>
      <c r="I15" s="41"/>
      <c r="J15" s="2"/>
    </row>
    <row r="16" spans="1:10" x14ac:dyDescent="0.25">
      <c r="A16" s="1" t="s">
        <v>24</v>
      </c>
      <c r="B16" s="3" t="s">
        <v>121</v>
      </c>
      <c r="C16" s="41"/>
      <c r="D16" s="41"/>
      <c r="E16" s="41"/>
      <c r="F16" s="41"/>
      <c r="G16" s="41"/>
      <c r="H16" s="41"/>
      <c r="I16" s="41"/>
      <c r="J16" s="2"/>
    </row>
    <row r="17" spans="1:10" x14ac:dyDescent="0.25">
      <c r="A17" s="1" t="s">
        <v>25</v>
      </c>
      <c r="B17" s="41" t="s">
        <v>122</v>
      </c>
      <c r="C17" s="41"/>
      <c r="D17" s="41"/>
      <c r="E17" s="41"/>
      <c r="F17" s="41"/>
      <c r="G17" s="41"/>
      <c r="H17" s="41"/>
      <c r="I17" s="41"/>
      <c r="J17" s="2"/>
    </row>
    <row r="18" spans="1:10" x14ac:dyDescent="0.25">
      <c r="A18" s="1" t="s">
        <v>26</v>
      </c>
      <c r="B18" s="1" t="s">
        <v>123</v>
      </c>
      <c r="C18" s="41"/>
      <c r="D18" s="41"/>
      <c r="E18" s="41"/>
      <c r="F18" s="41"/>
      <c r="G18" s="41"/>
      <c r="H18" s="41"/>
      <c r="I18" s="41"/>
      <c r="J18" s="2"/>
    </row>
    <row r="19" spans="1:10" x14ac:dyDescent="0.25">
      <c r="A19" s="1" t="s">
        <v>205</v>
      </c>
      <c r="B19" s="591" t="s">
        <v>471</v>
      </c>
      <c r="C19" s="566"/>
      <c r="D19" s="592"/>
      <c r="E19" s="41"/>
      <c r="F19" s="41"/>
      <c r="G19" s="41"/>
      <c r="H19" s="41"/>
      <c r="I19" s="41"/>
      <c r="J19" s="2"/>
    </row>
    <row r="20" spans="1:10" x14ac:dyDescent="0.25">
      <c r="A20" s="1" t="s">
        <v>35</v>
      </c>
      <c r="B20" s="42">
        <v>37316</v>
      </c>
      <c r="C20" s="41"/>
      <c r="D20" s="41"/>
      <c r="E20" s="41"/>
      <c r="F20" s="41"/>
      <c r="G20" s="41"/>
      <c r="H20" s="41"/>
      <c r="I20" s="41"/>
      <c r="J20" s="2"/>
    </row>
    <row r="21" spans="1:10" x14ac:dyDescent="0.25">
      <c r="A21" s="1" t="s">
        <v>34</v>
      </c>
      <c r="B21" s="42">
        <v>39445</v>
      </c>
      <c r="C21" s="41"/>
      <c r="D21" s="41"/>
      <c r="E21" s="41"/>
      <c r="F21" s="41"/>
      <c r="G21" s="41"/>
      <c r="H21" s="41"/>
      <c r="I21" s="41"/>
      <c r="J21" s="2"/>
    </row>
    <row r="22" spans="1:10" x14ac:dyDescent="0.25">
      <c r="A22" s="1" t="s">
        <v>208</v>
      </c>
      <c r="B22" s="589">
        <v>37316</v>
      </c>
      <c r="C22" s="578"/>
      <c r="D22" s="590"/>
      <c r="E22" s="41"/>
      <c r="F22" s="41"/>
      <c r="G22" s="41"/>
      <c r="H22" s="41"/>
      <c r="I22" s="41"/>
      <c r="J22" s="2"/>
    </row>
    <row r="23" spans="1:10" x14ac:dyDescent="0.25">
      <c r="A23" s="1" t="s">
        <v>209</v>
      </c>
      <c r="B23" s="589">
        <v>39445</v>
      </c>
      <c r="C23" s="578"/>
      <c r="D23" s="590"/>
      <c r="E23" s="41"/>
      <c r="F23" s="41"/>
      <c r="G23" s="41"/>
      <c r="H23" s="41"/>
      <c r="I23" s="41"/>
      <c r="J23" s="2"/>
    </row>
    <row r="24" spans="1:10" x14ac:dyDescent="0.25">
      <c r="A24" s="1" t="s">
        <v>38</v>
      </c>
      <c r="B24" s="563">
        <f>((B23-B22)/365)-4</f>
        <v>1.8328767123287673</v>
      </c>
      <c r="C24" s="569"/>
      <c r="D24" s="564"/>
      <c r="E24" s="41"/>
      <c r="F24" s="41"/>
      <c r="G24" s="41"/>
      <c r="H24" s="41"/>
      <c r="I24" s="41"/>
      <c r="J24" s="2"/>
    </row>
    <row r="25" spans="1:10" ht="15.75" thickBot="1" x14ac:dyDescent="0.3">
      <c r="A25" s="4" t="s">
        <v>42</v>
      </c>
      <c r="B25" s="571">
        <v>1</v>
      </c>
      <c r="C25" s="572"/>
      <c r="D25" s="596"/>
      <c r="E25" s="10"/>
      <c r="F25" s="10"/>
      <c r="G25" s="10"/>
      <c r="H25" s="10"/>
      <c r="I25" s="10"/>
      <c r="J25" s="11"/>
    </row>
    <row r="26" spans="1:10" ht="15.75" thickBot="1" x14ac:dyDescent="0.3">
      <c r="A26" s="8" t="s">
        <v>41</v>
      </c>
      <c r="B26" s="580">
        <f>B24</f>
        <v>1.8328767123287673</v>
      </c>
      <c r="C26" s="594"/>
      <c r="D26" s="594"/>
      <c r="E26" s="594"/>
      <c r="F26" s="594"/>
      <c r="G26" s="594"/>
      <c r="H26" s="594"/>
      <c r="I26" s="594"/>
      <c r="J26" s="595"/>
    </row>
    <row r="27" spans="1:10" ht="15.75" thickBot="1" x14ac:dyDescent="0.3">
      <c r="A27" s="43"/>
      <c r="B27" s="16"/>
      <c r="C27" s="16"/>
      <c r="D27" s="16"/>
      <c r="E27" s="16"/>
      <c r="F27" s="16"/>
      <c r="G27" s="16"/>
      <c r="H27" s="16"/>
      <c r="I27" s="16"/>
      <c r="J27" s="16"/>
    </row>
    <row r="28" spans="1:10" x14ac:dyDescent="0.25">
      <c r="A28" s="9" t="s">
        <v>230</v>
      </c>
      <c r="B28" s="574" t="s">
        <v>28</v>
      </c>
      <c r="C28" s="593"/>
      <c r="D28" s="51"/>
      <c r="E28" s="51"/>
      <c r="F28" s="51"/>
      <c r="G28" s="51"/>
      <c r="H28" s="51"/>
      <c r="I28" s="51"/>
      <c r="J28" s="52"/>
    </row>
    <row r="29" spans="1:10" x14ac:dyDescent="0.25">
      <c r="A29" s="20" t="s">
        <v>23</v>
      </c>
      <c r="B29" s="591" t="s">
        <v>126</v>
      </c>
      <c r="C29" s="592"/>
      <c r="D29" s="41"/>
      <c r="E29" s="41"/>
      <c r="F29" s="41"/>
      <c r="G29" s="41"/>
      <c r="H29" s="41"/>
      <c r="I29" s="41"/>
      <c r="J29" s="2"/>
    </row>
    <row r="30" spans="1:10" x14ac:dyDescent="0.25">
      <c r="A30" s="20" t="s">
        <v>24</v>
      </c>
      <c r="B30" s="41" t="s">
        <v>127</v>
      </c>
      <c r="C30" s="41"/>
      <c r="D30" s="41"/>
      <c r="E30" s="41"/>
      <c r="F30" s="41"/>
      <c r="G30" s="41"/>
      <c r="H30" s="41"/>
      <c r="I30" s="41"/>
      <c r="J30" s="2"/>
    </row>
    <row r="31" spans="1:10" x14ac:dyDescent="0.25">
      <c r="A31" s="20" t="s">
        <v>25</v>
      </c>
      <c r="B31" s="41" t="s">
        <v>128</v>
      </c>
      <c r="C31" s="41"/>
      <c r="D31" s="41"/>
      <c r="E31" s="41"/>
      <c r="F31" s="41"/>
      <c r="G31" s="41"/>
      <c r="H31" s="41"/>
      <c r="I31" s="41"/>
      <c r="J31" s="2"/>
    </row>
    <row r="32" spans="1:10" x14ac:dyDescent="0.25">
      <c r="A32" s="20" t="s">
        <v>26</v>
      </c>
      <c r="B32" s="41" t="s">
        <v>129</v>
      </c>
      <c r="C32" s="41"/>
      <c r="D32" s="41"/>
      <c r="E32" s="41"/>
      <c r="F32" s="41"/>
      <c r="G32" s="41"/>
      <c r="H32" s="41"/>
      <c r="I32" s="41"/>
      <c r="J32" s="2"/>
    </row>
    <row r="33" spans="1:10" x14ac:dyDescent="0.25">
      <c r="A33" s="20" t="s">
        <v>27</v>
      </c>
      <c r="B33" s="591" t="s">
        <v>124</v>
      </c>
      <c r="C33" s="592"/>
      <c r="D33" s="41"/>
      <c r="E33" s="41"/>
      <c r="F33" s="41"/>
      <c r="G33" s="41"/>
      <c r="H33" s="41"/>
      <c r="I33" s="41"/>
      <c r="J33" s="2"/>
    </row>
    <row r="34" spans="1:10" x14ac:dyDescent="0.25">
      <c r="A34" s="20" t="s">
        <v>35</v>
      </c>
      <c r="B34" s="42">
        <v>34196</v>
      </c>
      <c r="C34" s="41"/>
      <c r="D34" s="41"/>
      <c r="E34" s="41"/>
      <c r="F34" s="41"/>
      <c r="G34" s="41"/>
      <c r="H34" s="41"/>
      <c r="I34" s="41"/>
      <c r="J34" s="2"/>
    </row>
    <row r="35" spans="1:10" x14ac:dyDescent="0.25">
      <c r="A35" s="20" t="s">
        <v>34</v>
      </c>
      <c r="B35" s="42">
        <v>38503</v>
      </c>
      <c r="C35" s="41"/>
      <c r="D35" s="41"/>
      <c r="E35" s="41"/>
      <c r="F35" s="41"/>
      <c r="G35" s="41"/>
      <c r="H35" s="41"/>
      <c r="I35" s="41"/>
      <c r="J35" s="2"/>
    </row>
    <row r="36" spans="1:10" x14ac:dyDescent="0.25">
      <c r="A36" s="20" t="s">
        <v>208</v>
      </c>
      <c r="B36" s="589">
        <v>34196</v>
      </c>
      <c r="C36" s="590"/>
      <c r="D36" s="41"/>
      <c r="E36" s="41"/>
      <c r="F36" s="41"/>
      <c r="G36" s="41"/>
      <c r="H36" s="41"/>
      <c r="I36" s="41"/>
      <c r="J36" s="2"/>
    </row>
    <row r="37" spans="1:10" x14ac:dyDescent="0.25">
      <c r="A37" s="20" t="s">
        <v>209</v>
      </c>
      <c r="B37" s="589">
        <v>38503</v>
      </c>
      <c r="C37" s="590"/>
      <c r="D37" s="41"/>
      <c r="E37" s="41"/>
      <c r="F37" s="41"/>
      <c r="G37" s="41"/>
      <c r="H37" s="41"/>
      <c r="I37" s="41"/>
      <c r="J37" s="2"/>
    </row>
    <row r="38" spans="1:10" x14ac:dyDescent="0.25">
      <c r="A38" s="1" t="s">
        <v>38</v>
      </c>
      <c r="B38" s="563">
        <f>((B37-B36)/365)-10</f>
        <v>1.8000000000000007</v>
      </c>
      <c r="C38" s="564"/>
      <c r="D38" s="41"/>
      <c r="E38" s="41"/>
      <c r="F38" s="41"/>
      <c r="G38" s="41"/>
      <c r="H38" s="41"/>
      <c r="I38" s="41"/>
      <c r="J38" s="2"/>
    </row>
    <row r="39" spans="1:10" ht="15.75" thickBot="1" x14ac:dyDescent="0.3">
      <c r="A39" s="4" t="s">
        <v>42</v>
      </c>
      <c r="B39" s="571">
        <v>1</v>
      </c>
      <c r="C39" s="596"/>
      <c r="D39" s="10"/>
      <c r="E39" s="10"/>
      <c r="F39" s="10"/>
      <c r="G39" s="10"/>
      <c r="H39" s="10"/>
      <c r="I39" s="10"/>
      <c r="J39" s="11"/>
    </row>
    <row r="40" spans="1:10" ht="15.75" thickBot="1" x14ac:dyDescent="0.3">
      <c r="A40" s="8" t="s">
        <v>41</v>
      </c>
      <c r="B40" s="580">
        <f>B38</f>
        <v>1.8000000000000007</v>
      </c>
      <c r="C40" s="594"/>
      <c r="D40" s="594"/>
      <c r="E40" s="594"/>
      <c r="F40" s="594"/>
      <c r="G40" s="594"/>
      <c r="H40" s="594"/>
      <c r="I40" s="594"/>
      <c r="J40" s="595"/>
    </row>
    <row r="41" spans="1:10" ht="15.75" thickBot="1" x14ac:dyDescent="0.3"/>
    <row r="42" spans="1:10" x14ac:dyDescent="0.25">
      <c r="A42" s="9" t="s">
        <v>193</v>
      </c>
      <c r="B42" s="574" t="s">
        <v>28</v>
      </c>
      <c r="C42" s="593"/>
      <c r="D42" s="51"/>
      <c r="E42" s="51"/>
      <c r="F42" s="51"/>
      <c r="G42" s="51"/>
      <c r="H42" s="51"/>
      <c r="I42" s="51"/>
      <c r="J42" s="52"/>
    </row>
    <row r="43" spans="1:10" ht="15" customHeight="1" x14ac:dyDescent="0.25">
      <c r="A43" s="20" t="s">
        <v>23</v>
      </c>
      <c r="B43" s="591" t="s">
        <v>211</v>
      </c>
      <c r="C43" s="592"/>
      <c r="D43" s="38"/>
      <c r="E43" s="41"/>
      <c r="F43" s="41"/>
      <c r="G43" s="41"/>
      <c r="H43" s="41"/>
      <c r="I43" s="41"/>
      <c r="J43" s="2"/>
    </row>
    <row r="44" spans="1:10" ht="15" customHeight="1" x14ac:dyDescent="0.25">
      <c r="A44" s="20" t="s">
        <v>24</v>
      </c>
      <c r="B44" s="41" t="s">
        <v>130</v>
      </c>
      <c r="C44" s="41"/>
      <c r="D44" s="38"/>
      <c r="E44" s="41"/>
      <c r="F44" s="41"/>
      <c r="G44" s="41"/>
      <c r="H44" s="41"/>
      <c r="I44" s="41"/>
      <c r="J44" s="2"/>
    </row>
    <row r="45" spans="1:10" ht="15" customHeight="1" x14ac:dyDescent="0.25">
      <c r="A45" s="20" t="s">
        <v>25</v>
      </c>
      <c r="B45" s="41" t="s">
        <v>131</v>
      </c>
      <c r="C45" s="41"/>
      <c r="D45" s="38"/>
      <c r="E45" s="41"/>
      <c r="F45" s="41"/>
      <c r="G45" s="41"/>
      <c r="H45" s="41"/>
      <c r="I45" s="41"/>
      <c r="J45" s="2"/>
    </row>
    <row r="46" spans="1:10" ht="15" customHeight="1" x14ac:dyDescent="0.25">
      <c r="A46" s="20" t="s">
        <v>26</v>
      </c>
      <c r="B46" s="41" t="s">
        <v>132</v>
      </c>
      <c r="C46" s="41"/>
      <c r="D46" s="38"/>
      <c r="E46" s="41"/>
      <c r="F46" s="41"/>
      <c r="G46" s="41"/>
      <c r="H46" s="41"/>
      <c r="I46" s="41"/>
      <c r="J46" s="2"/>
    </row>
    <row r="47" spans="1:10" x14ac:dyDescent="0.25">
      <c r="A47" s="20" t="s">
        <v>205</v>
      </c>
      <c r="B47" s="591" t="s">
        <v>218</v>
      </c>
      <c r="C47" s="592"/>
      <c r="D47" s="38"/>
      <c r="E47" s="41"/>
      <c r="F47" s="41"/>
      <c r="G47" s="41"/>
      <c r="H47" s="41"/>
      <c r="I47" s="41"/>
      <c r="J47" s="2"/>
    </row>
    <row r="48" spans="1:10" ht="15" customHeight="1" x14ac:dyDescent="0.25">
      <c r="A48" s="20" t="s">
        <v>35</v>
      </c>
      <c r="B48" s="42">
        <v>38429</v>
      </c>
      <c r="C48" s="41"/>
      <c r="D48" s="38"/>
      <c r="E48" s="41"/>
      <c r="F48" s="41"/>
      <c r="G48" s="41"/>
      <c r="H48" s="41"/>
      <c r="I48" s="41"/>
      <c r="J48" s="2"/>
    </row>
    <row r="49" spans="1:10" ht="15" customHeight="1" x14ac:dyDescent="0.25">
      <c r="A49" s="20" t="s">
        <v>34</v>
      </c>
      <c r="B49" s="42">
        <v>41243</v>
      </c>
      <c r="C49" s="41"/>
      <c r="D49" s="38"/>
      <c r="E49" s="41"/>
      <c r="F49" s="41"/>
      <c r="G49" s="41"/>
      <c r="H49" s="41"/>
      <c r="I49" s="41"/>
      <c r="J49" s="2"/>
    </row>
    <row r="50" spans="1:10" x14ac:dyDescent="0.25">
      <c r="A50" s="20" t="s">
        <v>206</v>
      </c>
      <c r="B50" s="589">
        <v>38429</v>
      </c>
      <c r="C50" s="590"/>
      <c r="D50" s="38"/>
      <c r="E50" s="41"/>
      <c r="F50" s="41"/>
      <c r="G50" s="41"/>
      <c r="H50" s="41"/>
      <c r="I50" s="41"/>
      <c r="J50" s="2"/>
    </row>
    <row r="51" spans="1:10" x14ac:dyDescent="0.25">
      <c r="A51" s="20" t="s">
        <v>209</v>
      </c>
      <c r="B51" s="589">
        <v>41243</v>
      </c>
      <c r="C51" s="590"/>
      <c r="D51" s="38"/>
      <c r="E51" s="41"/>
      <c r="F51" s="41"/>
      <c r="G51" s="41"/>
      <c r="H51" s="41"/>
      <c r="I51" s="41"/>
      <c r="J51" s="2"/>
    </row>
    <row r="52" spans="1:10" x14ac:dyDescent="0.25">
      <c r="A52" s="20" t="s">
        <v>38</v>
      </c>
      <c r="B52" s="563">
        <f>(B51-B50)/365-1</f>
        <v>6.7095890410958905</v>
      </c>
      <c r="C52" s="564"/>
      <c r="D52" s="38"/>
      <c r="E52" s="41"/>
      <c r="F52" s="41"/>
      <c r="G52" s="41"/>
      <c r="H52" s="41"/>
      <c r="I52" s="41"/>
      <c r="J52" s="2"/>
    </row>
    <row r="53" spans="1:10" ht="15.75" thickBot="1" x14ac:dyDescent="0.3">
      <c r="A53" s="4" t="s">
        <v>42</v>
      </c>
      <c r="B53" s="571">
        <v>1</v>
      </c>
      <c r="C53" s="596"/>
      <c r="D53" s="10"/>
      <c r="E53" s="10"/>
      <c r="F53" s="10"/>
      <c r="G53" s="10"/>
      <c r="H53" s="10"/>
      <c r="I53" s="10"/>
      <c r="J53" s="11"/>
    </row>
    <row r="54" spans="1:10" ht="15.75" thickBot="1" x14ac:dyDescent="0.3">
      <c r="A54" s="8" t="s">
        <v>41</v>
      </c>
      <c r="B54" s="594">
        <f>MIN(SUMIFS(B52:J52,B53:J53,1),5)</f>
        <v>5</v>
      </c>
      <c r="C54" s="594"/>
      <c r="D54" s="594"/>
      <c r="E54" s="594"/>
      <c r="F54" s="594"/>
      <c r="G54" s="594"/>
      <c r="H54" s="594"/>
      <c r="I54" s="594"/>
      <c r="J54" s="595"/>
    </row>
    <row r="55" spans="1:10" ht="15.75" thickBot="1" x14ac:dyDescent="0.3">
      <c r="A55" s="43"/>
      <c r="B55" s="16"/>
      <c r="C55" s="16"/>
      <c r="D55" s="16"/>
      <c r="E55" s="16"/>
      <c r="F55" s="16"/>
      <c r="G55" s="16"/>
      <c r="H55" s="16"/>
      <c r="I55" s="16"/>
      <c r="J55" s="16"/>
    </row>
    <row r="56" spans="1:10" x14ac:dyDescent="0.25">
      <c r="A56" s="9" t="s">
        <v>225</v>
      </c>
      <c r="B56" s="574" t="s">
        <v>28</v>
      </c>
      <c r="C56" s="593"/>
      <c r="D56" s="51"/>
      <c r="E56" s="51"/>
      <c r="F56" s="51"/>
      <c r="G56" s="51"/>
      <c r="H56" s="51"/>
      <c r="I56" s="51"/>
      <c r="J56" s="52"/>
    </row>
    <row r="57" spans="1:10" x14ac:dyDescent="0.25">
      <c r="A57" s="20" t="s">
        <v>23</v>
      </c>
      <c r="B57" s="591" t="s">
        <v>133</v>
      </c>
      <c r="C57" s="592"/>
      <c r="D57" s="41"/>
      <c r="E57" s="41"/>
      <c r="F57" s="41"/>
      <c r="G57" s="41"/>
      <c r="H57" s="41"/>
      <c r="I57" s="41"/>
      <c r="J57" s="2"/>
    </row>
    <row r="58" spans="1:10" x14ac:dyDescent="0.25">
      <c r="A58" s="20" t="s">
        <v>24</v>
      </c>
      <c r="B58" s="41" t="s">
        <v>134</v>
      </c>
      <c r="C58" s="41"/>
      <c r="D58" s="41"/>
      <c r="E58" s="41"/>
      <c r="F58" s="41"/>
      <c r="G58" s="41"/>
      <c r="H58" s="41"/>
      <c r="I58" s="41"/>
      <c r="J58" s="2"/>
    </row>
    <row r="59" spans="1:10" x14ac:dyDescent="0.25">
      <c r="A59" s="20" t="s">
        <v>25</v>
      </c>
      <c r="B59" s="41" t="s">
        <v>135</v>
      </c>
      <c r="C59" s="41"/>
      <c r="D59" s="41"/>
      <c r="E59" s="41"/>
      <c r="F59" s="41"/>
      <c r="G59" s="41"/>
      <c r="H59" s="41"/>
      <c r="I59" s="41"/>
      <c r="J59" s="2"/>
    </row>
    <row r="60" spans="1:10" x14ac:dyDescent="0.25">
      <c r="A60" s="20" t="s">
        <v>26</v>
      </c>
      <c r="B60" s="41" t="s">
        <v>136</v>
      </c>
      <c r="C60" s="41"/>
      <c r="D60" s="41"/>
      <c r="E60" s="41"/>
      <c r="F60" s="41"/>
      <c r="G60" s="41"/>
      <c r="H60" s="41"/>
      <c r="I60" s="41"/>
      <c r="J60" s="2"/>
    </row>
    <row r="61" spans="1:10" x14ac:dyDescent="0.25">
      <c r="A61" s="20" t="s">
        <v>27</v>
      </c>
      <c r="B61" s="591" t="s">
        <v>137</v>
      </c>
      <c r="C61" s="592"/>
      <c r="D61" s="41"/>
      <c r="E61" s="41"/>
      <c r="F61" s="41"/>
      <c r="G61" s="41"/>
      <c r="H61" s="41"/>
      <c r="I61" s="41"/>
      <c r="J61" s="2"/>
    </row>
    <row r="62" spans="1:10" x14ac:dyDescent="0.25">
      <c r="A62" s="20" t="s">
        <v>35</v>
      </c>
      <c r="B62" s="42">
        <v>37316</v>
      </c>
      <c r="C62" s="41"/>
      <c r="D62" s="41"/>
      <c r="E62" s="41"/>
      <c r="F62" s="41"/>
      <c r="G62" s="41"/>
      <c r="H62" s="41"/>
      <c r="I62" s="41"/>
      <c r="J62" s="2"/>
    </row>
    <row r="63" spans="1:10" x14ac:dyDescent="0.25">
      <c r="A63" s="20" t="s">
        <v>34</v>
      </c>
      <c r="B63" s="42">
        <v>40421</v>
      </c>
      <c r="C63" s="41"/>
      <c r="D63" s="41"/>
      <c r="E63" s="41"/>
      <c r="F63" s="41"/>
      <c r="G63" s="41"/>
      <c r="H63" s="41"/>
      <c r="I63" s="41"/>
      <c r="J63" s="2"/>
    </row>
    <row r="64" spans="1:10" x14ac:dyDescent="0.25">
      <c r="A64" s="20" t="s">
        <v>206</v>
      </c>
      <c r="B64" s="589">
        <v>37316</v>
      </c>
      <c r="C64" s="590"/>
      <c r="D64" s="41"/>
      <c r="E64" s="41"/>
      <c r="F64" s="41"/>
      <c r="G64" s="41"/>
      <c r="H64" s="41"/>
      <c r="I64" s="41"/>
      <c r="J64" s="2"/>
    </row>
    <row r="65" spans="1:10" x14ac:dyDescent="0.25">
      <c r="A65" s="20" t="s">
        <v>209</v>
      </c>
      <c r="B65" s="589">
        <v>40421</v>
      </c>
      <c r="C65" s="590"/>
      <c r="D65" s="41"/>
      <c r="E65" s="41"/>
      <c r="F65" s="41"/>
      <c r="G65" s="41"/>
      <c r="H65" s="41"/>
      <c r="I65" s="41"/>
      <c r="J65" s="2"/>
    </row>
    <row r="66" spans="1:10" x14ac:dyDescent="0.25">
      <c r="A66" s="20" t="s">
        <v>38</v>
      </c>
      <c r="B66" s="600">
        <f>((B65-B64)/365)-5</f>
        <v>3.506849315068493</v>
      </c>
      <c r="C66" s="601"/>
      <c r="D66" s="41"/>
      <c r="E66" s="41"/>
      <c r="F66" s="41"/>
      <c r="G66" s="41"/>
      <c r="H66" s="41"/>
      <c r="I66" s="41"/>
      <c r="J66" s="2"/>
    </row>
    <row r="67" spans="1:10" ht="15.75" thickBot="1" x14ac:dyDescent="0.3">
      <c r="A67" s="4" t="s">
        <v>42</v>
      </c>
      <c r="B67" s="571">
        <v>1</v>
      </c>
      <c r="C67" s="596"/>
      <c r="D67" s="10"/>
      <c r="E67" s="10"/>
      <c r="F67" s="10"/>
      <c r="G67" s="10"/>
      <c r="H67" s="10"/>
      <c r="I67" s="10"/>
      <c r="J67" s="11"/>
    </row>
    <row r="68" spans="1:10" ht="15.75" thickBot="1" x14ac:dyDescent="0.3">
      <c r="A68" s="8" t="s">
        <v>41</v>
      </c>
      <c r="B68" s="602">
        <f>B66</f>
        <v>3.506849315068493</v>
      </c>
      <c r="C68" s="594"/>
      <c r="D68" s="594"/>
      <c r="E68" s="594"/>
      <c r="F68" s="594"/>
      <c r="G68" s="594"/>
      <c r="H68" s="594"/>
      <c r="I68" s="594"/>
      <c r="J68" s="595"/>
    </row>
    <row r="69" spans="1:10" ht="15.75" thickBot="1" x14ac:dyDescent="0.3"/>
    <row r="70" spans="1:10" x14ac:dyDescent="0.25">
      <c r="A70" s="9" t="s">
        <v>226</v>
      </c>
      <c r="B70" s="574" t="s">
        <v>28</v>
      </c>
      <c r="C70" s="593"/>
      <c r="D70" s="51"/>
      <c r="E70" s="51"/>
      <c r="F70" s="51"/>
      <c r="G70" s="51"/>
      <c r="H70" s="51"/>
      <c r="I70" s="51"/>
      <c r="J70" s="52"/>
    </row>
    <row r="71" spans="1:10" x14ac:dyDescent="0.25">
      <c r="A71" s="20" t="s">
        <v>23</v>
      </c>
      <c r="B71" s="591" t="s">
        <v>138</v>
      </c>
      <c r="C71" s="592"/>
      <c r="D71" s="41"/>
      <c r="E71" s="41"/>
      <c r="F71" s="41"/>
      <c r="G71" s="41"/>
      <c r="H71" s="41"/>
      <c r="I71" s="41"/>
      <c r="J71" s="2"/>
    </row>
    <row r="72" spans="1:10" x14ac:dyDescent="0.25">
      <c r="A72" s="20" t="s">
        <v>24</v>
      </c>
      <c r="B72" s="41" t="s">
        <v>139</v>
      </c>
      <c r="C72" s="41"/>
      <c r="D72" s="41"/>
      <c r="E72" s="41"/>
      <c r="F72" s="41"/>
      <c r="G72" s="41"/>
      <c r="H72" s="41"/>
      <c r="I72" s="41"/>
      <c r="J72" s="2"/>
    </row>
    <row r="73" spans="1:10" x14ac:dyDescent="0.25">
      <c r="A73" s="20" t="s">
        <v>25</v>
      </c>
      <c r="B73" s="41" t="s">
        <v>140</v>
      </c>
      <c r="C73" s="41"/>
      <c r="D73" s="41"/>
      <c r="E73" s="41"/>
      <c r="F73" s="41"/>
      <c r="G73" s="41"/>
      <c r="H73" s="41"/>
      <c r="I73" s="41"/>
      <c r="J73" s="2"/>
    </row>
    <row r="74" spans="1:10" x14ac:dyDescent="0.25">
      <c r="A74" s="20" t="s">
        <v>26</v>
      </c>
      <c r="B74" s="41" t="s">
        <v>141</v>
      </c>
      <c r="C74" s="41"/>
      <c r="D74" s="41"/>
      <c r="E74" s="41"/>
      <c r="F74" s="41"/>
      <c r="G74" s="41"/>
      <c r="H74" s="41"/>
      <c r="I74" s="41"/>
      <c r="J74" s="2"/>
    </row>
    <row r="75" spans="1:10" x14ac:dyDescent="0.25">
      <c r="A75" s="20" t="s">
        <v>205</v>
      </c>
      <c r="B75" s="591" t="s">
        <v>142</v>
      </c>
      <c r="C75" s="592"/>
      <c r="D75" s="41"/>
      <c r="E75" s="41"/>
      <c r="F75" s="41"/>
      <c r="G75" s="41"/>
      <c r="H75" s="41"/>
      <c r="I75" s="41"/>
      <c r="J75" s="2"/>
    </row>
    <row r="76" spans="1:10" x14ac:dyDescent="0.25">
      <c r="A76" s="20" t="s">
        <v>35</v>
      </c>
      <c r="B76" s="42">
        <v>38473</v>
      </c>
      <c r="C76" s="41"/>
      <c r="D76" s="41"/>
      <c r="E76" s="41"/>
      <c r="F76" s="41"/>
      <c r="G76" s="41"/>
      <c r="H76" s="41"/>
      <c r="I76" s="41"/>
      <c r="J76" s="2"/>
    </row>
    <row r="77" spans="1:10" x14ac:dyDescent="0.25">
      <c r="A77" s="20" t="s">
        <v>34</v>
      </c>
      <c r="B77" s="42">
        <v>41424</v>
      </c>
      <c r="C77" s="41"/>
      <c r="D77" s="41"/>
      <c r="E77" s="41"/>
      <c r="F77" s="41"/>
      <c r="G77" s="41"/>
      <c r="H77" s="41"/>
      <c r="I77" s="41"/>
      <c r="J77" s="2"/>
    </row>
    <row r="78" spans="1:10" x14ac:dyDescent="0.25">
      <c r="A78" s="20" t="s">
        <v>206</v>
      </c>
      <c r="B78" s="589">
        <v>38473</v>
      </c>
      <c r="C78" s="590"/>
      <c r="D78" s="41"/>
      <c r="E78" s="41"/>
      <c r="F78" s="41"/>
      <c r="G78" s="41"/>
      <c r="H78" s="41"/>
      <c r="I78" s="41"/>
      <c r="J78" s="2"/>
    </row>
    <row r="79" spans="1:10" x14ac:dyDescent="0.25">
      <c r="A79" s="20" t="s">
        <v>207</v>
      </c>
      <c r="B79" s="589">
        <v>41424</v>
      </c>
      <c r="C79" s="590"/>
      <c r="D79" s="41"/>
      <c r="E79" s="41"/>
      <c r="F79" s="41"/>
      <c r="G79" s="41"/>
      <c r="H79" s="41"/>
      <c r="I79" s="41"/>
      <c r="J79" s="2"/>
    </row>
    <row r="80" spans="1:10" x14ac:dyDescent="0.25">
      <c r="A80" s="20" t="s">
        <v>38</v>
      </c>
      <c r="B80" s="563">
        <f>((B79-B78)/365)-5</f>
        <v>3.0849315068493155</v>
      </c>
      <c r="C80" s="564"/>
      <c r="D80" s="41"/>
      <c r="E80" s="41"/>
      <c r="F80" s="41"/>
      <c r="G80" s="41"/>
      <c r="H80" s="41"/>
      <c r="I80" s="41"/>
      <c r="J80" s="2"/>
    </row>
    <row r="81" spans="1:10" ht="15.75" thickBot="1" x14ac:dyDescent="0.3">
      <c r="A81" s="4" t="s">
        <v>42</v>
      </c>
      <c r="B81" s="571">
        <v>1</v>
      </c>
      <c r="C81" s="596"/>
      <c r="D81" s="10"/>
      <c r="E81" s="10"/>
      <c r="F81" s="10"/>
      <c r="G81" s="10"/>
      <c r="H81" s="10"/>
      <c r="I81" s="10"/>
      <c r="J81" s="11"/>
    </row>
    <row r="82" spans="1:10" ht="15.75" thickBot="1" x14ac:dyDescent="0.3">
      <c r="A82" s="8" t="s">
        <v>41</v>
      </c>
      <c r="B82" s="580">
        <f>B80</f>
        <v>3.0849315068493155</v>
      </c>
      <c r="C82" s="594"/>
      <c r="D82" s="594"/>
      <c r="E82" s="594"/>
      <c r="F82" s="594"/>
      <c r="G82" s="594"/>
      <c r="H82" s="594"/>
      <c r="I82" s="594"/>
      <c r="J82" s="595"/>
    </row>
    <row r="83" spans="1:10" ht="15.75" thickBot="1" x14ac:dyDescent="0.3"/>
    <row r="84" spans="1:10" x14ac:dyDescent="0.25">
      <c r="A84" s="9" t="s">
        <v>229</v>
      </c>
      <c r="B84" s="574" t="s">
        <v>28</v>
      </c>
      <c r="C84" s="593"/>
      <c r="D84" s="51"/>
      <c r="E84" s="51"/>
      <c r="F84" s="51"/>
      <c r="G84" s="51"/>
      <c r="H84" s="51"/>
      <c r="I84" s="51"/>
      <c r="J84" s="52"/>
    </row>
    <row r="85" spans="1:10" x14ac:dyDescent="0.25">
      <c r="A85" s="20" t="s">
        <v>23</v>
      </c>
      <c r="B85" s="591" t="s">
        <v>133</v>
      </c>
      <c r="C85" s="592"/>
      <c r="D85" s="41"/>
      <c r="E85" s="41"/>
      <c r="F85" s="41"/>
      <c r="G85" s="41"/>
      <c r="H85" s="41"/>
      <c r="I85" s="41"/>
      <c r="J85" s="2"/>
    </row>
    <row r="86" spans="1:10" x14ac:dyDescent="0.25">
      <c r="A86" s="20" t="s">
        <v>24</v>
      </c>
      <c r="B86" s="41" t="s">
        <v>134</v>
      </c>
      <c r="C86" s="41"/>
      <c r="D86" s="41"/>
      <c r="E86" s="41"/>
      <c r="F86" s="41"/>
      <c r="G86" s="41"/>
      <c r="H86" s="41"/>
      <c r="I86" s="41"/>
      <c r="J86" s="2"/>
    </row>
    <row r="87" spans="1:10" x14ac:dyDescent="0.25">
      <c r="A87" s="20" t="s">
        <v>25</v>
      </c>
      <c r="B87" s="41" t="s">
        <v>143</v>
      </c>
      <c r="C87" s="41"/>
      <c r="D87" s="41"/>
      <c r="E87" s="41"/>
      <c r="F87" s="41"/>
      <c r="G87" s="41"/>
      <c r="H87" s="41"/>
      <c r="I87" s="41"/>
      <c r="J87" s="2"/>
    </row>
    <row r="88" spans="1:10" x14ac:dyDescent="0.25">
      <c r="A88" s="20" t="s">
        <v>26</v>
      </c>
      <c r="B88" s="41" t="s">
        <v>144</v>
      </c>
      <c r="C88" s="41"/>
      <c r="D88" s="41"/>
      <c r="E88" s="41"/>
      <c r="F88" s="41"/>
      <c r="G88" s="41"/>
      <c r="H88" s="41"/>
      <c r="I88" s="41"/>
      <c r="J88" s="2"/>
    </row>
    <row r="89" spans="1:10" x14ac:dyDescent="0.25">
      <c r="A89" s="20" t="s">
        <v>27</v>
      </c>
      <c r="B89" s="591" t="s">
        <v>145</v>
      </c>
      <c r="C89" s="592"/>
      <c r="D89" s="41"/>
      <c r="E89" s="41"/>
      <c r="F89" s="41"/>
      <c r="G89" s="41"/>
      <c r="H89" s="41"/>
      <c r="I89" s="41"/>
      <c r="J89" s="2"/>
    </row>
    <row r="90" spans="1:10" x14ac:dyDescent="0.25">
      <c r="A90" s="20" t="s">
        <v>35</v>
      </c>
      <c r="B90" s="42">
        <v>37316</v>
      </c>
      <c r="C90" s="41"/>
      <c r="D90" s="41"/>
      <c r="E90" s="41"/>
      <c r="F90" s="41"/>
      <c r="G90" s="41"/>
      <c r="H90" s="41"/>
      <c r="I90" s="41"/>
      <c r="J90" s="2"/>
    </row>
    <row r="91" spans="1:10" x14ac:dyDescent="0.25">
      <c r="A91" s="20" t="s">
        <v>34</v>
      </c>
      <c r="B91" s="42">
        <v>40421</v>
      </c>
      <c r="C91" s="41"/>
      <c r="D91" s="41"/>
      <c r="E91" s="41"/>
      <c r="F91" s="41"/>
      <c r="G91" s="41"/>
      <c r="H91" s="41"/>
      <c r="I91" s="41"/>
      <c r="J91" s="2"/>
    </row>
    <row r="92" spans="1:10" x14ac:dyDescent="0.25">
      <c r="A92" s="20" t="s">
        <v>206</v>
      </c>
      <c r="B92" s="589">
        <v>37316</v>
      </c>
      <c r="C92" s="590"/>
      <c r="D92" s="41"/>
      <c r="E92" s="41"/>
      <c r="F92" s="41"/>
      <c r="G92" s="41"/>
      <c r="H92" s="41"/>
      <c r="I92" s="41"/>
      <c r="J92" s="2"/>
    </row>
    <row r="93" spans="1:10" x14ac:dyDescent="0.25">
      <c r="A93" s="20" t="s">
        <v>209</v>
      </c>
      <c r="B93" s="589">
        <v>40421</v>
      </c>
      <c r="C93" s="590"/>
      <c r="D93" s="41"/>
      <c r="E93" s="41"/>
      <c r="F93" s="41"/>
      <c r="G93" s="41"/>
      <c r="H93" s="41"/>
      <c r="I93" s="41"/>
      <c r="J93" s="2"/>
    </row>
    <row r="94" spans="1:10" x14ac:dyDescent="0.25">
      <c r="A94" s="20" t="s">
        <v>38</v>
      </c>
      <c r="B94" s="591">
        <f>((B93-B92)/365)-5</f>
        <v>3.506849315068493</v>
      </c>
      <c r="C94" s="592"/>
      <c r="D94" s="41"/>
      <c r="E94" s="41"/>
      <c r="F94" s="41"/>
      <c r="G94" s="41"/>
      <c r="H94" s="41"/>
      <c r="I94" s="41"/>
      <c r="J94" s="2"/>
    </row>
    <row r="95" spans="1:10" ht="15.75" thickBot="1" x14ac:dyDescent="0.3">
      <c r="A95" s="4" t="s">
        <v>42</v>
      </c>
      <c r="B95" s="571">
        <v>1</v>
      </c>
      <c r="C95" s="596"/>
      <c r="D95" s="10"/>
      <c r="E95" s="10"/>
      <c r="F95" s="10"/>
      <c r="G95" s="10"/>
      <c r="H95" s="10"/>
      <c r="I95" s="10"/>
      <c r="J95" s="11"/>
    </row>
    <row r="96" spans="1:10" ht="15.75" thickBot="1" x14ac:dyDescent="0.3">
      <c r="A96" s="8" t="s">
        <v>41</v>
      </c>
      <c r="B96" s="594">
        <f>B94</f>
        <v>3.506849315068493</v>
      </c>
      <c r="C96" s="594"/>
      <c r="D96" s="594"/>
      <c r="E96" s="594"/>
      <c r="F96" s="594"/>
      <c r="G96" s="594"/>
      <c r="H96" s="594"/>
      <c r="I96" s="594"/>
      <c r="J96" s="595"/>
    </row>
    <row r="97" spans="1:10" ht="15.75" thickBot="1" x14ac:dyDescent="0.3"/>
    <row r="98" spans="1:10" x14ac:dyDescent="0.25">
      <c r="A98" s="9" t="s">
        <v>228</v>
      </c>
      <c r="B98" s="574" t="s">
        <v>28</v>
      </c>
      <c r="C98" s="593"/>
      <c r="D98" s="51"/>
      <c r="E98" s="51"/>
      <c r="F98" s="51"/>
      <c r="G98" s="51"/>
      <c r="H98" s="51"/>
      <c r="I98" s="51"/>
      <c r="J98" s="52"/>
    </row>
    <row r="99" spans="1:10" x14ac:dyDescent="0.25">
      <c r="A99" s="21" t="s">
        <v>23</v>
      </c>
      <c r="B99" s="591" t="s">
        <v>146</v>
      </c>
      <c r="C99" s="592"/>
      <c r="D99" s="41"/>
      <c r="E99" s="41"/>
      <c r="F99" s="41"/>
      <c r="G99" s="41"/>
      <c r="H99" s="41"/>
      <c r="I99" s="41"/>
      <c r="J99" s="2"/>
    </row>
    <row r="100" spans="1:10" x14ac:dyDescent="0.25">
      <c r="A100" s="20" t="s">
        <v>24</v>
      </c>
      <c r="B100" s="41" t="s">
        <v>147</v>
      </c>
      <c r="C100" s="41"/>
      <c r="D100" s="41"/>
      <c r="E100" s="41"/>
      <c r="F100" s="41"/>
      <c r="G100" s="41"/>
      <c r="H100" s="41"/>
      <c r="I100" s="41"/>
      <c r="J100" s="2"/>
    </row>
    <row r="101" spans="1:10" x14ac:dyDescent="0.25">
      <c r="A101" s="20" t="s">
        <v>25</v>
      </c>
      <c r="B101" s="41" t="s">
        <v>148</v>
      </c>
      <c r="C101" s="41"/>
      <c r="D101" s="41"/>
      <c r="E101" s="41"/>
      <c r="F101" s="41"/>
      <c r="G101" s="41"/>
      <c r="H101" s="41"/>
      <c r="I101" s="41"/>
      <c r="J101" s="2"/>
    </row>
    <row r="102" spans="1:10" x14ac:dyDescent="0.25">
      <c r="A102" s="20" t="s">
        <v>26</v>
      </c>
      <c r="B102" s="41" t="s">
        <v>149</v>
      </c>
      <c r="C102" s="41"/>
      <c r="D102" s="41"/>
      <c r="E102" s="41"/>
      <c r="F102" s="41"/>
      <c r="G102" s="41"/>
      <c r="H102" s="41"/>
      <c r="I102" s="41"/>
      <c r="J102" s="2"/>
    </row>
    <row r="103" spans="1:10" x14ac:dyDescent="0.25">
      <c r="A103" s="20" t="s">
        <v>27</v>
      </c>
      <c r="B103" s="591" t="s">
        <v>125</v>
      </c>
      <c r="C103" s="592"/>
      <c r="D103" s="41"/>
      <c r="E103" s="41"/>
      <c r="F103" s="41"/>
      <c r="G103" s="41"/>
      <c r="H103" s="41"/>
      <c r="I103" s="41"/>
      <c r="J103" s="2"/>
    </row>
    <row r="104" spans="1:10" x14ac:dyDescent="0.25">
      <c r="A104" s="20" t="s">
        <v>35</v>
      </c>
      <c r="B104" s="42">
        <v>35081</v>
      </c>
      <c r="C104" s="41"/>
      <c r="D104" s="41"/>
      <c r="E104" s="41"/>
      <c r="F104" s="41"/>
      <c r="G104" s="41"/>
      <c r="H104" s="41"/>
      <c r="I104" s="41"/>
      <c r="J104" s="2"/>
    </row>
    <row r="105" spans="1:10" x14ac:dyDescent="0.25">
      <c r="A105" s="20" t="s">
        <v>34</v>
      </c>
      <c r="B105" s="42">
        <v>38230</v>
      </c>
      <c r="C105" s="41"/>
      <c r="D105" s="41"/>
      <c r="E105" s="41"/>
      <c r="F105" s="41"/>
      <c r="G105" s="41"/>
      <c r="H105" s="41"/>
      <c r="I105" s="41"/>
      <c r="J105" s="2"/>
    </row>
    <row r="106" spans="1:10" x14ac:dyDescent="0.25">
      <c r="A106" s="20" t="s">
        <v>208</v>
      </c>
      <c r="B106" s="589">
        <v>35081</v>
      </c>
      <c r="C106" s="590"/>
      <c r="D106" s="41"/>
      <c r="E106" s="41"/>
      <c r="F106" s="41"/>
      <c r="G106" s="41"/>
      <c r="H106" s="41"/>
      <c r="I106" s="41"/>
      <c r="J106" s="2"/>
    </row>
    <row r="107" spans="1:10" x14ac:dyDescent="0.25">
      <c r="A107" s="20" t="s">
        <v>207</v>
      </c>
      <c r="B107" s="589">
        <v>38230</v>
      </c>
      <c r="C107" s="590"/>
      <c r="D107" s="41"/>
      <c r="E107" s="41"/>
      <c r="F107" s="41"/>
      <c r="G107" s="41"/>
      <c r="H107" s="41"/>
      <c r="I107" s="41"/>
      <c r="J107" s="2"/>
    </row>
    <row r="108" spans="1:10" x14ac:dyDescent="0.25">
      <c r="A108" s="20" t="s">
        <v>38</v>
      </c>
      <c r="B108" s="563">
        <f>((B107-B106)/365)-5</f>
        <v>3.6273972602739732</v>
      </c>
      <c r="C108" s="564"/>
      <c r="D108" s="41"/>
      <c r="E108" s="41"/>
      <c r="F108" s="41"/>
      <c r="G108" s="41"/>
      <c r="H108" s="41"/>
      <c r="I108" s="41"/>
      <c r="J108" s="2"/>
    </row>
    <row r="109" spans="1:10" ht="15.75" thickBot="1" x14ac:dyDescent="0.3">
      <c r="A109" s="4" t="s">
        <v>42</v>
      </c>
      <c r="B109" s="571">
        <v>1</v>
      </c>
      <c r="C109" s="596"/>
      <c r="D109" s="10"/>
      <c r="E109" s="10"/>
      <c r="F109" s="10"/>
      <c r="G109" s="10"/>
      <c r="H109" s="10"/>
      <c r="I109" s="10"/>
      <c r="J109" s="11"/>
    </row>
    <row r="110" spans="1:10" ht="15.75" thickBot="1" x14ac:dyDescent="0.3">
      <c r="A110" s="8" t="s">
        <v>41</v>
      </c>
      <c r="B110" s="580">
        <f>B108</f>
        <v>3.6273972602739732</v>
      </c>
      <c r="C110" s="594"/>
      <c r="D110" s="594"/>
      <c r="E110" s="594"/>
      <c r="F110" s="594"/>
      <c r="G110" s="594"/>
      <c r="H110" s="594"/>
      <c r="I110" s="594"/>
      <c r="J110" s="595"/>
    </row>
  </sheetData>
  <mergeCells count="61">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 ref="B22:D22"/>
    <mergeCell ref="B23:D23"/>
    <mergeCell ref="B24:D24"/>
    <mergeCell ref="B25:D25"/>
    <mergeCell ref="B28:C28"/>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85:C85"/>
    <mergeCell ref="B65:C65"/>
    <mergeCell ref="B66:C66"/>
    <mergeCell ref="B67:C67"/>
    <mergeCell ref="B70:C70"/>
    <mergeCell ref="B71:C71"/>
    <mergeCell ref="B75:C75"/>
    <mergeCell ref="B78:C78"/>
    <mergeCell ref="B79:C79"/>
    <mergeCell ref="B80:C80"/>
    <mergeCell ref="B81:C81"/>
    <mergeCell ref="B84:C84"/>
    <mergeCell ref="B109:C109"/>
    <mergeCell ref="B89:C89"/>
    <mergeCell ref="B92:C92"/>
    <mergeCell ref="B93:C93"/>
    <mergeCell ref="B94:C94"/>
    <mergeCell ref="B95:C95"/>
    <mergeCell ref="B98:C98"/>
    <mergeCell ref="B99:C99"/>
    <mergeCell ref="B103:C103"/>
    <mergeCell ref="B106:C106"/>
    <mergeCell ref="B107:C107"/>
    <mergeCell ref="B108:C108"/>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x14ac:dyDescent="0.2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x14ac:dyDescent="0.25">
      <c r="A6" s="391" t="s">
        <v>201</v>
      </c>
      <c r="B6" s="391"/>
      <c r="C6" s="391"/>
      <c r="D6" s="391"/>
      <c r="E6" s="391"/>
      <c r="F6" s="391"/>
      <c r="G6" s="391"/>
      <c r="H6" s="391"/>
      <c r="I6" s="391"/>
      <c r="J6" s="391"/>
      <c r="K6" s="391"/>
      <c r="L6" s="391"/>
      <c r="M6" s="391"/>
      <c r="N6" s="391"/>
      <c r="O6" s="391"/>
      <c r="P6" s="391"/>
      <c r="Q6" s="391"/>
      <c r="R6" s="391"/>
      <c r="S6" s="391"/>
      <c r="T6" s="391"/>
      <c r="U6" s="391"/>
      <c r="V6" s="391"/>
      <c r="W6" s="391"/>
    </row>
    <row r="7" spans="1:23" x14ac:dyDescent="0.25">
      <c r="A7" s="391" t="s">
        <v>202</v>
      </c>
      <c r="B7" s="391"/>
      <c r="C7" s="391"/>
      <c r="D7" s="391"/>
      <c r="E7" s="391"/>
      <c r="F7" s="391"/>
      <c r="G7" s="391"/>
      <c r="H7" s="391"/>
      <c r="I7" s="391"/>
      <c r="J7" s="391"/>
      <c r="K7" s="391"/>
      <c r="L7" s="391"/>
      <c r="M7" s="391"/>
      <c r="N7" s="391"/>
      <c r="O7" s="391"/>
      <c r="P7" s="391"/>
      <c r="Q7" s="391"/>
      <c r="R7" s="391"/>
      <c r="S7" s="391"/>
      <c r="T7" s="391"/>
      <c r="U7" s="391"/>
      <c r="V7" s="391"/>
      <c r="W7" s="391"/>
    </row>
    <row r="8" spans="1:23" x14ac:dyDescent="0.25">
      <c r="A8" s="391" t="s">
        <v>203</v>
      </c>
      <c r="B8" s="391"/>
      <c r="C8" s="391"/>
      <c r="D8" s="391"/>
      <c r="E8" s="391"/>
      <c r="F8" s="391"/>
      <c r="G8" s="391"/>
      <c r="H8" s="391"/>
      <c r="I8" s="391"/>
      <c r="J8" s="391"/>
      <c r="K8" s="391"/>
      <c r="L8" s="391"/>
      <c r="M8" s="391"/>
      <c r="N8" s="391"/>
      <c r="O8" s="391"/>
      <c r="P8" s="391"/>
      <c r="Q8" s="391"/>
      <c r="R8" s="391"/>
      <c r="S8" s="391"/>
      <c r="T8" s="391"/>
      <c r="U8" s="391"/>
      <c r="V8" s="391"/>
      <c r="W8" s="391"/>
    </row>
    <row r="9" spans="1:23" x14ac:dyDescent="0.25">
      <c r="A9" s="391" t="s">
        <v>473</v>
      </c>
      <c r="B9" s="391"/>
      <c r="C9" s="391"/>
      <c r="D9" s="391"/>
      <c r="E9" s="391"/>
      <c r="F9" s="391"/>
      <c r="G9" s="391"/>
      <c r="H9" s="391"/>
      <c r="I9" s="391"/>
      <c r="J9" s="391"/>
      <c r="K9" s="391"/>
      <c r="L9" s="391"/>
      <c r="M9" s="391"/>
      <c r="N9" s="391"/>
      <c r="O9" s="391"/>
      <c r="P9" s="391"/>
      <c r="Q9" s="391"/>
      <c r="R9" s="391"/>
      <c r="S9" s="391"/>
      <c r="T9" s="391"/>
      <c r="U9" s="391"/>
      <c r="V9" s="391"/>
      <c r="W9" s="391"/>
    </row>
    <row r="11" spans="1:23" x14ac:dyDescent="0.25">
      <c r="A11" s="12" t="s">
        <v>13</v>
      </c>
      <c r="B11" s="597" t="s">
        <v>197</v>
      </c>
      <c r="C11" s="597"/>
      <c r="D11" s="597"/>
      <c r="E11" s="597"/>
      <c r="F11" s="597"/>
      <c r="G11" s="597"/>
      <c r="H11" s="597"/>
      <c r="I11" s="597"/>
      <c r="J11" s="597"/>
      <c r="K11" s="597"/>
      <c r="L11" s="597"/>
      <c r="M11" s="597"/>
      <c r="N11" s="597"/>
      <c r="O11" s="597"/>
      <c r="P11" s="597"/>
      <c r="Q11" s="597"/>
      <c r="R11" s="597"/>
      <c r="S11" s="597"/>
      <c r="T11" s="597"/>
      <c r="U11" s="597"/>
      <c r="V11" s="597"/>
      <c r="W11" s="597"/>
    </row>
    <row r="12" spans="1:23" x14ac:dyDescent="0.25">
      <c r="A12" s="12" t="s">
        <v>43</v>
      </c>
      <c r="B12" s="82">
        <f>SUM(B26,B40,B54,B68,B82,B96,B110)</f>
        <v>31.345205479452055</v>
      </c>
      <c r="C12" s="16"/>
      <c r="D12" s="16"/>
      <c r="E12" s="16"/>
      <c r="F12" s="16"/>
      <c r="G12" s="16"/>
      <c r="H12" s="16"/>
      <c r="I12" s="16"/>
      <c r="J12" s="16"/>
    </row>
    <row r="13" spans="1:23" ht="15.75" thickBot="1" x14ac:dyDescent="0.3"/>
    <row r="14" spans="1:23" x14ac:dyDescent="0.25">
      <c r="A14" s="9" t="s">
        <v>221</v>
      </c>
      <c r="B14" s="51" t="s">
        <v>28</v>
      </c>
      <c r="C14" s="51" t="s">
        <v>29</v>
      </c>
      <c r="D14" s="51" t="s">
        <v>30</v>
      </c>
      <c r="E14" s="51" t="s">
        <v>31</v>
      </c>
      <c r="F14" s="51" t="s">
        <v>32</v>
      </c>
      <c r="G14" s="51" t="s">
        <v>33</v>
      </c>
      <c r="H14" s="51" t="s">
        <v>261</v>
      </c>
      <c r="I14" s="51" t="s">
        <v>260</v>
      </c>
      <c r="J14" s="52" t="s">
        <v>259</v>
      </c>
      <c r="K14" s="51" t="s">
        <v>293</v>
      </c>
      <c r="L14" s="52" t="s">
        <v>292</v>
      </c>
      <c r="M14" s="51" t="s">
        <v>291</v>
      </c>
      <c r="N14" s="52" t="s">
        <v>290</v>
      </c>
      <c r="O14" s="51" t="s">
        <v>289</v>
      </c>
      <c r="P14" s="52" t="s">
        <v>288</v>
      </c>
      <c r="Q14" s="51" t="s">
        <v>287</v>
      </c>
      <c r="R14" s="52" t="s">
        <v>286</v>
      </c>
      <c r="S14" s="51" t="s">
        <v>285</v>
      </c>
      <c r="T14" s="52" t="s">
        <v>284</v>
      </c>
    </row>
    <row r="15" spans="1:23" x14ac:dyDescent="0.25">
      <c r="A15" s="1" t="s">
        <v>23</v>
      </c>
      <c r="B15" s="41" t="s">
        <v>412</v>
      </c>
      <c r="C15" s="41" t="s">
        <v>417</v>
      </c>
      <c r="D15" s="41" t="s">
        <v>417</v>
      </c>
      <c r="E15" s="41" t="s">
        <v>415</v>
      </c>
      <c r="F15" s="41" t="s">
        <v>416</v>
      </c>
      <c r="G15" s="41" t="s">
        <v>417</v>
      </c>
      <c r="H15" s="41" t="s">
        <v>418</v>
      </c>
      <c r="I15" s="41" t="s">
        <v>418</v>
      </c>
      <c r="J15" s="41" t="s">
        <v>419</v>
      </c>
      <c r="K15" s="41" t="s">
        <v>419</v>
      </c>
      <c r="L15" s="41" t="s">
        <v>419</v>
      </c>
      <c r="M15" s="41" t="s">
        <v>419</v>
      </c>
      <c r="N15" s="41" t="s">
        <v>419</v>
      </c>
      <c r="O15" s="41" t="s">
        <v>419</v>
      </c>
      <c r="P15" s="41" t="s">
        <v>419</v>
      </c>
      <c r="Q15" s="41" t="s">
        <v>419</v>
      </c>
      <c r="R15" s="41" t="s">
        <v>419</v>
      </c>
      <c r="S15" s="41" t="s">
        <v>419</v>
      </c>
      <c r="T15" s="2" t="s">
        <v>419</v>
      </c>
    </row>
    <row r="16" spans="1:23" x14ac:dyDescent="0.25">
      <c r="A16" s="1" t="s">
        <v>24</v>
      </c>
      <c r="B16" s="41" t="s">
        <v>364</v>
      </c>
      <c r="C16" s="41" t="s">
        <v>339</v>
      </c>
      <c r="D16" s="41" t="s">
        <v>339</v>
      </c>
      <c r="E16" s="41" t="s">
        <v>363</v>
      </c>
      <c r="F16" s="41" t="s">
        <v>362</v>
      </c>
      <c r="G16" s="41" t="s">
        <v>339</v>
      </c>
      <c r="H16" s="41" t="s">
        <v>361</v>
      </c>
      <c r="I16" s="41" t="s">
        <v>361</v>
      </c>
      <c r="J16" s="41" t="s">
        <v>360</v>
      </c>
      <c r="K16" s="41" t="s">
        <v>360</v>
      </c>
      <c r="L16" s="41" t="s">
        <v>360</v>
      </c>
      <c r="M16" s="41" t="s">
        <v>360</v>
      </c>
      <c r="N16" s="41" t="s">
        <v>360</v>
      </c>
      <c r="O16" s="41" t="s">
        <v>360</v>
      </c>
      <c r="P16" s="41" t="s">
        <v>360</v>
      </c>
      <c r="Q16" s="41" t="s">
        <v>360</v>
      </c>
      <c r="R16" s="41" t="s">
        <v>360</v>
      </c>
      <c r="S16" s="41" t="s">
        <v>360</v>
      </c>
      <c r="T16" s="2" t="s">
        <v>360</v>
      </c>
    </row>
    <row r="17" spans="1:23" x14ac:dyDescent="0.25">
      <c r="A17" s="1" t="s">
        <v>25</v>
      </c>
      <c r="B17" s="41" t="s">
        <v>359</v>
      </c>
      <c r="C17" s="41" t="s">
        <v>358</v>
      </c>
      <c r="D17" s="41" t="s">
        <v>341</v>
      </c>
      <c r="E17" s="41" t="s">
        <v>357</v>
      </c>
      <c r="F17" s="41" t="s">
        <v>356</v>
      </c>
      <c r="G17" s="41" t="s">
        <v>355</v>
      </c>
      <c r="H17" s="41" t="s">
        <v>354</v>
      </c>
      <c r="I17" s="41" t="s">
        <v>353</v>
      </c>
      <c r="J17" s="41" t="s">
        <v>352</v>
      </c>
      <c r="K17" s="41" t="s">
        <v>351</v>
      </c>
      <c r="L17" s="41" t="s">
        <v>350</v>
      </c>
      <c r="M17" s="41" t="s">
        <v>349</v>
      </c>
      <c r="N17" s="41" t="s">
        <v>348</v>
      </c>
      <c r="O17" s="41" t="s">
        <v>347</v>
      </c>
      <c r="P17" s="41" t="s">
        <v>346</v>
      </c>
      <c r="Q17" s="41" t="s">
        <v>345</v>
      </c>
      <c r="R17" s="41" t="s">
        <v>344</v>
      </c>
      <c r="S17" s="41" t="s">
        <v>343</v>
      </c>
      <c r="T17" s="2" t="s">
        <v>342</v>
      </c>
    </row>
    <row r="18" spans="1:23" x14ac:dyDescent="0.25">
      <c r="A18" s="1" t="s">
        <v>26</v>
      </c>
      <c r="B18" s="41" t="s">
        <v>119</v>
      </c>
      <c r="C18" s="41" t="s">
        <v>119</v>
      </c>
      <c r="D18" s="41" t="s">
        <v>119</v>
      </c>
      <c r="E18" s="41" t="s">
        <v>119</v>
      </c>
      <c r="F18" s="41" t="s">
        <v>119</v>
      </c>
      <c r="G18" s="41" t="s">
        <v>119</v>
      </c>
      <c r="H18" s="41" t="s">
        <v>119</v>
      </c>
      <c r="I18" s="41" t="s">
        <v>119</v>
      </c>
      <c r="J18" s="41" t="s">
        <v>119</v>
      </c>
      <c r="K18" s="41" t="s">
        <v>119</v>
      </c>
      <c r="L18" s="41" t="s">
        <v>119</v>
      </c>
      <c r="M18" s="41" t="s">
        <v>119</v>
      </c>
      <c r="N18" s="41" t="s">
        <v>119</v>
      </c>
      <c r="O18" s="41" t="s">
        <v>119</v>
      </c>
      <c r="P18" s="41" t="s">
        <v>119</v>
      </c>
      <c r="Q18" s="41" t="s">
        <v>119</v>
      </c>
      <c r="R18" s="41" t="s">
        <v>119</v>
      </c>
      <c r="S18" s="41" t="s">
        <v>119</v>
      </c>
      <c r="T18" s="2" t="s">
        <v>119</v>
      </c>
    </row>
    <row r="19" spans="1:23" x14ac:dyDescent="0.25">
      <c r="A19" s="1" t="s">
        <v>27</v>
      </c>
      <c r="B19" s="41" t="s">
        <v>413</v>
      </c>
      <c r="C19" s="41" t="s">
        <v>420</v>
      </c>
      <c r="D19" s="41" t="s">
        <v>421</v>
      </c>
      <c r="E19" s="41" t="s">
        <v>213</v>
      </c>
      <c r="F19" s="41" t="s">
        <v>213</v>
      </c>
      <c r="G19" s="41" t="s">
        <v>213</v>
      </c>
      <c r="H19" s="41" t="s">
        <v>213</v>
      </c>
      <c r="I19" s="41" t="s">
        <v>213</v>
      </c>
      <c r="J19" s="591" t="s">
        <v>422</v>
      </c>
      <c r="K19" s="566"/>
      <c r="L19" s="566"/>
      <c r="M19" s="566"/>
      <c r="N19" s="566"/>
      <c r="O19" s="566"/>
      <c r="P19" s="592"/>
      <c r="Q19" s="41" t="s">
        <v>423</v>
      </c>
      <c r="R19" s="591" t="s">
        <v>422</v>
      </c>
      <c r="S19" s="566"/>
      <c r="T19" s="567"/>
    </row>
    <row r="20" spans="1:23" x14ac:dyDescent="0.25">
      <c r="A20" s="1" t="s">
        <v>35</v>
      </c>
      <c r="B20" s="42">
        <v>32804</v>
      </c>
      <c r="C20" s="68">
        <v>33820</v>
      </c>
      <c r="D20" s="42">
        <v>34173</v>
      </c>
      <c r="E20" s="42">
        <v>35363</v>
      </c>
      <c r="F20" s="42">
        <v>35376</v>
      </c>
      <c r="G20" s="42">
        <v>35989</v>
      </c>
      <c r="H20" s="42">
        <v>36054</v>
      </c>
      <c r="I20" s="42">
        <v>36251</v>
      </c>
      <c r="J20" s="42">
        <v>36992</v>
      </c>
      <c r="K20" s="42">
        <v>38671</v>
      </c>
      <c r="L20" s="42">
        <v>39114</v>
      </c>
      <c r="M20" s="42">
        <v>39777</v>
      </c>
      <c r="N20" s="42">
        <v>40102</v>
      </c>
      <c r="O20" s="42">
        <v>40177</v>
      </c>
      <c r="P20" s="42">
        <v>40317</v>
      </c>
      <c r="Q20" s="42">
        <v>40498</v>
      </c>
      <c r="R20" s="42">
        <v>40607</v>
      </c>
      <c r="S20" s="42">
        <v>40800</v>
      </c>
      <c r="T20" s="15">
        <v>41320</v>
      </c>
    </row>
    <row r="21" spans="1:23" x14ac:dyDescent="0.25">
      <c r="A21" s="1" t="s">
        <v>34</v>
      </c>
      <c r="B21" s="42">
        <v>33819</v>
      </c>
      <c r="C21" s="42">
        <v>34172</v>
      </c>
      <c r="D21" s="42">
        <v>34407</v>
      </c>
      <c r="E21" s="42">
        <v>35394</v>
      </c>
      <c r="F21" s="42">
        <v>35406</v>
      </c>
      <c r="G21" s="42">
        <v>36019</v>
      </c>
      <c r="H21" s="42">
        <v>36145</v>
      </c>
      <c r="I21" s="42">
        <v>36403</v>
      </c>
      <c r="J21" s="42">
        <v>37057</v>
      </c>
      <c r="K21" s="42">
        <v>38971</v>
      </c>
      <c r="L21" s="42">
        <v>39295</v>
      </c>
      <c r="M21" s="42">
        <v>39869</v>
      </c>
      <c r="N21" s="42">
        <v>40178</v>
      </c>
      <c r="O21" s="42">
        <v>40428</v>
      </c>
      <c r="P21" s="42">
        <v>40521</v>
      </c>
      <c r="Q21" s="42">
        <v>40862</v>
      </c>
      <c r="R21" s="42">
        <v>40667</v>
      </c>
      <c r="S21" s="42">
        <v>41182</v>
      </c>
      <c r="T21" s="15">
        <v>41607</v>
      </c>
    </row>
    <row r="22" spans="1:23" x14ac:dyDescent="0.25">
      <c r="A22" s="1" t="s">
        <v>206</v>
      </c>
      <c r="B22" s="42">
        <v>32804</v>
      </c>
      <c r="C22" s="68">
        <v>33820</v>
      </c>
      <c r="D22" s="42">
        <v>34173</v>
      </c>
      <c r="E22" s="42">
        <v>35363</v>
      </c>
      <c r="F22" s="42">
        <v>35376</v>
      </c>
      <c r="G22" s="42">
        <v>35989</v>
      </c>
      <c r="H22" s="42">
        <v>36054</v>
      </c>
      <c r="I22" s="42">
        <v>36251</v>
      </c>
      <c r="J22" s="42">
        <v>36992</v>
      </c>
      <c r="K22" s="42">
        <v>38671</v>
      </c>
      <c r="L22" s="42">
        <v>39114</v>
      </c>
      <c r="M22" s="42">
        <v>39777</v>
      </c>
      <c r="N22" s="42">
        <v>40102</v>
      </c>
      <c r="O22" s="42">
        <v>40177</v>
      </c>
      <c r="P22" s="42">
        <v>40317</v>
      </c>
      <c r="Q22" s="42">
        <v>40498</v>
      </c>
      <c r="R22" s="42">
        <v>40607</v>
      </c>
      <c r="S22" s="42">
        <v>40800</v>
      </c>
      <c r="T22" s="15">
        <v>41320</v>
      </c>
    </row>
    <row r="23" spans="1:23" x14ac:dyDescent="0.25">
      <c r="A23" s="1" t="s">
        <v>207</v>
      </c>
      <c r="B23" s="42">
        <v>33819</v>
      </c>
      <c r="C23" s="42">
        <v>34172</v>
      </c>
      <c r="D23" s="42">
        <v>34407</v>
      </c>
      <c r="E23" s="42">
        <v>35394</v>
      </c>
      <c r="F23" s="42">
        <v>35406</v>
      </c>
      <c r="G23" s="42">
        <v>36019</v>
      </c>
      <c r="H23" s="42">
        <v>36145</v>
      </c>
      <c r="I23" s="42">
        <v>36403</v>
      </c>
      <c r="J23" s="42">
        <v>37057</v>
      </c>
      <c r="K23" s="42">
        <v>38971</v>
      </c>
      <c r="L23" s="42">
        <v>39295</v>
      </c>
      <c r="M23" s="42">
        <v>39869</v>
      </c>
      <c r="N23" s="42">
        <v>40178</v>
      </c>
      <c r="O23" s="42">
        <v>40428</v>
      </c>
      <c r="P23" s="42">
        <v>40521</v>
      </c>
      <c r="Q23" s="42">
        <v>40862</v>
      </c>
      <c r="R23" s="42">
        <v>40667</v>
      </c>
      <c r="S23" s="42">
        <v>41182</v>
      </c>
      <c r="T23" s="15">
        <v>41607</v>
      </c>
    </row>
    <row r="24" spans="1:23" x14ac:dyDescent="0.25">
      <c r="A24" s="1" t="s">
        <v>38</v>
      </c>
      <c r="B24" s="14">
        <f t="shared" ref="B24:T24" si="0">(B23-B22)/365</f>
        <v>2.7808219178082192</v>
      </c>
      <c r="C24" s="14">
        <f t="shared" si="0"/>
        <v>0.96438356164383565</v>
      </c>
      <c r="D24" s="14">
        <f t="shared" si="0"/>
        <v>0.64109589041095894</v>
      </c>
      <c r="E24" s="14">
        <f t="shared" si="0"/>
        <v>8.4931506849315067E-2</v>
      </c>
      <c r="F24" s="14">
        <f t="shared" si="0"/>
        <v>8.2191780821917804E-2</v>
      </c>
      <c r="G24" s="14">
        <f t="shared" si="0"/>
        <v>8.2191780821917804E-2</v>
      </c>
      <c r="H24" s="14">
        <f t="shared" si="0"/>
        <v>0.24931506849315069</v>
      </c>
      <c r="I24" s="14">
        <f t="shared" si="0"/>
        <v>0.41643835616438357</v>
      </c>
      <c r="J24" s="67">
        <f t="shared" si="0"/>
        <v>0.17808219178082191</v>
      </c>
      <c r="K24" s="67">
        <f t="shared" si="0"/>
        <v>0.82191780821917804</v>
      </c>
      <c r="L24" s="67">
        <f t="shared" si="0"/>
        <v>0.49589041095890413</v>
      </c>
      <c r="M24" s="67">
        <f t="shared" si="0"/>
        <v>0.25205479452054796</v>
      </c>
      <c r="N24" s="67">
        <f t="shared" si="0"/>
        <v>0.20821917808219179</v>
      </c>
      <c r="O24" s="67">
        <f t="shared" si="0"/>
        <v>0.68767123287671228</v>
      </c>
      <c r="P24" s="67">
        <f t="shared" si="0"/>
        <v>0.55890410958904113</v>
      </c>
      <c r="Q24" s="67">
        <f t="shared" si="0"/>
        <v>0.99726027397260275</v>
      </c>
      <c r="R24" s="67">
        <f t="shared" si="0"/>
        <v>0.16438356164383561</v>
      </c>
      <c r="S24" s="67">
        <f t="shared" si="0"/>
        <v>1.0465753424657533</v>
      </c>
      <c r="T24" s="67">
        <f t="shared" si="0"/>
        <v>0.78630136986301369</v>
      </c>
    </row>
    <row r="25" spans="1:23" ht="15.75" thickBot="1" x14ac:dyDescent="0.3">
      <c r="A25" s="4" t="s">
        <v>42</v>
      </c>
      <c r="B25" s="10">
        <v>1</v>
      </c>
      <c r="C25" s="10">
        <v>1</v>
      </c>
      <c r="D25" s="10">
        <v>1</v>
      </c>
      <c r="E25" s="10">
        <v>1</v>
      </c>
      <c r="F25" s="10">
        <v>1</v>
      </c>
      <c r="G25" s="10">
        <v>1</v>
      </c>
      <c r="H25" s="10">
        <v>1</v>
      </c>
      <c r="I25" s="10">
        <v>1</v>
      </c>
      <c r="J25" s="11">
        <v>1</v>
      </c>
      <c r="K25" s="11">
        <v>1</v>
      </c>
      <c r="L25" s="11">
        <v>1</v>
      </c>
      <c r="M25" s="11">
        <v>1</v>
      </c>
      <c r="N25" s="11">
        <v>1</v>
      </c>
      <c r="O25" s="11">
        <v>1</v>
      </c>
      <c r="P25" s="11">
        <v>1</v>
      </c>
      <c r="Q25" s="11">
        <v>1</v>
      </c>
      <c r="R25" s="11">
        <v>1</v>
      </c>
      <c r="S25" s="11">
        <v>1</v>
      </c>
      <c r="T25" s="11">
        <v>1</v>
      </c>
    </row>
    <row r="26" spans="1:23" ht="15.75" thickBot="1" x14ac:dyDescent="0.3">
      <c r="A26" s="8" t="s">
        <v>41</v>
      </c>
      <c r="B26" s="612">
        <f>MIN(SUMIFS(B24:J24,B25:J25,1),5)</f>
        <v>5</v>
      </c>
      <c r="C26" s="609"/>
      <c r="D26" s="609"/>
      <c r="E26" s="609"/>
      <c r="F26" s="609"/>
      <c r="G26" s="609"/>
      <c r="H26" s="609"/>
      <c r="I26" s="609"/>
      <c r="J26" s="609"/>
      <c r="K26" s="609"/>
      <c r="L26" s="609"/>
      <c r="M26" s="609"/>
      <c r="N26" s="609"/>
      <c r="O26" s="609"/>
      <c r="P26" s="609"/>
      <c r="Q26" s="609"/>
      <c r="R26" s="609"/>
      <c r="S26" s="609"/>
      <c r="T26" s="610"/>
    </row>
    <row r="27" spans="1:23" ht="17.25" customHeight="1" thickBot="1" x14ac:dyDescent="0.3">
      <c r="A27" s="43"/>
      <c r="B27" s="16"/>
      <c r="C27" s="16"/>
      <c r="D27" s="16"/>
      <c r="E27" s="16"/>
      <c r="F27" s="16"/>
      <c r="G27" s="16"/>
      <c r="H27" s="16"/>
      <c r="I27" s="16"/>
      <c r="J27" s="16"/>
    </row>
    <row r="28" spans="1:23" x14ac:dyDescent="0.25">
      <c r="A28" s="9" t="s">
        <v>223</v>
      </c>
      <c r="B28" s="51" t="s">
        <v>28</v>
      </c>
      <c r="C28" s="51" t="s">
        <v>29</v>
      </c>
      <c r="D28" s="51" t="s">
        <v>30</v>
      </c>
      <c r="E28" s="51" t="s">
        <v>31</v>
      </c>
      <c r="F28" s="51" t="s">
        <v>32</v>
      </c>
      <c r="G28" s="51" t="s">
        <v>33</v>
      </c>
      <c r="H28" s="51" t="s">
        <v>261</v>
      </c>
      <c r="I28" s="51" t="s">
        <v>260</v>
      </c>
      <c r="J28" s="51" t="s">
        <v>259</v>
      </c>
      <c r="K28" s="51" t="s">
        <v>293</v>
      </c>
      <c r="L28" s="51" t="s">
        <v>292</v>
      </c>
      <c r="M28" s="51" t="s">
        <v>291</v>
      </c>
      <c r="N28" s="51" t="s">
        <v>290</v>
      </c>
      <c r="O28" s="51" t="s">
        <v>289</v>
      </c>
      <c r="P28" s="51" t="s">
        <v>288</v>
      </c>
      <c r="Q28" s="51" t="s">
        <v>287</v>
      </c>
      <c r="R28" s="51" t="s">
        <v>286</v>
      </c>
      <c r="S28" s="51" t="s">
        <v>285</v>
      </c>
      <c r="T28" s="51" t="s">
        <v>284</v>
      </c>
      <c r="U28" s="51" t="s">
        <v>283</v>
      </c>
      <c r="V28" s="51" t="s">
        <v>282</v>
      </c>
      <c r="W28" s="52" t="s">
        <v>340</v>
      </c>
    </row>
    <row r="29" spans="1:23" x14ac:dyDescent="0.25">
      <c r="A29" s="1" t="s">
        <v>23</v>
      </c>
      <c r="B29" s="41" t="s">
        <v>417</v>
      </c>
      <c r="C29" s="41" t="s">
        <v>417</v>
      </c>
      <c r="D29" s="41" t="s">
        <v>417</v>
      </c>
      <c r="E29" s="41" t="s">
        <v>417</v>
      </c>
      <c r="F29" s="41" t="s">
        <v>424</v>
      </c>
      <c r="G29" s="41" t="s">
        <v>424</v>
      </c>
      <c r="H29" s="41" t="s">
        <v>424</v>
      </c>
      <c r="I29" s="41" t="s">
        <v>424</v>
      </c>
      <c r="J29" s="41" t="s">
        <v>424</v>
      </c>
      <c r="K29" s="41" t="s">
        <v>424</v>
      </c>
      <c r="L29" s="41" t="s">
        <v>424</v>
      </c>
      <c r="M29" s="41" t="s">
        <v>424</v>
      </c>
      <c r="N29" s="41" t="s">
        <v>424</v>
      </c>
      <c r="O29" s="41" t="s">
        <v>424</v>
      </c>
      <c r="P29" s="41" t="s">
        <v>424</v>
      </c>
      <c r="Q29" s="41" t="s">
        <v>424</v>
      </c>
      <c r="R29" s="41" t="s">
        <v>425</v>
      </c>
      <c r="S29" s="41" t="s">
        <v>426</v>
      </c>
      <c r="T29" s="41" t="s">
        <v>424</v>
      </c>
      <c r="U29" s="41" t="s">
        <v>426</v>
      </c>
      <c r="V29" s="41" t="s">
        <v>427</v>
      </c>
      <c r="W29" s="2" t="s">
        <v>428</v>
      </c>
    </row>
    <row r="30" spans="1:23" x14ac:dyDescent="0.25">
      <c r="A30" s="1" t="s">
        <v>24</v>
      </c>
      <c r="B30" s="41" t="s">
        <v>339</v>
      </c>
      <c r="C30" s="41" t="s">
        <v>339</v>
      </c>
      <c r="D30" s="41" t="s">
        <v>339</v>
      </c>
      <c r="E30" s="41" t="s">
        <v>339</v>
      </c>
      <c r="F30" s="41" t="s">
        <v>337</v>
      </c>
      <c r="G30" s="41" t="s">
        <v>337</v>
      </c>
      <c r="H30" s="41" t="s">
        <v>337</v>
      </c>
      <c r="I30" s="41" t="s">
        <v>337</v>
      </c>
      <c r="J30" s="41" t="s">
        <v>337</v>
      </c>
      <c r="K30" s="41" t="s">
        <v>337</v>
      </c>
      <c r="L30" s="41" t="s">
        <v>337</v>
      </c>
      <c r="M30" s="41" t="s">
        <v>337</v>
      </c>
      <c r="N30" s="41" t="s">
        <v>337</v>
      </c>
      <c r="O30" s="41" t="s">
        <v>337</v>
      </c>
      <c r="P30" s="41" t="s">
        <v>337</v>
      </c>
      <c r="Q30" s="41" t="s">
        <v>337</v>
      </c>
      <c r="R30" s="41" t="s">
        <v>338</v>
      </c>
      <c r="S30" s="41" t="s">
        <v>336</v>
      </c>
      <c r="T30" s="41" t="s">
        <v>337</v>
      </c>
      <c r="U30" s="41" t="s">
        <v>336</v>
      </c>
      <c r="V30" s="41" t="s">
        <v>335</v>
      </c>
      <c r="W30" s="2" t="s">
        <v>334</v>
      </c>
    </row>
    <row r="31" spans="1:23" x14ac:dyDescent="0.25">
      <c r="A31" s="1" t="s">
        <v>25</v>
      </c>
      <c r="B31" s="41" t="s">
        <v>333</v>
      </c>
      <c r="C31" s="41" t="s">
        <v>332</v>
      </c>
      <c r="D31" s="41" t="s">
        <v>331</v>
      </c>
      <c r="E31" s="41" t="s">
        <v>330</v>
      </c>
      <c r="F31" s="41" t="s">
        <v>329</v>
      </c>
      <c r="G31" s="41" t="s">
        <v>329</v>
      </c>
      <c r="H31" s="41" t="s">
        <v>329</v>
      </c>
      <c r="I31" s="41" t="s">
        <v>329</v>
      </c>
      <c r="J31" s="41" t="s">
        <v>329</v>
      </c>
      <c r="K31" s="41" t="s">
        <v>329</v>
      </c>
      <c r="L31" s="41" t="s">
        <v>329</v>
      </c>
      <c r="M31" s="41" t="s">
        <v>329</v>
      </c>
      <c r="N31" s="41" t="s">
        <v>329</v>
      </c>
      <c r="O31" s="41" t="s">
        <v>329</v>
      </c>
      <c r="P31" s="41" t="s">
        <v>329</v>
      </c>
      <c r="Q31" s="41" t="s">
        <v>329</v>
      </c>
      <c r="R31" s="41" t="s">
        <v>329</v>
      </c>
      <c r="S31" s="41" t="s">
        <v>329</v>
      </c>
      <c r="T31" s="41" t="s">
        <v>329</v>
      </c>
      <c r="U31" s="41" t="s">
        <v>329</v>
      </c>
      <c r="V31" s="41" t="s">
        <v>327</v>
      </c>
      <c r="W31" s="2" t="s">
        <v>326</v>
      </c>
    </row>
    <row r="32" spans="1:23" x14ac:dyDescent="0.25">
      <c r="A32" s="1" t="s">
        <v>26</v>
      </c>
      <c r="B32" s="41" t="s">
        <v>328</v>
      </c>
      <c r="C32" s="41" t="s">
        <v>328</v>
      </c>
      <c r="D32" s="41" t="s">
        <v>328</v>
      </c>
      <c r="E32" s="41" t="s">
        <v>328</v>
      </c>
      <c r="F32" s="41" t="s">
        <v>328</v>
      </c>
      <c r="G32" s="41" t="s">
        <v>328</v>
      </c>
      <c r="H32" s="41" t="s">
        <v>328</v>
      </c>
      <c r="I32" s="41" t="s">
        <v>328</v>
      </c>
      <c r="J32" s="41" t="s">
        <v>328</v>
      </c>
      <c r="K32" s="41" t="s">
        <v>328</v>
      </c>
      <c r="L32" s="41" t="s">
        <v>328</v>
      </c>
      <c r="M32" s="41" t="s">
        <v>328</v>
      </c>
      <c r="N32" s="41" t="s">
        <v>328</v>
      </c>
      <c r="O32" s="41" t="s">
        <v>328</v>
      </c>
      <c r="P32" s="41" t="s">
        <v>328</v>
      </c>
      <c r="Q32" s="41" t="s">
        <v>328</v>
      </c>
      <c r="R32" s="41" t="s">
        <v>328</v>
      </c>
      <c r="S32" s="41" t="s">
        <v>328</v>
      </c>
      <c r="T32" s="41" t="s">
        <v>328</v>
      </c>
      <c r="U32" s="41" t="s">
        <v>328</v>
      </c>
      <c r="V32" s="41" t="s">
        <v>328</v>
      </c>
      <c r="W32" s="2" t="s">
        <v>328</v>
      </c>
    </row>
    <row r="33" spans="1:23" x14ac:dyDescent="0.25">
      <c r="A33" s="1" t="s">
        <v>27</v>
      </c>
      <c r="B33" s="589" t="s">
        <v>429</v>
      </c>
      <c r="C33" s="578"/>
      <c r="D33" s="578"/>
      <c r="E33" s="590"/>
      <c r="F33" s="591" t="s">
        <v>430</v>
      </c>
      <c r="G33" s="566"/>
      <c r="H33" s="566"/>
      <c r="I33" s="566"/>
      <c r="J33" s="566"/>
      <c r="K33" s="566"/>
      <c r="L33" s="566"/>
      <c r="M33" s="566"/>
      <c r="N33" s="566"/>
      <c r="O33" s="566"/>
      <c r="P33" s="566"/>
      <c r="Q33" s="566"/>
      <c r="R33" s="566"/>
      <c r="S33" s="566"/>
      <c r="T33" s="566"/>
      <c r="U33" s="592"/>
      <c r="V33" s="41" t="s">
        <v>212</v>
      </c>
      <c r="W33" s="2" t="s">
        <v>431</v>
      </c>
    </row>
    <row r="34" spans="1:23" x14ac:dyDescent="0.25">
      <c r="A34" s="1" t="s">
        <v>35</v>
      </c>
      <c r="B34" s="42">
        <v>37104</v>
      </c>
      <c r="C34" s="42">
        <v>37438</v>
      </c>
      <c r="D34" s="42">
        <v>37895</v>
      </c>
      <c r="E34" s="42">
        <v>37926</v>
      </c>
      <c r="F34" s="42">
        <v>38412</v>
      </c>
      <c r="G34" s="42">
        <v>38442</v>
      </c>
      <c r="H34" s="42">
        <v>38534</v>
      </c>
      <c r="I34" s="42">
        <v>38718</v>
      </c>
      <c r="J34" s="42">
        <v>38749</v>
      </c>
      <c r="K34" s="42">
        <v>38837</v>
      </c>
      <c r="L34" s="42">
        <v>38960</v>
      </c>
      <c r="M34" s="42">
        <v>39021</v>
      </c>
      <c r="N34" s="42">
        <v>39052</v>
      </c>
      <c r="O34" s="42">
        <v>39233</v>
      </c>
      <c r="P34" s="42">
        <v>39263</v>
      </c>
      <c r="Q34" s="42">
        <v>39263</v>
      </c>
      <c r="R34" s="42">
        <v>39264</v>
      </c>
      <c r="S34" s="42">
        <v>39716</v>
      </c>
      <c r="T34" s="42">
        <v>39264</v>
      </c>
      <c r="U34" s="42">
        <v>39927</v>
      </c>
      <c r="V34" s="42">
        <v>40238</v>
      </c>
      <c r="W34" s="15">
        <v>40756</v>
      </c>
    </row>
    <row r="35" spans="1:23" x14ac:dyDescent="0.25">
      <c r="A35" s="1" t="s">
        <v>34</v>
      </c>
      <c r="B35" s="42">
        <v>37438</v>
      </c>
      <c r="C35" s="42">
        <v>37926</v>
      </c>
      <c r="D35" s="42">
        <v>37926</v>
      </c>
      <c r="E35" s="42">
        <v>38012</v>
      </c>
      <c r="F35" s="42">
        <v>38687</v>
      </c>
      <c r="G35" s="42">
        <v>38898</v>
      </c>
      <c r="H35" s="42">
        <v>38899</v>
      </c>
      <c r="I35" s="42">
        <v>39629</v>
      </c>
      <c r="J35" s="42">
        <v>38930</v>
      </c>
      <c r="K35" s="42">
        <v>39021</v>
      </c>
      <c r="L35" s="42">
        <v>39114</v>
      </c>
      <c r="M35" s="42">
        <v>39325</v>
      </c>
      <c r="N35" s="42">
        <v>39141</v>
      </c>
      <c r="O35" s="42">
        <v>39325</v>
      </c>
      <c r="P35" s="42">
        <v>39447</v>
      </c>
      <c r="Q35" s="42">
        <v>39447</v>
      </c>
      <c r="R35" s="42">
        <v>39294</v>
      </c>
      <c r="S35" s="42">
        <v>39868</v>
      </c>
      <c r="T35" s="42">
        <v>39447</v>
      </c>
      <c r="U35" s="42">
        <v>40232</v>
      </c>
      <c r="V35" s="42">
        <v>40421</v>
      </c>
      <c r="W35" s="15">
        <v>41660</v>
      </c>
    </row>
    <row r="36" spans="1:23" x14ac:dyDescent="0.25">
      <c r="A36" s="1" t="s">
        <v>206</v>
      </c>
      <c r="B36" s="42">
        <v>37104</v>
      </c>
      <c r="C36" s="42">
        <v>37438</v>
      </c>
      <c r="D36" s="42">
        <v>37895</v>
      </c>
      <c r="E36" s="42">
        <v>37926</v>
      </c>
      <c r="F36" s="42">
        <v>38412</v>
      </c>
      <c r="G36" s="42">
        <v>38442</v>
      </c>
      <c r="H36" s="42">
        <v>38534</v>
      </c>
      <c r="I36" s="42">
        <v>38718</v>
      </c>
      <c r="J36" s="42">
        <v>38749</v>
      </c>
      <c r="K36" s="42">
        <v>38837</v>
      </c>
      <c r="L36" s="42">
        <v>38960</v>
      </c>
      <c r="M36" s="42">
        <v>39021</v>
      </c>
      <c r="N36" s="42">
        <v>39052</v>
      </c>
      <c r="O36" s="42">
        <v>39233</v>
      </c>
      <c r="P36" s="42">
        <v>39232</v>
      </c>
      <c r="Q36" s="42">
        <v>39263</v>
      </c>
      <c r="R36" s="42">
        <v>39264</v>
      </c>
      <c r="S36" s="42">
        <v>39716</v>
      </c>
      <c r="T36" s="42">
        <v>39264</v>
      </c>
      <c r="U36" s="42">
        <v>39927</v>
      </c>
      <c r="V36" s="42">
        <v>40238</v>
      </c>
      <c r="W36" s="15">
        <v>40756</v>
      </c>
    </row>
    <row r="37" spans="1:23" x14ac:dyDescent="0.25">
      <c r="A37" s="1" t="s">
        <v>209</v>
      </c>
      <c r="B37" s="42">
        <v>37438</v>
      </c>
      <c r="C37" s="42">
        <v>37926</v>
      </c>
      <c r="D37" s="42">
        <v>37926</v>
      </c>
      <c r="E37" s="42">
        <v>38012</v>
      </c>
      <c r="F37" s="42">
        <v>38687</v>
      </c>
      <c r="G37" s="42">
        <v>38898</v>
      </c>
      <c r="H37" s="42">
        <v>38899</v>
      </c>
      <c r="I37" s="42">
        <v>39629</v>
      </c>
      <c r="J37" s="42">
        <v>38930</v>
      </c>
      <c r="K37" s="42">
        <v>39021</v>
      </c>
      <c r="L37" s="42">
        <v>39114</v>
      </c>
      <c r="M37" s="42">
        <v>39325</v>
      </c>
      <c r="N37" s="42">
        <v>39141</v>
      </c>
      <c r="O37" s="42">
        <v>39325</v>
      </c>
      <c r="P37" s="42">
        <v>39447</v>
      </c>
      <c r="Q37" s="42">
        <v>39447</v>
      </c>
      <c r="R37" s="42">
        <v>39294</v>
      </c>
      <c r="S37" s="42">
        <v>39868</v>
      </c>
      <c r="T37" s="42">
        <v>39447</v>
      </c>
      <c r="U37" s="42">
        <v>40232</v>
      </c>
      <c r="V37" s="42">
        <v>40421</v>
      </c>
      <c r="W37" s="15">
        <v>41660</v>
      </c>
    </row>
    <row r="38" spans="1:23" x14ac:dyDescent="0.25">
      <c r="A38" s="1" t="s">
        <v>38</v>
      </c>
      <c r="B38" s="14">
        <f t="shared" ref="B38:W38" si="1">(B37-B36)/365</f>
        <v>0.91506849315068495</v>
      </c>
      <c r="C38" s="14">
        <f t="shared" si="1"/>
        <v>1.3369863013698631</v>
      </c>
      <c r="D38" s="14">
        <f t="shared" si="1"/>
        <v>8.4931506849315067E-2</v>
      </c>
      <c r="E38" s="14">
        <f t="shared" si="1"/>
        <v>0.23561643835616439</v>
      </c>
      <c r="F38" s="14">
        <f t="shared" si="1"/>
        <v>0.75342465753424659</v>
      </c>
      <c r="G38" s="14">
        <f t="shared" si="1"/>
        <v>1.2493150684931507</v>
      </c>
      <c r="H38" s="14">
        <f t="shared" si="1"/>
        <v>1</v>
      </c>
      <c r="I38" s="14">
        <f t="shared" si="1"/>
        <v>2.495890410958904</v>
      </c>
      <c r="J38" s="14">
        <f t="shared" si="1"/>
        <v>0.49589041095890413</v>
      </c>
      <c r="K38" s="14">
        <f t="shared" si="1"/>
        <v>0.50410958904109593</v>
      </c>
      <c r="L38" s="14">
        <f t="shared" si="1"/>
        <v>0.42191780821917807</v>
      </c>
      <c r="M38" s="14">
        <f t="shared" si="1"/>
        <v>0.83287671232876714</v>
      </c>
      <c r="N38" s="14">
        <f t="shared" si="1"/>
        <v>0.24383561643835616</v>
      </c>
      <c r="O38" s="14">
        <f t="shared" si="1"/>
        <v>0.25205479452054796</v>
      </c>
      <c r="P38" s="14">
        <f t="shared" si="1"/>
        <v>0.58904109589041098</v>
      </c>
      <c r="Q38" s="14">
        <f t="shared" si="1"/>
        <v>0.50410958904109593</v>
      </c>
      <c r="R38" s="14">
        <f t="shared" si="1"/>
        <v>8.2191780821917804E-2</v>
      </c>
      <c r="S38" s="14">
        <f t="shared" si="1"/>
        <v>0.41643835616438357</v>
      </c>
      <c r="T38" s="14">
        <f t="shared" si="1"/>
        <v>0.50136986301369868</v>
      </c>
      <c r="U38" s="14">
        <f t="shared" si="1"/>
        <v>0.83561643835616439</v>
      </c>
      <c r="V38" s="14">
        <f t="shared" si="1"/>
        <v>0.50136986301369868</v>
      </c>
      <c r="W38" s="67">
        <f t="shared" si="1"/>
        <v>2.4767123287671233</v>
      </c>
    </row>
    <row r="39" spans="1:23" ht="15.75" thickBot="1" x14ac:dyDescent="0.3">
      <c r="A39" s="4" t="s">
        <v>42</v>
      </c>
      <c r="B39" s="74">
        <v>1</v>
      </c>
      <c r="C39" s="74">
        <v>1</v>
      </c>
      <c r="D39" s="74">
        <v>1</v>
      </c>
      <c r="E39" s="74">
        <v>1</v>
      </c>
      <c r="F39" s="74">
        <v>0</v>
      </c>
      <c r="G39" s="74">
        <v>0</v>
      </c>
      <c r="H39" s="74">
        <v>0</v>
      </c>
      <c r="I39" s="74">
        <v>0</v>
      </c>
      <c r="J39" s="74">
        <v>0</v>
      </c>
      <c r="K39" s="5">
        <v>0</v>
      </c>
      <c r="L39" s="5">
        <v>0</v>
      </c>
      <c r="M39" s="5">
        <v>0</v>
      </c>
      <c r="N39" s="5">
        <v>0</v>
      </c>
      <c r="O39" s="5">
        <v>0</v>
      </c>
      <c r="P39" s="5">
        <v>0</v>
      </c>
      <c r="Q39" s="5">
        <v>0</v>
      </c>
      <c r="R39" s="5">
        <v>0</v>
      </c>
      <c r="S39" s="5">
        <v>0</v>
      </c>
      <c r="T39" s="5">
        <v>0</v>
      </c>
      <c r="U39" s="5">
        <v>0</v>
      </c>
      <c r="V39" s="5">
        <v>1</v>
      </c>
      <c r="W39" s="6">
        <v>1</v>
      </c>
    </row>
    <row r="40" spans="1:23" ht="15.75" thickBot="1" x14ac:dyDescent="0.3">
      <c r="A40" s="73" t="s">
        <v>41</v>
      </c>
      <c r="B40" s="608">
        <v>5</v>
      </c>
      <c r="C40" s="609"/>
      <c r="D40" s="609"/>
      <c r="E40" s="609"/>
      <c r="F40" s="609"/>
      <c r="G40" s="609"/>
      <c r="H40" s="609"/>
      <c r="I40" s="609"/>
      <c r="J40" s="609"/>
      <c r="K40" s="609"/>
      <c r="L40" s="609"/>
      <c r="M40" s="609"/>
      <c r="N40" s="609"/>
      <c r="O40" s="609"/>
      <c r="P40" s="609"/>
      <c r="Q40" s="609"/>
      <c r="R40" s="609"/>
      <c r="S40" s="609"/>
      <c r="T40" s="609"/>
      <c r="U40" s="609"/>
      <c r="V40" s="609"/>
      <c r="W40" s="610"/>
    </row>
    <row r="41" spans="1:23" ht="15.75" thickBot="1" x14ac:dyDescent="0.3"/>
    <row r="42" spans="1:23" x14ac:dyDescent="0.25">
      <c r="A42" s="9" t="s">
        <v>224</v>
      </c>
      <c r="B42" s="22" t="s">
        <v>28</v>
      </c>
      <c r="C42" s="22" t="s">
        <v>29</v>
      </c>
      <c r="D42" s="22" t="s">
        <v>30</v>
      </c>
      <c r="E42" s="22" t="s">
        <v>31</v>
      </c>
      <c r="F42" s="22" t="s">
        <v>32</v>
      </c>
      <c r="G42" s="22" t="s">
        <v>33</v>
      </c>
      <c r="H42" s="22" t="s">
        <v>261</v>
      </c>
      <c r="I42" s="22" t="s">
        <v>260</v>
      </c>
      <c r="J42" s="66" t="s">
        <v>259</v>
      </c>
      <c r="K42" s="66" t="s">
        <v>293</v>
      </c>
    </row>
    <row r="43" spans="1:23" x14ac:dyDescent="0.25">
      <c r="A43" s="20" t="s">
        <v>23</v>
      </c>
      <c r="B43" s="591" t="s">
        <v>414</v>
      </c>
      <c r="C43" s="566"/>
      <c r="D43" s="566"/>
      <c r="E43" s="566"/>
      <c r="F43" s="592"/>
      <c r="G43" s="41" t="s">
        <v>433</v>
      </c>
      <c r="H43" s="41" t="s">
        <v>55</v>
      </c>
      <c r="I43" s="41" t="s">
        <v>434</v>
      </c>
      <c r="J43" s="41" t="s">
        <v>435</v>
      </c>
      <c r="K43" s="2" t="s">
        <v>436</v>
      </c>
    </row>
    <row r="44" spans="1:23" x14ac:dyDescent="0.25">
      <c r="A44" s="20" t="s">
        <v>24</v>
      </c>
      <c r="B44" s="41" t="s">
        <v>325</v>
      </c>
      <c r="C44" s="41" t="s">
        <v>325</v>
      </c>
      <c r="D44" s="41" t="s">
        <v>325</v>
      </c>
      <c r="E44" s="41" t="s">
        <v>325</v>
      </c>
      <c r="F44" s="41" t="s">
        <v>325</v>
      </c>
      <c r="G44" s="41" t="s">
        <v>324</v>
      </c>
      <c r="H44" s="41" t="s">
        <v>55</v>
      </c>
      <c r="I44" s="41" t="s">
        <v>323</v>
      </c>
      <c r="J44" s="41" t="s">
        <v>322</v>
      </c>
      <c r="K44" s="2" t="s">
        <v>321</v>
      </c>
    </row>
    <row r="45" spans="1:23" x14ac:dyDescent="0.25">
      <c r="A45" s="20" t="s">
        <v>25</v>
      </c>
      <c r="B45" s="41" t="s">
        <v>153</v>
      </c>
      <c r="C45" s="41" t="s">
        <v>315</v>
      </c>
      <c r="D45" s="41" t="s">
        <v>153</v>
      </c>
      <c r="E45" s="41" t="s">
        <v>315</v>
      </c>
      <c r="F45" s="41" t="s">
        <v>153</v>
      </c>
      <c r="G45" s="41" t="s">
        <v>320</v>
      </c>
      <c r="H45" s="41" t="s">
        <v>319</v>
      </c>
      <c r="I45" s="41" t="s">
        <v>318</v>
      </c>
      <c r="J45" s="41" t="s">
        <v>317</v>
      </c>
      <c r="K45" s="2" t="s">
        <v>316</v>
      </c>
    </row>
    <row r="46" spans="1:23" x14ac:dyDescent="0.25">
      <c r="A46" s="20" t="s">
        <v>26</v>
      </c>
      <c r="B46" s="41" t="s">
        <v>152</v>
      </c>
      <c r="C46" s="41" t="s">
        <v>152</v>
      </c>
      <c r="D46" s="41" t="s">
        <v>152</v>
      </c>
      <c r="E46" s="41" t="s">
        <v>152</v>
      </c>
      <c r="F46" s="41" t="s">
        <v>152</v>
      </c>
      <c r="G46" s="41" t="s">
        <v>152</v>
      </c>
      <c r="H46" s="41" t="s">
        <v>152</v>
      </c>
      <c r="I46" s="41" t="s">
        <v>152</v>
      </c>
      <c r="J46" s="41" t="s">
        <v>152</v>
      </c>
      <c r="K46" s="2" t="s">
        <v>152</v>
      </c>
    </row>
    <row r="47" spans="1:23" x14ac:dyDescent="0.25">
      <c r="A47" s="20" t="s">
        <v>27</v>
      </c>
      <c r="B47" s="591" t="s">
        <v>432</v>
      </c>
      <c r="C47" s="566"/>
      <c r="D47" s="566"/>
      <c r="E47" s="566"/>
      <c r="F47" s="566"/>
      <c r="G47" s="566"/>
      <c r="H47" s="566"/>
      <c r="I47" s="566"/>
      <c r="J47" s="566"/>
      <c r="K47" s="567"/>
    </row>
    <row r="48" spans="1:23" x14ac:dyDescent="0.25">
      <c r="A48" s="20" t="s">
        <v>35</v>
      </c>
      <c r="B48" s="42">
        <v>35989</v>
      </c>
      <c r="C48" s="42">
        <v>36487</v>
      </c>
      <c r="D48" s="42">
        <v>36492</v>
      </c>
      <c r="E48" s="42">
        <v>36542</v>
      </c>
      <c r="F48" s="42">
        <v>36706</v>
      </c>
      <c r="G48" s="42">
        <v>36794</v>
      </c>
      <c r="H48" s="42">
        <v>37330</v>
      </c>
      <c r="I48" s="42">
        <v>37895</v>
      </c>
      <c r="J48" s="42">
        <v>41187</v>
      </c>
      <c r="K48" s="15">
        <v>40974</v>
      </c>
    </row>
    <row r="49" spans="1:21" x14ac:dyDescent="0.25">
      <c r="A49" s="20" t="s">
        <v>34</v>
      </c>
      <c r="B49" s="42">
        <v>36486</v>
      </c>
      <c r="C49" s="42">
        <v>36491</v>
      </c>
      <c r="D49" s="42">
        <v>36541</v>
      </c>
      <c r="E49" s="42">
        <v>36705</v>
      </c>
      <c r="F49" s="42">
        <v>36768</v>
      </c>
      <c r="G49" s="42">
        <v>36977</v>
      </c>
      <c r="H49" s="42">
        <v>37694</v>
      </c>
      <c r="I49" s="42">
        <v>40948</v>
      </c>
      <c r="J49" s="42">
        <v>41395</v>
      </c>
      <c r="K49" s="15">
        <v>41271</v>
      </c>
    </row>
    <row r="50" spans="1:21" x14ac:dyDescent="0.25">
      <c r="A50" s="20" t="s">
        <v>206</v>
      </c>
      <c r="B50" s="42">
        <v>35989</v>
      </c>
      <c r="C50" s="42">
        <v>36487</v>
      </c>
      <c r="D50" s="42">
        <v>36492</v>
      </c>
      <c r="E50" s="42">
        <v>36542</v>
      </c>
      <c r="F50" s="42">
        <v>36706</v>
      </c>
      <c r="G50" s="42">
        <v>36794</v>
      </c>
      <c r="H50" s="42">
        <v>37330</v>
      </c>
      <c r="I50" s="42">
        <v>37895</v>
      </c>
      <c r="J50" s="42">
        <v>41187</v>
      </c>
      <c r="K50" s="15">
        <v>40974</v>
      </c>
    </row>
    <row r="51" spans="1:21" x14ac:dyDescent="0.25">
      <c r="A51" s="20" t="s">
        <v>207</v>
      </c>
      <c r="B51" s="42">
        <v>36486</v>
      </c>
      <c r="C51" s="42">
        <v>36491</v>
      </c>
      <c r="D51" s="42">
        <v>36541</v>
      </c>
      <c r="E51" s="42">
        <v>36705</v>
      </c>
      <c r="F51" s="42">
        <v>36768</v>
      </c>
      <c r="G51" s="42">
        <v>36977</v>
      </c>
      <c r="H51" s="42">
        <v>37694</v>
      </c>
      <c r="I51" s="42">
        <v>40948</v>
      </c>
      <c r="J51" s="42">
        <v>41395</v>
      </c>
      <c r="K51" s="15">
        <v>41271</v>
      </c>
    </row>
    <row r="52" spans="1:21" x14ac:dyDescent="0.25">
      <c r="A52" s="20" t="s">
        <v>38</v>
      </c>
      <c r="B52" s="14">
        <f t="shared" ref="B52:K52" si="2">(B51-B50)/365</f>
        <v>1.3616438356164384</v>
      </c>
      <c r="C52" s="14">
        <f t="shared" si="2"/>
        <v>1.0958904109589041E-2</v>
      </c>
      <c r="D52" s="14">
        <f t="shared" si="2"/>
        <v>0.13424657534246576</v>
      </c>
      <c r="E52" s="14">
        <f t="shared" si="2"/>
        <v>0.44657534246575342</v>
      </c>
      <c r="F52" s="14">
        <f t="shared" si="2"/>
        <v>0.16986301369863013</v>
      </c>
      <c r="G52" s="14">
        <f t="shared" si="2"/>
        <v>0.50136986301369868</v>
      </c>
      <c r="H52" s="14">
        <f t="shared" si="2"/>
        <v>0.99726027397260275</v>
      </c>
      <c r="I52" s="14">
        <f t="shared" si="2"/>
        <v>8.3643835616438356</v>
      </c>
      <c r="J52" s="14">
        <f t="shared" si="2"/>
        <v>0.56986301369863013</v>
      </c>
      <c r="K52" s="67">
        <f t="shared" si="2"/>
        <v>0.81369863013698629</v>
      </c>
    </row>
    <row r="53" spans="1:21" ht="15.75" thickBot="1" x14ac:dyDescent="0.3">
      <c r="A53" s="31" t="s">
        <v>42</v>
      </c>
      <c r="B53" s="74">
        <v>1</v>
      </c>
      <c r="C53" s="74">
        <v>1</v>
      </c>
      <c r="D53" s="74">
        <v>1</v>
      </c>
      <c r="E53" s="74">
        <v>1</v>
      </c>
      <c r="F53" s="74">
        <v>1</v>
      </c>
      <c r="G53" s="74">
        <v>0</v>
      </c>
      <c r="H53" s="74">
        <v>0</v>
      </c>
      <c r="I53" s="74">
        <v>0</v>
      </c>
      <c r="J53" s="74">
        <v>0</v>
      </c>
      <c r="K53" s="79">
        <v>0</v>
      </c>
    </row>
    <row r="54" spans="1:21" ht="15.75" thickBot="1" x14ac:dyDescent="0.3">
      <c r="A54" s="73" t="s">
        <v>41</v>
      </c>
      <c r="B54" s="608">
        <f>MIN(SUMIFS(B52:J52,B53:J53,1),5)</f>
        <v>2.1232876712328768</v>
      </c>
      <c r="C54" s="609"/>
      <c r="D54" s="609"/>
      <c r="E54" s="609"/>
      <c r="F54" s="609"/>
      <c r="G54" s="609"/>
      <c r="H54" s="609"/>
      <c r="I54" s="609"/>
      <c r="J54" s="609"/>
      <c r="K54" s="610"/>
    </row>
    <row r="55" spans="1:21" ht="15.75" thickBot="1" x14ac:dyDescent="0.3"/>
    <row r="56" spans="1:21" x14ac:dyDescent="0.25">
      <c r="A56" s="9" t="s">
        <v>226</v>
      </c>
      <c r="B56" s="51" t="s">
        <v>28</v>
      </c>
      <c r="C56" s="51" t="s">
        <v>29</v>
      </c>
      <c r="D56" s="51" t="s">
        <v>30</v>
      </c>
      <c r="E56" s="51" t="s">
        <v>31</v>
      </c>
      <c r="F56" s="51" t="s">
        <v>32</v>
      </c>
      <c r="G56" s="51" t="s">
        <v>33</v>
      </c>
      <c r="H56" s="51" t="s">
        <v>261</v>
      </c>
      <c r="I56" s="51" t="s">
        <v>260</v>
      </c>
      <c r="J56" s="52" t="s">
        <v>259</v>
      </c>
      <c r="K56" s="51" t="s">
        <v>293</v>
      </c>
      <c r="L56" s="51" t="s">
        <v>292</v>
      </c>
      <c r="M56" s="52" t="s">
        <v>291</v>
      </c>
      <c r="N56" s="51" t="s">
        <v>290</v>
      </c>
      <c r="O56" s="51" t="s">
        <v>289</v>
      </c>
      <c r="P56" s="52" t="s">
        <v>288</v>
      </c>
      <c r="Q56" s="51" t="s">
        <v>287</v>
      </c>
      <c r="R56" s="51" t="s">
        <v>286</v>
      </c>
      <c r="S56" s="52" t="s">
        <v>285</v>
      </c>
      <c r="T56" s="51" t="s">
        <v>284</v>
      </c>
      <c r="U56" s="51" t="s">
        <v>283</v>
      </c>
    </row>
    <row r="57" spans="1:21" x14ac:dyDescent="0.25">
      <c r="A57" s="1" t="s">
        <v>23</v>
      </c>
      <c r="B57" s="41" t="s">
        <v>417</v>
      </c>
      <c r="C57" s="41" t="s">
        <v>437</v>
      </c>
      <c r="D57" s="41" t="s">
        <v>417</v>
      </c>
      <c r="E57" s="41" t="s">
        <v>417</v>
      </c>
      <c r="F57" s="41" t="s">
        <v>417</v>
      </c>
      <c r="G57" s="41" t="s">
        <v>417</v>
      </c>
      <c r="H57" s="41" t="s">
        <v>419</v>
      </c>
      <c r="I57" s="41" t="s">
        <v>419</v>
      </c>
      <c r="J57" s="41" t="s">
        <v>419</v>
      </c>
      <c r="K57" s="41" t="s">
        <v>419</v>
      </c>
      <c r="L57" s="41" t="s">
        <v>214</v>
      </c>
      <c r="M57" s="41" t="s">
        <v>214</v>
      </c>
      <c r="N57" s="41" t="s">
        <v>214</v>
      </c>
      <c r="O57" s="41" t="s">
        <v>214</v>
      </c>
      <c r="P57" s="41" t="s">
        <v>214</v>
      </c>
      <c r="Q57" s="41" t="s">
        <v>438</v>
      </c>
      <c r="R57" s="41" t="s">
        <v>214</v>
      </c>
      <c r="S57" s="41" t="s">
        <v>214</v>
      </c>
      <c r="T57" s="41" t="s">
        <v>419</v>
      </c>
      <c r="U57" s="41" t="s">
        <v>439</v>
      </c>
    </row>
    <row r="58" spans="1:21" x14ac:dyDescent="0.25">
      <c r="A58" s="1" t="s">
        <v>24</v>
      </c>
      <c r="B58" s="41" t="s">
        <v>313</v>
      </c>
      <c r="C58" s="41" t="s">
        <v>314</v>
      </c>
      <c r="D58" s="41" t="s">
        <v>313</v>
      </c>
      <c r="E58" s="41" t="s">
        <v>313</v>
      </c>
      <c r="F58" s="41" t="s">
        <v>313</v>
      </c>
      <c r="G58" s="41" t="s">
        <v>313</v>
      </c>
      <c r="H58" s="41" t="s">
        <v>150</v>
      </c>
      <c r="I58" s="41" t="s">
        <v>150</v>
      </c>
      <c r="J58" s="41" t="s">
        <v>150</v>
      </c>
      <c r="K58" s="41" t="s">
        <v>150</v>
      </c>
      <c r="L58" s="41" t="s">
        <v>151</v>
      </c>
      <c r="M58" s="41" t="s">
        <v>151</v>
      </c>
      <c r="N58" s="41" t="s">
        <v>151</v>
      </c>
      <c r="O58" s="41" t="s">
        <v>151</v>
      </c>
      <c r="P58" s="41" t="s">
        <v>151</v>
      </c>
      <c r="Q58" s="41" t="s">
        <v>312</v>
      </c>
      <c r="R58" s="41" t="s">
        <v>151</v>
      </c>
      <c r="S58" s="41" t="s">
        <v>151</v>
      </c>
      <c r="T58" s="41" t="s">
        <v>150</v>
      </c>
      <c r="U58" s="41" t="s">
        <v>311</v>
      </c>
    </row>
    <row r="59" spans="1:21" x14ac:dyDescent="0.25">
      <c r="A59" s="1" t="s">
        <v>25</v>
      </c>
      <c r="B59" s="41" t="s">
        <v>297</v>
      </c>
      <c r="C59" s="41" t="s">
        <v>298</v>
      </c>
      <c r="D59" s="41" t="s">
        <v>310</v>
      </c>
      <c r="E59" s="41" t="s">
        <v>310</v>
      </c>
      <c r="F59" s="41" t="s">
        <v>296</v>
      </c>
      <c r="G59" s="41" t="s">
        <v>295</v>
      </c>
      <c r="H59" s="41" t="s">
        <v>294</v>
      </c>
      <c r="I59" s="41" t="s">
        <v>309</v>
      </c>
      <c r="J59" s="41" t="s">
        <v>309</v>
      </c>
      <c r="K59" s="41" t="s">
        <v>308</v>
      </c>
      <c r="L59" s="41" t="s">
        <v>303</v>
      </c>
      <c r="M59" s="41" t="s">
        <v>307</v>
      </c>
      <c r="N59" s="41" t="s">
        <v>306</v>
      </c>
      <c r="O59" s="41" t="s">
        <v>305</v>
      </c>
      <c r="P59" s="41" t="s">
        <v>304</v>
      </c>
      <c r="Q59" s="41" t="s">
        <v>303</v>
      </c>
      <c r="R59" s="41" t="s">
        <v>302</v>
      </c>
      <c r="S59" s="41" t="s">
        <v>301</v>
      </c>
      <c r="T59" s="41" t="s">
        <v>300</v>
      </c>
      <c r="U59" s="41" t="s">
        <v>299</v>
      </c>
    </row>
    <row r="60" spans="1:21" x14ac:dyDescent="0.25">
      <c r="A60" s="1" t="s">
        <v>26</v>
      </c>
      <c r="B60" s="41" t="s">
        <v>154</v>
      </c>
      <c r="C60" s="41" t="s">
        <v>154</v>
      </c>
      <c r="D60" s="41" t="s">
        <v>154</v>
      </c>
      <c r="E60" s="41" t="s">
        <v>154</v>
      </c>
      <c r="F60" s="41" t="s">
        <v>154</v>
      </c>
      <c r="G60" s="41" t="s">
        <v>154</v>
      </c>
      <c r="H60" s="41" t="s">
        <v>154</v>
      </c>
      <c r="I60" s="41" t="s">
        <v>154</v>
      </c>
      <c r="J60" s="41" t="s">
        <v>154</v>
      </c>
      <c r="K60" s="41" t="s">
        <v>154</v>
      </c>
      <c r="L60" s="41" t="s">
        <v>154</v>
      </c>
      <c r="M60" s="41" t="s">
        <v>154</v>
      </c>
      <c r="N60" s="41" t="s">
        <v>154</v>
      </c>
      <c r="O60" s="41" t="s">
        <v>154</v>
      </c>
      <c r="P60" s="41" t="s">
        <v>154</v>
      </c>
      <c r="Q60" s="41" t="s">
        <v>154</v>
      </c>
      <c r="R60" s="41" t="s">
        <v>154</v>
      </c>
      <c r="S60" s="41" t="s">
        <v>154</v>
      </c>
      <c r="T60" s="41" t="s">
        <v>154</v>
      </c>
      <c r="U60" s="41" t="s">
        <v>154</v>
      </c>
    </row>
    <row r="61" spans="1:21" x14ac:dyDescent="0.25">
      <c r="A61" s="1" t="s">
        <v>27</v>
      </c>
      <c r="B61" s="41" t="s">
        <v>440</v>
      </c>
      <c r="C61" s="41" t="s">
        <v>441</v>
      </c>
      <c r="D61" s="41" t="s">
        <v>442</v>
      </c>
      <c r="E61" s="41" t="s">
        <v>443</v>
      </c>
      <c r="F61" s="41" t="s">
        <v>212</v>
      </c>
      <c r="G61" s="41" t="s">
        <v>444</v>
      </c>
      <c r="H61" s="41" t="s">
        <v>445</v>
      </c>
      <c r="I61" s="41" t="s">
        <v>213</v>
      </c>
      <c r="J61" s="41" t="s">
        <v>213</v>
      </c>
      <c r="K61" s="41" t="s">
        <v>445</v>
      </c>
      <c r="L61" s="41" t="s">
        <v>445</v>
      </c>
      <c r="M61" s="41" t="s">
        <v>445</v>
      </c>
      <c r="N61" s="41" t="s">
        <v>445</v>
      </c>
      <c r="O61" s="41" t="s">
        <v>212</v>
      </c>
      <c r="P61" s="41" t="s">
        <v>445</v>
      </c>
      <c r="Q61" s="41" t="s">
        <v>213</v>
      </c>
      <c r="R61" s="41" t="s">
        <v>445</v>
      </c>
      <c r="S61" s="41" t="s">
        <v>445</v>
      </c>
      <c r="T61" s="41" t="s">
        <v>445</v>
      </c>
      <c r="U61" s="41" t="s">
        <v>213</v>
      </c>
    </row>
    <row r="62" spans="1:21" x14ac:dyDescent="0.25">
      <c r="A62" s="1" t="s">
        <v>35</v>
      </c>
      <c r="B62" s="42">
        <v>32559</v>
      </c>
      <c r="C62" s="42">
        <v>33975</v>
      </c>
      <c r="D62" s="42">
        <v>36689</v>
      </c>
      <c r="E62" s="42">
        <v>36959</v>
      </c>
      <c r="F62" s="42">
        <v>37083</v>
      </c>
      <c r="G62" s="42">
        <v>37501</v>
      </c>
      <c r="H62" s="42">
        <v>37993</v>
      </c>
      <c r="I62" s="42">
        <v>38363</v>
      </c>
      <c r="J62" s="65">
        <v>38603</v>
      </c>
      <c r="K62" s="42">
        <v>38603</v>
      </c>
      <c r="L62" s="42">
        <v>38671</v>
      </c>
      <c r="M62" s="42">
        <v>38743</v>
      </c>
      <c r="N62" s="42">
        <v>39034</v>
      </c>
      <c r="O62" s="42">
        <v>38883</v>
      </c>
      <c r="P62" s="42">
        <v>39067</v>
      </c>
      <c r="Q62" s="42">
        <v>39150</v>
      </c>
      <c r="R62" s="42">
        <v>39514</v>
      </c>
      <c r="S62" s="42">
        <v>39552</v>
      </c>
      <c r="T62" s="42">
        <v>39845</v>
      </c>
      <c r="U62" s="42">
        <v>40380</v>
      </c>
    </row>
    <row r="63" spans="1:21" x14ac:dyDescent="0.25">
      <c r="A63" s="1" t="s">
        <v>34</v>
      </c>
      <c r="B63" s="42">
        <v>33512</v>
      </c>
      <c r="C63" s="42">
        <v>36558</v>
      </c>
      <c r="D63" s="42">
        <v>36902</v>
      </c>
      <c r="E63" s="42">
        <v>37050</v>
      </c>
      <c r="F63" s="42">
        <v>37500</v>
      </c>
      <c r="G63" s="42">
        <v>37992</v>
      </c>
      <c r="H63" s="42">
        <v>38266</v>
      </c>
      <c r="I63" s="42">
        <v>38595</v>
      </c>
      <c r="J63" s="65">
        <v>38638</v>
      </c>
      <c r="K63" s="42">
        <v>38704</v>
      </c>
      <c r="L63" s="42">
        <v>39015</v>
      </c>
      <c r="M63" s="42">
        <v>38984</v>
      </c>
      <c r="N63" s="42">
        <v>39066</v>
      </c>
      <c r="O63" s="42">
        <v>38947</v>
      </c>
      <c r="P63" s="42">
        <v>39129</v>
      </c>
      <c r="Q63" s="42">
        <v>39468</v>
      </c>
      <c r="R63" s="42">
        <v>39549</v>
      </c>
      <c r="S63" s="42">
        <v>39580</v>
      </c>
      <c r="T63" s="42">
        <v>40378</v>
      </c>
      <c r="U63" s="42">
        <v>41289</v>
      </c>
    </row>
    <row r="64" spans="1:21" x14ac:dyDescent="0.25">
      <c r="A64" s="1" t="s">
        <v>208</v>
      </c>
      <c r="B64" s="42">
        <v>32559</v>
      </c>
      <c r="C64" s="42">
        <v>33975</v>
      </c>
      <c r="D64" s="42">
        <v>36689</v>
      </c>
      <c r="E64" s="42">
        <v>36959</v>
      </c>
      <c r="F64" s="42">
        <v>37083</v>
      </c>
      <c r="G64" s="42">
        <v>37501</v>
      </c>
      <c r="H64" s="42">
        <v>37993</v>
      </c>
      <c r="I64" s="42">
        <v>38363</v>
      </c>
      <c r="J64" s="65">
        <v>38603</v>
      </c>
      <c r="K64" s="42">
        <v>38603</v>
      </c>
      <c r="L64" s="42">
        <v>38671</v>
      </c>
      <c r="M64" s="42">
        <v>38743</v>
      </c>
      <c r="N64" s="42">
        <v>39024</v>
      </c>
      <c r="O64" s="42">
        <v>38883</v>
      </c>
      <c r="P64" s="42">
        <v>39067</v>
      </c>
      <c r="Q64" s="42">
        <v>39150</v>
      </c>
      <c r="R64" s="42">
        <v>39514</v>
      </c>
      <c r="S64" s="42">
        <v>39552</v>
      </c>
      <c r="T64" s="42">
        <v>39845</v>
      </c>
      <c r="U64" s="42">
        <v>40380</v>
      </c>
    </row>
    <row r="65" spans="1:22" x14ac:dyDescent="0.25">
      <c r="A65" s="1" t="s">
        <v>209</v>
      </c>
      <c r="B65" s="42">
        <v>33512</v>
      </c>
      <c r="C65" s="42">
        <v>36558</v>
      </c>
      <c r="D65" s="42">
        <v>36902</v>
      </c>
      <c r="E65" s="42">
        <v>37050</v>
      </c>
      <c r="F65" s="42">
        <v>37500</v>
      </c>
      <c r="G65" s="42">
        <v>37992</v>
      </c>
      <c r="H65" s="42">
        <v>38266</v>
      </c>
      <c r="I65" s="42">
        <v>38595</v>
      </c>
      <c r="J65" s="65">
        <v>38638</v>
      </c>
      <c r="K65" s="42">
        <v>38704</v>
      </c>
      <c r="L65" s="42">
        <v>39015</v>
      </c>
      <c r="M65" s="42">
        <v>38984</v>
      </c>
      <c r="N65" s="42">
        <v>39066</v>
      </c>
      <c r="O65" s="42">
        <v>38947</v>
      </c>
      <c r="P65" s="42">
        <v>39129</v>
      </c>
      <c r="Q65" s="42">
        <v>39468</v>
      </c>
      <c r="R65" s="42">
        <v>39549</v>
      </c>
      <c r="S65" s="42">
        <v>39580</v>
      </c>
      <c r="T65" s="42">
        <v>40378</v>
      </c>
      <c r="U65" s="42">
        <v>41289</v>
      </c>
    </row>
    <row r="66" spans="1:22" x14ac:dyDescent="0.25">
      <c r="A66" s="1" t="s">
        <v>38</v>
      </c>
      <c r="B66" s="41">
        <f t="shared" ref="B66:U66" si="3">(B65-B64)/365</f>
        <v>2.6109589041095891</v>
      </c>
      <c r="C66" s="41">
        <f t="shared" si="3"/>
        <v>7.0767123287671234</v>
      </c>
      <c r="D66" s="41">
        <f t="shared" si="3"/>
        <v>0.58356164383561648</v>
      </c>
      <c r="E66" s="41">
        <f t="shared" si="3"/>
        <v>0.24931506849315069</v>
      </c>
      <c r="F66" s="41">
        <f t="shared" si="3"/>
        <v>1.1424657534246576</v>
      </c>
      <c r="G66" s="41">
        <f t="shared" si="3"/>
        <v>1.3452054794520547</v>
      </c>
      <c r="H66" s="41">
        <f t="shared" si="3"/>
        <v>0.74794520547945209</v>
      </c>
      <c r="I66" s="41">
        <f t="shared" si="3"/>
        <v>0.63561643835616444</v>
      </c>
      <c r="J66" s="37">
        <f t="shared" si="3"/>
        <v>9.5890410958904104E-2</v>
      </c>
      <c r="K66" s="41">
        <f t="shared" si="3"/>
        <v>0.27671232876712326</v>
      </c>
      <c r="L66" s="41">
        <f t="shared" si="3"/>
        <v>0.94246575342465755</v>
      </c>
      <c r="M66" s="41">
        <f t="shared" si="3"/>
        <v>0.66027397260273968</v>
      </c>
      <c r="N66" s="41">
        <f t="shared" si="3"/>
        <v>0.11506849315068493</v>
      </c>
      <c r="O66" s="41">
        <f t="shared" si="3"/>
        <v>0.17534246575342466</v>
      </c>
      <c r="P66" s="41">
        <f t="shared" si="3"/>
        <v>0.16986301369863013</v>
      </c>
      <c r="Q66" s="41">
        <f t="shared" si="3"/>
        <v>0.87123287671232874</v>
      </c>
      <c r="R66" s="41">
        <f t="shared" si="3"/>
        <v>9.5890410958904104E-2</v>
      </c>
      <c r="S66" s="41">
        <f t="shared" si="3"/>
        <v>7.6712328767123292E-2</v>
      </c>
      <c r="T66" s="41">
        <f t="shared" si="3"/>
        <v>1.4602739726027398</v>
      </c>
      <c r="U66" s="41">
        <f t="shared" si="3"/>
        <v>2.4904109589041097</v>
      </c>
    </row>
    <row r="67" spans="1:22" ht="15.75" thickBot="1" x14ac:dyDescent="0.3">
      <c r="A67" s="4" t="s">
        <v>42</v>
      </c>
      <c r="B67" s="10">
        <v>1</v>
      </c>
      <c r="C67" s="10">
        <v>0</v>
      </c>
      <c r="D67" s="10">
        <v>1</v>
      </c>
      <c r="E67" s="10">
        <v>1</v>
      </c>
      <c r="F67" s="10">
        <v>1</v>
      </c>
      <c r="G67" s="10">
        <v>1</v>
      </c>
      <c r="H67" s="10">
        <v>1</v>
      </c>
      <c r="I67" s="10">
        <v>1</v>
      </c>
      <c r="J67" s="11">
        <v>1</v>
      </c>
      <c r="K67" s="11">
        <v>1</v>
      </c>
      <c r="L67" s="11">
        <v>1</v>
      </c>
      <c r="M67" s="11">
        <v>1</v>
      </c>
      <c r="N67" s="11">
        <v>1</v>
      </c>
      <c r="O67" s="11">
        <v>1</v>
      </c>
      <c r="P67" s="11">
        <v>1</v>
      </c>
      <c r="Q67" s="11">
        <v>1</v>
      </c>
      <c r="R67" s="11">
        <v>1</v>
      </c>
      <c r="S67" s="11">
        <v>1</v>
      </c>
      <c r="T67" s="11">
        <v>1</v>
      </c>
      <c r="U67" s="11">
        <v>1</v>
      </c>
    </row>
    <row r="68" spans="1:22" ht="15.75" thickBot="1" x14ac:dyDescent="0.3">
      <c r="A68" s="8" t="s">
        <v>41</v>
      </c>
      <c r="B68" s="611">
        <f>MIN(SUMIFS(B66:U66,B67:U67,1),5)</f>
        <v>5</v>
      </c>
      <c r="C68" s="606"/>
      <c r="D68" s="606"/>
      <c r="E68" s="606"/>
      <c r="F68" s="606"/>
      <c r="G68" s="606"/>
      <c r="H68" s="606"/>
      <c r="I68" s="606"/>
      <c r="J68" s="606"/>
      <c r="K68" s="606"/>
      <c r="L68" s="606"/>
      <c r="M68" s="606"/>
      <c r="N68" s="606"/>
      <c r="O68" s="606"/>
      <c r="P68" s="606"/>
      <c r="Q68" s="606"/>
      <c r="R68" s="606"/>
      <c r="S68" s="606"/>
      <c r="T68" s="606"/>
      <c r="U68" s="607"/>
    </row>
    <row r="69" spans="1:22" ht="15.75" thickBot="1" x14ac:dyDescent="0.3">
      <c r="A69" s="43"/>
      <c r="B69" s="16"/>
      <c r="C69" s="16"/>
      <c r="D69" s="16"/>
      <c r="E69" s="16"/>
      <c r="F69" s="16"/>
      <c r="G69" s="16"/>
      <c r="H69" s="16"/>
      <c r="I69" s="16"/>
      <c r="J69" s="16"/>
    </row>
    <row r="70" spans="1:22" x14ac:dyDescent="0.25">
      <c r="A70" s="9" t="s">
        <v>225</v>
      </c>
      <c r="B70" s="51" t="s">
        <v>28</v>
      </c>
      <c r="C70" s="51" t="s">
        <v>29</v>
      </c>
      <c r="D70" s="51" t="s">
        <v>30</v>
      </c>
      <c r="E70" s="51" t="s">
        <v>31</v>
      </c>
      <c r="F70" s="51" t="s">
        <v>32</v>
      </c>
      <c r="G70" s="51" t="s">
        <v>33</v>
      </c>
      <c r="H70" s="51" t="s">
        <v>261</v>
      </c>
      <c r="I70" s="51" t="s">
        <v>260</v>
      </c>
      <c r="J70" s="52" t="s">
        <v>259</v>
      </c>
      <c r="K70" s="51" t="s">
        <v>293</v>
      </c>
      <c r="L70" s="52" t="s">
        <v>292</v>
      </c>
      <c r="M70" s="51" t="s">
        <v>291</v>
      </c>
      <c r="N70" s="52" t="s">
        <v>290</v>
      </c>
      <c r="O70" s="51" t="s">
        <v>289</v>
      </c>
      <c r="P70" s="51" t="s">
        <v>288</v>
      </c>
      <c r="Q70" s="51" t="s">
        <v>287</v>
      </c>
      <c r="R70" s="51" t="s">
        <v>286</v>
      </c>
      <c r="S70" s="51" t="s">
        <v>285</v>
      </c>
      <c r="T70" s="51" t="s">
        <v>284</v>
      </c>
      <c r="U70" s="51" t="s">
        <v>283</v>
      </c>
      <c r="V70" s="52" t="s">
        <v>282</v>
      </c>
    </row>
    <row r="71" spans="1:22" x14ac:dyDescent="0.25">
      <c r="A71" s="1" t="s">
        <v>23</v>
      </c>
      <c r="B71" s="38" t="s">
        <v>417</v>
      </c>
      <c r="C71" s="591" t="s">
        <v>446</v>
      </c>
      <c r="D71" s="592"/>
      <c r="E71" s="41" t="s">
        <v>214</v>
      </c>
      <c r="F71" s="41" t="s">
        <v>214</v>
      </c>
      <c r="G71" s="41" t="s">
        <v>214</v>
      </c>
      <c r="H71" s="41" t="s">
        <v>214</v>
      </c>
      <c r="I71" s="41" t="s">
        <v>214</v>
      </c>
      <c r="J71" s="41" t="s">
        <v>214</v>
      </c>
      <c r="K71" s="41" t="s">
        <v>214</v>
      </c>
      <c r="L71" s="41" t="s">
        <v>214</v>
      </c>
      <c r="M71" s="41" t="s">
        <v>214</v>
      </c>
      <c r="N71" s="41" t="s">
        <v>214</v>
      </c>
      <c r="O71" s="41" t="s">
        <v>214</v>
      </c>
      <c r="P71" s="41" t="s">
        <v>214</v>
      </c>
      <c r="Q71" s="41" t="s">
        <v>214</v>
      </c>
      <c r="R71" s="41" t="s">
        <v>214</v>
      </c>
      <c r="S71" s="41" t="s">
        <v>214</v>
      </c>
      <c r="T71" s="41" t="s">
        <v>214</v>
      </c>
      <c r="U71" s="41" t="s">
        <v>214</v>
      </c>
      <c r="V71" s="2" t="s">
        <v>214</v>
      </c>
    </row>
    <row r="72" spans="1:22" x14ac:dyDescent="0.25">
      <c r="A72" s="1" t="s">
        <v>24</v>
      </c>
      <c r="B72" s="38"/>
      <c r="C72" s="41" t="s">
        <v>118</v>
      </c>
      <c r="D72" s="41" t="s">
        <v>118</v>
      </c>
      <c r="E72" s="41" t="s">
        <v>151</v>
      </c>
      <c r="F72" s="41" t="s">
        <v>151</v>
      </c>
      <c r="G72" s="41" t="s">
        <v>151</v>
      </c>
      <c r="H72" s="41" t="s">
        <v>151</v>
      </c>
      <c r="I72" s="41" t="s">
        <v>151</v>
      </c>
      <c r="J72" s="41" t="s">
        <v>151</v>
      </c>
      <c r="K72" s="41" t="s">
        <v>151</v>
      </c>
      <c r="L72" s="41" t="s">
        <v>151</v>
      </c>
      <c r="M72" s="41" t="s">
        <v>151</v>
      </c>
      <c r="N72" s="41" t="s">
        <v>151</v>
      </c>
      <c r="O72" s="41" t="s">
        <v>151</v>
      </c>
      <c r="P72" s="41" t="s">
        <v>151</v>
      </c>
      <c r="Q72" s="41" t="s">
        <v>151</v>
      </c>
      <c r="R72" s="41" t="s">
        <v>151</v>
      </c>
      <c r="S72" s="41" t="s">
        <v>151</v>
      </c>
      <c r="T72" s="41" t="s">
        <v>151</v>
      </c>
      <c r="U72" s="41"/>
      <c r="V72" s="2"/>
    </row>
    <row r="73" spans="1:22" x14ac:dyDescent="0.25">
      <c r="A73" s="1" t="s">
        <v>25</v>
      </c>
      <c r="B73" s="38"/>
      <c r="C73" s="41" t="s">
        <v>281</v>
      </c>
      <c r="D73" s="41" t="s">
        <v>281</v>
      </c>
      <c r="E73" s="41" t="s">
        <v>280</v>
      </c>
      <c r="F73" s="41" t="s">
        <v>279</v>
      </c>
      <c r="G73" s="41" t="s">
        <v>278</v>
      </c>
      <c r="H73" s="41" t="s">
        <v>277</v>
      </c>
      <c r="I73" s="41" t="s">
        <v>276</v>
      </c>
      <c r="J73" s="41" t="s">
        <v>275</v>
      </c>
      <c r="K73" s="41" t="s">
        <v>274</v>
      </c>
      <c r="L73" s="41" t="s">
        <v>273</v>
      </c>
      <c r="M73" s="41" t="s">
        <v>272</v>
      </c>
      <c r="N73" s="41" t="s">
        <v>271</v>
      </c>
      <c r="O73" s="41" t="s">
        <v>270</v>
      </c>
      <c r="P73" s="41" t="s">
        <v>269</v>
      </c>
      <c r="Q73" s="41" t="s">
        <v>268</v>
      </c>
      <c r="R73" s="41" t="s">
        <v>267</v>
      </c>
      <c r="S73" s="41" t="s">
        <v>266</v>
      </c>
      <c r="T73" s="41" t="s">
        <v>265</v>
      </c>
      <c r="U73" s="41"/>
      <c r="V73" s="2"/>
    </row>
    <row r="74" spans="1:22" x14ac:dyDescent="0.25">
      <c r="A74" s="1" t="s">
        <v>26</v>
      </c>
      <c r="B74" s="38"/>
      <c r="C74" s="41" t="s">
        <v>155</v>
      </c>
      <c r="D74" s="41" t="s">
        <v>155</v>
      </c>
      <c r="E74" s="41" t="s">
        <v>155</v>
      </c>
      <c r="F74" s="41" t="s">
        <v>155</v>
      </c>
      <c r="G74" s="41" t="s">
        <v>155</v>
      </c>
      <c r="H74" s="41" t="s">
        <v>155</v>
      </c>
      <c r="I74" s="41" t="s">
        <v>155</v>
      </c>
      <c r="J74" s="41" t="s">
        <v>155</v>
      </c>
      <c r="K74" s="41" t="s">
        <v>155</v>
      </c>
      <c r="L74" s="41" t="s">
        <v>155</v>
      </c>
      <c r="M74" s="41" t="s">
        <v>155</v>
      </c>
      <c r="N74" s="41" t="s">
        <v>155</v>
      </c>
      <c r="O74" s="41" t="s">
        <v>155</v>
      </c>
      <c r="P74" s="41" t="s">
        <v>155</v>
      </c>
      <c r="Q74" s="41" t="s">
        <v>155</v>
      </c>
      <c r="R74" s="41" t="s">
        <v>155</v>
      </c>
      <c r="S74" s="41" t="s">
        <v>155</v>
      </c>
      <c r="T74" s="41" t="s">
        <v>155</v>
      </c>
      <c r="U74" s="41"/>
      <c r="V74" s="2"/>
    </row>
    <row r="75" spans="1:22" x14ac:dyDescent="0.25">
      <c r="A75" s="1" t="s">
        <v>27</v>
      </c>
      <c r="B75" s="38" t="s">
        <v>212</v>
      </c>
      <c r="C75" s="41" t="s">
        <v>447</v>
      </c>
      <c r="D75" s="41" t="s">
        <v>445</v>
      </c>
      <c r="E75" s="591" t="s">
        <v>192</v>
      </c>
      <c r="F75" s="566"/>
      <c r="G75" s="566"/>
      <c r="H75" s="592"/>
      <c r="I75" s="41" t="s">
        <v>445</v>
      </c>
      <c r="J75" s="591" t="s">
        <v>192</v>
      </c>
      <c r="K75" s="566"/>
      <c r="L75" s="566"/>
      <c r="M75" s="592"/>
      <c r="N75" s="591" t="s">
        <v>448</v>
      </c>
      <c r="O75" s="592"/>
      <c r="P75" s="603" t="s">
        <v>192</v>
      </c>
      <c r="Q75" s="603"/>
      <c r="R75" s="603"/>
      <c r="S75" s="603"/>
      <c r="T75" s="603"/>
      <c r="U75" s="603"/>
      <c r="V75" s="604"/>
    </row>
    <row r="76" spans="1:22" x14ac:dyDescent="0.25">
      <c r="A76" s="1" t="s">
        <v>35</v>
      </c>
      <c r="B76" s="38"/>
      <c r="C76" s="42">
        <v>38281</v>
      </c>
      <c r="D76" s="42">
        <v>38363</v>
      </c>
      <c r="E76" s="42">
        <v>38617</v>
      </c>
      <c r="F76" s="42">
        <v>38671</v>
      </c>
      <c r="G76" s="42">
        <v>38763</v>
      </c>
      <c r="H76" s="42">
        <v>38810</v>
      </c>
      <c r="I76" s="42">
        <v>38913</v>
      </c>
      <c r="J76" s="65">
        <v>39070</v>
      </c>
      <c r="K76" s="65">
        <v>39472</v>
      </c>
      <c r="L76" s="65">
        <v>39864</v>
      </c>
      <c r="M76" s="65">
        <v>40106</v>
      </c>
      <c r="N76" s="65">
        <v>40167</v>
      </c>
      <c r="O76" s="65">
        <v>40219</v>
      </c>
      <c r="P76" s="42">
        <v>40491</v>
      </c>
      <c r="Q76" s="42">
        <v>40724</v>
      </c>
      <c r="R76" s="42">
        <v>40989</v>
      </c>
      <c r="S76" s="42">
        <v>41116</v>
      </c>
      <c r="T76" s="42">
        <v>41614</v>
      </c>
      <c r="U76" s="41"/>
      <c r="V76" s="2"/>
    </row>
    <row r="77" spans="1:22" x14ac:dyDescent="0.25">
      <c r="A77" s="1" t="s">
        <v>34</v>
      </c>
      <c r="B77" s="38"/>
      <c r="C77" s="42">
        <v>38338</v>
      </c>
      <c r="D77" s="42">
        <v>38562</v>
      </c>
      <c r="E77" s="42">
        <v>38646</v>
      </c>
      <c r="F77" s="42">
        <v>38701</v>
      </c>
      <c r="G77" s="42">
        <v>38819</v>
      </c>
      <c r="H77" s="42">
        <v>38986</v>
      </c>
      <c r="I77" s="42">
        <v>39654</v>
      </c>
      <c r="J77" s="65">
        <v>39100</v>
      </c>
      <c r="K77" s="65">
        <v>39556</v>
      </c>
      <c r="L77" s="65">
        <v>39973</v>
      </c>
      <c r="M77" s="65">
        <v>40208</v>
      </c>
      <c r="N77" s="65">
        <v>40341</v>
      </c>
      <c r="O77" s="65">
        <v>40589</v>
      </c>
      <c r="P77" s="42">
        <v>40525</v>
      </c>
      <c r="Q77" s="42">
        <v>40783</v>
      </c>
      <c r="R77" s="42">
        <v>41013</v>
      </c>
      <c r="S77" s="42">
        <v>41155</v>
      </c>
      <c r="T77" s="42">
        <v>41697</v>
      </c>
      <c r="U77" s="41"/>
      <c r="V77" s="2"/>
    </row>
    <row r="78" spans="1:22" x14ac:dyDescent="0.25">
      <c r="A78" s="1" t="s">
        <v>206</v>
      </c>
      <c r="B78" s="64">
        <v>37538</v>
      </c>
      <c r="C78" s="55">
        <v>38281</v>
      </c>
      <c r="D78" s="55">
        <v>38363</v>
      </c>
      <c r="E78" s="55">
        <v>38617</v>
      </c>
      <c r="F78" s="55">
        <v>38671</v>
      </c>
      <c r="G78" s="55">
        <v>38763</v>
      </c>
      <c r="H78" s="55">
        <v>38810</v>
      </c>
      <c r="I78" s="55">
        <v>38913</v>
      </c>
      <c r="J78" s="63">
        <v>39070</v>
      </c>
      <c r="K78" s="63">
        <v>39472</v>
      </c>
      <c r="L78" s="63">
        <v>39864</v>
      </c>
      <c r="M78" s="63">
        <v>40106</v>
      </c>
      <c r="N78" s="63">
        <v>40167</v>
      </c>
      <c r="O78" s="63">
        <v>40219</v>
      </c>
      <c r="P78" s="55">
        <v>40491</v>
      </c>
      <c r="Q78" s="55">
        <v>40724</v>
      </c>
      <c r="R78" s="55">
        <v>40989</v>
      </c>
      <c r="S78" s="55">
        <v>41116</v>
      </c>
      <c r="T78" s="55">
        <v>41614</v>
      </c>
      <c r="U78" s="55">
        <v>41355</v>
      </c>
      <c r="V78" s="70">
        <v>41015</v>
      </c>
    </row>
    <row r="79" spans="1:22" x14ac:dyDescent="0.25">
      <c r="A79" s="1" t="s">
        <v>209</v>
      </c>
      <c r="B79" s="64">
        <v>38001</v>
      </c>
      <c r="C79" s="55">
        <v>38338</v>
      </c>
      <c r="D79" s="55">
        <v>38562</v>
      </c>
      <c r="E79" s="55">
        <v>38646</v>
      </c>
      <c r="F79" s="55">
        <v>38701</v>
      </c>
      <c r="G79" s="55">
        <v>38819</v>
      </c>
      <c r="H79" s="55">
        <v>38986</v>
      </c>
      <c r="I79" s="55">
        <v>39654</v>
      </c>
      <c r="J79" s="63">
        <v>39100</v>
      </c>
      <c r="K79" s="63">
        <v>39556</v>
      </c>
      <c r="L79" s="63">
        <v>39973</v>
      </c>
      <c r="M79" s="63">
        <v>40208</v>
      </c>
      <c r="N79" s="63">
        <v>40341</v>
      </c>
      <c r="O79" s="63">
        <v>40589</v>
      </c>
      <c r="P79" s="55">
        <v>40525</v>
      </c>
      <c r="Q79" s="55">
        <v>40783</v>
      </c>
      <c r="R79" s="55">
        <v>41013</v>
      </c>
      <c r="S79" s="55">
        <v>41155</v>
      </c>
      <c r="T79" s="55">
        <v>41697</v>
      </c>
      <c r="U79" s="55">
        <v>41576</v>
      </c>
      <c r="V79" s="70">
        <v>41274</v>
      </c>
    </row>
    <row r="80" spans="1:22" x14ac:dyDescent="0.25">
      <c r="A80" s="1" t="s">
        <v>38</v>
      </c>
      <c r="B80" s="14">
        <f t="shared" ref="B80:V80" si="4">(B79-B78)/365</f>
        <v>1.2684931506849315</v>
      </c>
      <c r="C80" s="14">
        <f t="shared" si="4"/>
        <v>0.15616438356164383</v>
      </c>
      <c r="D80" s="14">
        <f t="shared" si="4"/>
        <v>0.54520547945205478</v>
      </c>
      <c r="E80" s="14">
        <f t="shared" si="4"/>
        <v>7.9452054794520555E-2</v>
      </c>
      <c r="F80" s="14">
        <f t="shared" si="4"/>
        <v>8.2191780821917804E-2</v>
      </c>
      <c r="G80" s="14">
        <f t="shared" si="4"/>
        <v>0.15342465753424658</v>
      </c>
      <c r="H80" s="14">
        <f t="shared" si="4"/>
        <v>0.48219178082191783</v>
      </c>
      <c r="I80" s="14">
        <f t="shared" si="4"/>
        <v>2.0301369863013701</v>
      </c>
      <c r="J80" s="14">
        <f t="shared" si="4"/>
        <v>8.2191780821917804E-2</v>
      </c>
      <c r="K80" s="14">
        <f t="shared" si="4"/>
        <v>0.23013698630136986</v>
      </c>
      <c r="L80" s="14">
        <f t="shared" si="4"/>
        <v>0.29863013698630136</v>
      </c>
      <c r="M80" s="14">
        <f t="shared" si="4"/>
        <v>0.27945205479452057</v>
      </c>
      <c r="N80" s="14">
        <f t="shared" si="4"/>
        <v>0.47671232876712327</v>
      </c>
      <c r="O80" s="14">
        <f t="shared" si="4"/>
        <v>1.0136986301369864</v>
      </c>
      <c r="P80" s="14">
        <f t="shared" si="4"/>
        <v>9.3150684931506855E-2</v>
      </c>
      <c r="Q80" s="14">
        <f t="shared" si="4"/>
        <v>0.16164383561643836</v>
      </c>
      <c r="R80" s="14">
        <f t="shared" si="4"/>
        <v>6.575342465753424E-2</v>
      </c>
      <c r="S80" s="14">
        <f t="shared" si="4"/>
        <v>0.10684931506849316</v>
      </c>
      <c r="T80" s="14">
        <f t="shared" si="4"/>
        <v>0.22739726027397261</v>
      </c>
      <c r="U80" s="14">
        <f t="shared" si="4"/>
        <v>0.60547945205479448</v>
      </c>
      <c r="V80" s="67">
        <f t="shared" si="4"/>
        <v>0.70958904109589038</v>
      </c>
    </row>
    <row r="81" spans="1:22" ht="15.75" thickBot="1" x14ac:dyDescent="0.3">
      <c r="A81" s="4" t="s">
        <v>42</v>
      </c>
      <c r="B81" s="78">
        <v>1</v>
      </c>
      <c r="C81" s="74">
        <v>1</v>
      </c>
      <c r="D81" s="74">
        <v>1</v>
      </c>
      <c r="E81" s="74">
        <v>0</v>
      </c>
      <c r="F81" s="74">
        <v>0</v>
      </c>
      <c r="G81" s="74">
        <v>0</v>
      </c>
      <c r="H81" s="74">
        <v>0</v>
      </c>
      <c r="I81" s="74">
        <v>1</v>
      </c>
      <c r="J81" s="74">
        <v>0</v>
      </c>
      <c r="K81" s="74">
        <v>0</v>
      </c>
      <c r="L81" s="74">
        <v>0</v>
      </c>
      <c r="M81" s="74">
        <v>0</v>
      </c>
      <c r="N81" s="74">
        <v>1</v>
      </c>
      <c r="O81" s="74">
        <v>1</v>
      </c>
      <c r="P81" s="74">
        <v>0</v>
      </c>
      <c r="Q81" s="74">
        <v>0</v>
      </c>
      <c r="R81" s="74">
        <v>0</v>
      </c>
      <c r="S81" s="74">
        <v>0</v>
      </c>
      <c r="T81" s="74">
        <v>0</v>
      </c>
      <c r="U81" s="74">
        <v>0</v>
      </c>
      <c r="V81" s="6">
        <v>0</v>
      </c>
    </row>
    <row r="82" spans="1:22" ht="15.75" thickBot="1" x14ac:dyDescent="0.3">
      <c r="A82" s="73" t="s">
        <v>41</v>
      </c>
      <c r="B82" s="605">
        <f>MIN(SUMIFS(C80:T80,C81:T81,1),5)</f>
        <v>4.2219178082191782</v>
      </c>
      <c r="C82" s="606"/>
      <c r="D82" s="606"/>
      <c r="E82" s="606"/>
      <c r="F82" s="606"/>
      <c r="G82" s="606"/>
      <c r="H82" s="606"/>
      <c r="I82" s="606"/>
      <c r="J82" s="606"/>
      <c r="K82" s="606"/>
      <c r="L82" s="606"/>
      <c r="M82" s="606"/>
      <c r="N82" s="606"/>
      <c r="O82" s="606"/>
      <c r="P82" s="606"/>
      <c r="Q82" s="606"/>
      <c r="R82" s="606"/>
      <c r="S82" s="606"/>
      <c r="T82" s="606"/>
      <c r="U82" s="606"/>
      <c r="V82" s="607"/>
    </row>
    <row r="83" spans="1:22" ht="15.75" thickBot="1" x14ac:dyDescent="0.3"/>
    <row r="84" spans="1:22" x14ac:dyDescent="0.25">
      <c r="A84" s="9" t="s">
        <v>227</v>
      </c>
      <c r="B84" s="92" t="s">
        <v>28</v>
      </c>
      <c r="C84" s="92" t="s">
        <v>29</v>
      </c>
      <c r="D84" s="91"/>
      <c r="E84" s="92"/>
      <c r="F84" s="87"/>
      <c r="G84" s="87"/>
      <c r="H84" s="87"/>
      <c r="I84" s="87"/>
      <c r="J84" s="88"/>
    </row>
    <row r="85" spans="1:22" x14ac:dyDescent="0.25">
      <c r="A85" s="1" t="s">
        <v>23</v>
      </c>
      <c r="B85" s="85" t="s">
        <v>449</v>
      </c>
      <c r="C85" s="37" t="s">
        <v>264</v>
      </c>
      <c r="D85" s="41"/>
      <c r="E85" s="37"/>
      <c r="F85" s="40"/>
      <c r="G85" s="40"/>
      <c r="H85" s="40"/>
      <c r="I85" s="40"/>
      <c r="J85" s="44"/>
    </row>
    <row r="86" spans="1:22" x14ac:dyDescent="0.25">
      <c r="A86" s="1" t="s">
        <v>24</v>
      </c>
      <c r="B86" s="85" t="s">
        <v>156</v>
      </c>
      <c r="C86" s="85" t="s">
        <v>263</v>
      </c>
      <c r="D86" s="41"/>
      <c r="E86" s="85"/>
      <c r="F86" s="41"/>
      <c r="G86" s="41"/>
      <c r="H86" s="41"/>
      <c r="I86" s="41"/>
      <c r="J86" s="2"/>
    </row>
    <row r="87" spans="1:22" x14ac:dyDescent="0.25">
      <c r="A87" s="1" t="s">
        <v>25</v>
      </c>
      <c r="B87" s="85" t="s">
        <v>158</v>
      </c>
      <c r="C87" s="85" t="s">
        <v>158</v>
      </c>
      <c r="D87" s="41"/>
      <c r="E87" s="85"/>
      <c r="F87" s="41"/>
      <c r="G87" s="41"/>
      <c r="H87" s="41"/>
      <c r="I87" s="41"/>
      <c r="J87" s="2"/>
    </row>
    <row r="88" spans="1:22" x14ac:dyDescent="0.25">
      <c r="A88" s="1" t="s">
        <v>26</v>
      </c>
      <c r="B88" s="85" t="s">
        <v>157</v>
      </c>
      <c r="C88" s="85" t="s">
        <v>157</v>
      </c>
      <c r="D88" s="41"/>
      <c r="E88" s="85"/>
      <c r="F88" s="41"/>
      <c r="G88" s="41"/>
      <c r="H88" s="41"/>
      <c r="I88" s="41"/>
      <c r="J88" s="2"/>
    </row>
    <row r="89" spans="1:22" x14ac:dyDescent="0.25">
      <c r="A89" s="1" t="s">
        <v>27</v>
      </c>
      <c r="B89" s="37" t="s">
        <v>450</v>
      </c>
      <c r="C89" s="37" t="s">
        <v>450</v>
      </c>
      <c r="D89" s="38"/>
      <c r="E89" s="37"/>
      <c r="F89" s="40"/>
      <c r="G89" s="40"/>
      <c r="H89" s="40"/>
      <c r="I89" s="40"/>
      <c r="J89" s="44"/>
    </row>
    <row r="90" spans="1:22" x14ac:dyDescent="0.25">
      <c r="A90" s="1" t="s">
        <v>35</v>
      </c>
      <c r="B90" s="86">
        <v>38333</v>
      </c>
      <c r="C90" s="86">
        <v>40391</v>
      </c>
      <c r="D90" s="41"/>
      <c r="E90" s="86"/>
      <c r="F90" s="41"/>
      <c r="G90" s="41"/>
      <c r="H90" s="41"/>
      <c r="I90" s="41"/>
      <c r="J90" s="2"/>
    </row>
    <row r="91" spans="1:22" x14ac:dyDescent="0.25">
      <c r="A91" s="1" t="s">
        <v>34</v>
      </c>
      <c r="B91" s="86">
        <v>41657</v>
      </c>
      <c r="C91" s="86">
        <v>41656</v>
      </c>
      <c r="D91" s="41"/>
      <c r="E91" s="86"/>
      <c r="F91" s="41"/>
      <c r="G91" s="41"/>
      <c r="H91" s="41"/>
      <c r="I91" s="41"/>
      <c r="J91" s="2"/>
    </row>
    <row r="92" spans="1:22" x14ac:dyDescent="0.25">
      <c r="A92" s="1" t="s">
        <v>208</v>
      </c>
      <c r="B92" s="65">
        <v>38333</v>
      </c>
      <c r="C92" s="65">
        <v>40391</v>
      </c>
      <c r="D92" s="90"/>
      <c r="E92" s="65"/>
      <c r="F92" s="80"/>
      <c r="G92" s="80"/>
      <c r="H92" s="80"/>
      <c r="I92" s="80"/>
      <c r="J92" s="81"/>
    </row>
    <row r="93" spans="1:22" x14ac:dyDescent="0.25">
      <c r="A93" s="1" t="s">
        <v>207</v>
      </c>
      <c r="B93" s="65">
        <v>41655</v>
      </c>
      <c r="C93" s="65">
        <v>41656</v>
      </c>
      <c r="D93" s="90"/>
      <c r="E93" s="65"/>
      <c r="F93" s="80"/>
      <c r="G93" s="80"/>
      <c r="H93" s="80"/>
      <c r="I93" s="80"/>
      <c r="J93" s="81"/>
    </row>
    <row r="94" spans="1:22" x14ac:dyDescent="0.25">
      <c r="A94" s="1" t="s">
        <v>38</v>
      </c>
      <c r="B94" s="69">
        <f t="shared" ref="B94:E94" si="5">(B93-B92)/365</f>
        <v>9.1013698630136979</v>
      </c>
      <c r="C94" s="93"/>
      <c r="D94" s="94"/>
      <c r="E94" s="69">
        <f t="shared" si="5"/>
        <v>0</v>
      </c>
      <c r="F94" s="93"/>
      <c r="G94" s="93"/>
      <c r="H94" s="93"/>
      <c r="I94" s="93"/>
      <c r="J94" s="95"/>
    </row>
    <row r="95" spans="1:22" ht="15.75" thickBot="1" x14ac:dyDescent="0.3">
      <c r="A95" s="4" t="s">
        <v>42</v>
      </c>
      <c r="B95" s="571">
        <v>1</v>
      </c>
      <c r="C95" s="572"/>
      <c r="D95" s="596"/>
      <c r="E95" s="571">
        <v>1</v>
      </c>
      <c r="F95" s="572"/>
      <c r="G95" s="572"/>
      <c r="H95" s="572"/>
      <c r="I95" s="572"/>
      <c r="J95" s="573"/>
    </row>
    <row r="96" spans="1:22" ht="15.75" thickBot="1" x14ac:dyDescent="0.3">
      <c r="A96" s="8" t="s">
        <v>41</v>
      </c>
      <c r="B96" s="594">
        <f>MIN(SUMIFS(B94:J94,B95:J95,1),5)</f>
        <v>5</v>
      </c>
      <c r="C96" s="594"/>
      <c r="D96" s="594"/>
      <c r="E96" s="594"/>
      <c r="F96" s="594"/>
      <c r="G96" s="594"/>
      <c r="H96" s="594"/>
      <c r="I96" s="594"/>
      <c r="J96" s="595"/>
    </row>
    <row r="97" spans="1:10" ht="15.75" thickBot="1" x14ac:dyDescent="0.3"/>
    <row r="98" spans="1:10" x14ac:dyDescent="0.25">
      <c r="A98" s="9" t="s">
        <v>262</v>
      </c>
      <c r="B98" s="92" t="s">
        <v>28</v>
      </c>
      <c r="C98" s="87"/>
      <c r="D98" s="87"/>
      <c r="E98" s="87"/>
      <c r="F98" s="87"/>
      <c r="G98" s="87"/>
      <c r="H98" s="87"/>
      <c r="I98" s="87"/>
      <c r="J98" s="88"/>
    </row>
    <row r="99" spans="1:10" x14ac:dyDescent="0.25">
      <c r="A99" s="3" t="s">
        <v>23</v>
      </c>
      <c r="B99" s="37" t="s">
        <v>451</v>
      </c>
      <c r="C99" s="40"/>
      <c r="D99" s="40"/>
      <c r="E99" s="40"/>
      <c r="F99" s="40"/>
      <c r="G99" s="40"/>
      <c r="H99" s="40"/>
      <c r="I99" s="40"/>
      <c r="J99" s="44"/>
    </row>
    <row r="100" spans="1:10" x14ac:dyDescent="0.25">
      <c r="A100" s="1" t="s">
        <v>24</v>
      </c>
      <c r="B100" s="85" t="s">
        <v>258</v>
      </c>
      <c r="C100" s="41"/>
      <c r="D100" s="41"/>
      <c r="E100" s="41"/>
      <c r="F100" s="41"/>
      <c r="G100" s="41"/>
      <c r="H100" s="41"/>
      <c r="I100" s="41"/>
      <c r="J100" s="2"/>
    </row>
    <row r="101" spans="1:10" x14ac:dyDescent="0.25">
      <c r="A101" s="1" t="s">
        <v>25</v>
      </c>
      <c r="B101" s="85" t="s">
        <v>257</v>
      </c>
      <c r="C101" s="41"/>
      <c r="D101" s="41"/>
      <c r="E101" s="41"/>
      <c r="F101" s="41"/>
      <c r="G101" s="41"/>
      <c r="H101" s="41"/>
      <c r="I101" s="41"/>
      <c r="J101" s="2"/>
    </row>
    <row r="102" spans="1:10" x14ac:dyDescent="0.25">
      <c r="A102" s="1" t="s">
        <v>26</v>
      </c>
      <c r="B102" s="85" t="s">
        <v>159</v>
      </c>
      <c r="C102" s="41"/>
      <c r="D102" s="41"/>
      <c r="E102" s="41"/>
      <c r="F102" s="41"/>
      <c r="G102" s="41"/>
      <c r="H102" s="41"/>
      <c r="I102" s="41"/>
      <c r="J102" s="2"/>
    </row>
    <row r="103" spans="1:10" x14ac:dyDescent="0.25">
      <c r="A103" s="1" t="s">
        <v>27</v>
      </c>
      <c r="B103" s="37" t="s">
        <v>216</v>
      </c>
      <c r="C103" s="40"/>
      <c r="D103" s="40"/>
      <c r="E103" s="40"/>
      <c r="F103" s="40"/>
      <c r="G103" s="40"/>
      <c r="H103" s="40"/>
      <c r="I103" s="40"/>
      <c r="J103" s="44"/>
    </row>
    <row r="104" spans="1:10" ht="18" customHeight="1" x14ac:dyDescent="0.25">
      <c r="A104" s="1" t="s">
        <v>35</v>
      </c>
      <c r="B104" s="86">
        <v>37773</v>
      </c>
      <c r="C104" s="41"/>
      <c r="D104" s="41"/>
      <c r="E104" s="41"/>
      <c r="F104" s="41"/>
      <c r="G104" s="41"/>
      <c r="H104" s="41"/>
      <c r="I104" s="41"/>
      <c r="J104" s="2"/>
    </row>
    <row r="105" spans="1:10" x14ac:dyDescent="0.25">
      <c r="A105" s="1" t="s">
        <v>34</v>
      </c>
      <c r="B105" s="86">
        <v>40907</v>
      </c>
      <c r="C105" s="41"/>
      <c r="D105" s="41"/>
      <c r="E105" s="41"/>
      <c r="F105" s="41"/>
      <c r="G105" s="41"/>
      <c r="H105" s="41"/>
      <c r="I105" s="41"/>
      <c r="J105" s="2"/>
    </row>
    <row r="106" spans="1:10" x14ac:dyDescent="0.25">
      <c r="A106" s="1" t="s">
        <v>206</v>
      </c>
      <c r="B106" s="65">
        <v>37773</v>
      </c>
      <c r="C106" s="80"/>
      <c r="D106" s="80"/>
      <c r="E106" s="80"/>
      <c r="F106" s="80"/>
      <c r="G106" s="80"/>
      <c r="H106" s="80"/>
      <c r="I106" s="80"/>
      <c r="J106" s="81"/>
    </row>
    <row r="107" spans="1:10" x14ac:dyDescent="0.25">
      <c r="A107" s="1" t="s">
        <v>209</v>
      </c>
      <c r="B107" s="65">
        <v>40907</v>
      </c>
      <c r="C107" s="80"/>
      <c r="D107" s="80"/>
      <c r="E107" s="80"/>
      <c r="F107" s="80"/>
      <c r="G107" s="80"/>
      <c r="H107" s="80"/>
      <c r="I107" s="80"/>
      <c r="J107" s="81"/>
    </row>
    <row r="108" spans="1:10" x14ac:dyDescent="0.25">
      <c r="A108" s="1" t="s">
        <v>38</v>
      </c>
      <c r="B108" s="69">
        <f t="shared" ref="B108" si="6">(B107-B106)/365</f>
        <v>8.5863013698630137</v>
      </c>
      <c r="C108" s="93"/>
      <c r="D108" s="93"/>
      <c r="E108" s="93"/>
      <c r="F108" s="93"/>
      <c r="G108" s="93"/>
      <c r="H108" s="93"/>
      <c r="I108" s="93"/>
      <c r="J108" s="95"/>
    </row>
    <row r="109" spans="1:10" ht="15.75" thickBot="1" x14ac:dyDescent="0.3">
      <c r="A109" s="4" t="s">
        <v>42</v>
      </c>
      <c r="B109" s="571">
        <v>1</v>
      </c>
      <c r="C109" s="572"/>
      <c r="D109" s="572"/>
      <c r="E109" s="572"/>
      <c r="F109" s="572"/>
      <c r="G109" s="572"/>
      <c r="H109" s="572"/>
      <c r="I109" s="572"/>
      <c r="J109" s="573"/>
    </row>
    <row r="110" spans="1:10" ht="15.75" thickBot="1" x14ac:dyDescent="0.3">
      <c r="A110" s="8" t="s">
        <v>41</v>
      </c>
      <c r="B110" s="594">
        <f>MIN(SUMIFS(B108:J108,B109:J109,1),5)</f>
        <v>5</v>
      </c>
      <c r="C110" s="594"/>
      <c r="D110" s="594"/>
      <c r="E110" s="594"/>
      <c r="F110" s="594"/>
      <c r="G110" s="594"/>
      <c r="H110" s="594"/>
      <c r="I110" s="594"/>
      <c r="J110" s="595"/>
    </row>
  </sheetData>
  <mergeCells count="26">
    <mergeCell ref="A6:W6"/>
    <mergeCell ref="A7:W7"/>
    <mergeCell ref="A8:W8"/>
    <mergeCell ref="A9:W9"/>
    <mergeCell ref="B11:W11"/>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P75:V75"/>
    <mergeCell ref="B82:V82"/>
    <mergeCell ref="B95:D95"/>
    <mergeCell ref="E95:J95"/>
    <mergeCell ref="B109:J109"/>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x14ac:dyDescent="0.2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x14ac:dyDescent="0.25">
      <c r="A6" s="391" t="s">
        <v>201</v>
      </c>
      <c r="B6" s="391"/>
      <c r="C6" s="391"/>
      <c r="D6" s="391"/>
      <c r="E6" s="391"/>
      <c r="F6" s="391"/>
      <c r="G6" s="391"/>
      <c r="H6" s="391"/>
      <c r="I6" s="391"/>
      <c r="J6" s="391"/>
      <c r="K6" s="391"/>
      <c r="L6" s="391"/>
      <c r="M6" s="391"/>
      <c r="N6" s="391"/>
      <c r="O6" s="391"/>
      <c r="P6" s="39"/>
      <c r="Q6" s="39"/>
      <c r="R6" s="39"/>
      <c r="S6" s="39"/>
      <c r="T6" s="39"/>
      <c r="U6" s="39"/>
      <c r="V6" s="39"/>
      <c r="W6" s="39"/>
    </row>
    <row r="7" spans="1:23" x14ac:dyDescent="0.25">
      <c r="A7" s="391" t="s">
        <v>202</v>
      </c>
      <c r="B7" s="391"/>
      <c r="C7" s="391"/>
      <c r="D7" s="391"/>
      <c r="E7" s="391"/>
      <c r="F7" s="391"/>
      <c r="G7" s="391"/>
      <c r="H7" s="391"/>
      <c r="I7" s="391"/>
      <c r="J7" s="391"/>
      <c r="K7" s="391"/>
      <c r="L7" s="391"/>
      <c r="M7" s="391"/>
      <c r="N7" s="391"/>
      <c r="O7" s="391"/>
      <c r="P7" s="39"/>
      <c r="Q7" s="39"/>
      <c r="R7" s="39"/>
      <c r="S7" s="39"/>
      <c r="T7" s="39"/>
      <c r="U7" s="39"/>
      <c r="V7" s="39"/>
      <c r="W7" s="39"/>
    </row>
    <row r="8" spans="1:23" x14ac:dyDescent="0.25">
      <c r="A8" s="391" t="s">
        <v>203</v>
      </c>
      <c r="B8" s="391"/>
      <c r="C8" s="391"/>
      <c r="D8" s="391"/>
      <c r="E8" s="391"/>
      <c r="F8" s="391"/>
      <c r="G8" s="391"/>
      <c r="H8" s="391"/>
      <c r="I8" s="391"/>
      <c r="J8" s="391"/>
      <c r="K8" s="391"/>
      <c r="L8" s="391"/>
      <c r="M8" s="391"/>
      <c r="N8" s="391"/>
      <c r="O8" s="391"/>
      <c r="P8" s="39"/>
      <c r="Q8" s="39"/>
      <c r="R8" s="39"/>
      <c r="S8" s="39"/>
      <c r="T8" s="39"/>
      <c r="U8" s="39"/>
      <c r="V8" s="39"/>
      <c r="W8" s="39"/>
    </row>
    <row r="9" spans="1:23" x14ac:dyDescent="0.25">
      <c r="A9" s="391" t="s">
        <v>473</v>
      </c>
      <c r="B9" s="391"/>
      <c r="C9" s="391"/>
      <c r="D9" s="391"/>
      <c r="E9" s="391"/>
      <c r="F9" s="391"/>
      <c r="G9" s="391"/>
      <c r="H9" s="391"/>
      <c r="I9" s="391"/>
      <c r="J9" s="391"/>
      <c r="K9" s="391"/>
      <c r="L9" s="391"/>
      <c r="M9" s="391"/>
      <c r="N9" s="391"/>
      <c r="O9" s="391"/>
      <c r="P9" s="39"/>
      <c r="Q9" s="39"/>
      <c r="R9" s="39"/>
      <c r="S9" s="39"/>
      <c r="T9" s="39"/>
      <c r="U9" s="39"/>
      <c r="V9" s="39"/>
      <c r="W9" s="39"/>
    </row>
    <row r="11" spans="1:23" x14ac:dyDescent="0.25">
      <c r="A11" s="12" t="s">
        <v>13</v>
      </c>
      <c r="B11" s="597" t="s">
        <v>198</v>
      </c>
      <c r="C11" s="597"/>
      <c r="D11" s="597"/>
      <c r="E11" s="597"/>
      <c r="F11" s="597"/>
      <c r="G11" s="597"/>
      <c r="H11" s="597"/>
      <c r="I11" s="597"/>
      <c r="J11" s="597"/>
      <c r="K11" s="597"/>
      <c r="L11" s="597"/>
      <c r="M11" s="597"/>
      <c r="N11" s="597"/>
      <c r="O11" s="597"/>
    </row>
    <row r="12" spans="1:23" x14ac:dyDescent="0.25">
      <c r="A12" s="12" t="s">
        <v>43</v>
      </c>
      <c r="B12" s="82">
        <f>SUM(B26,B40,B54,B68,B96,B82,B110)</f>
        <v>30.265753424657536</v>
      </c>
      <c r="C12" s="16"/>
      <c r="D12" s="16"/>
      <c r="E12" s="16"/>
      <c r="F12" s="16"/>
      <c r="G12" s="16"/>
      <c r="H12" s="16"/>
      <c r="I12" s="16"/>
      <c r="J12" s="16"/>
    </row>
    <row r="13" spans="1:23" ht="15.75" thickBot="1" x14ac:dyDescent="0.3"/>
    <row r="14" spans="1:23" x14ac:dyDescent="0.25">
      <c r="A14" s="9" t="s">
        <v>411</v>
      </c>
      <c r="B14" s="574" t="s">
        <v>28</v>
      </c>
      <c r="C14" s="575"/>
      <c r="D14" s="575"/>
      <c r="E14" s="575"/>
      <c r="F14" s="576"/>
    </row>
    <row r="15" spans="1:23" x14ac:dyDescent="0.25">
      <c r="A15" s="20" t="s">
        <v>23</v>
      </c>
      <c r="B15" s="37" t="s">
        <v>372</v>
      </c>
      <c r="C15" s="40"/>
      <c r="D15" s="40"/>
      <c r="E15" s="40"/>
      <c r="F15" s="44"/>
    </row>
    <row r="16" spans="1:23" x14ac:dyDescent="0.25">
      <c r="A16" s="20" t="s">
        <v>24</v>
      </c>
      <c r="B16" s="41" t="s">
        <v>410</v>
      </c>
      <c r="C16" s="41"/>
      <c r="D16" s="41"/>
      <c r="E16" s="41"/>
      <c r="F16" s="2"/>
    </row>
    <row r="17" spans="1:15" x14ac:dyDescent="0.25">
      <c r="A17" s="20" t="s">
        <v>25</v>
      </c>
      <c r="B17" s="41"/>
      <c r="C17" s="41"/>
      <c r="D17" s="41"/>
      <c r="E17" s="41"/>
      <c r="F17" s="2"/>
    </row>
    <row r="18" spans="1:15" x14ac:dyDescent="0.25">
      <c r="A18" s="20" t="s">
        <v>26</v>
      </c>
      <c r="B18" s="41"/>
      <c r="C18" s="41"/>
      <c r="D18" s="41"/>
      <c r="E18" s="41"/>
      <c r="F18" s="2"/>
    </row>
    <row r="19" spans="1:15" x14ac:dyDescent="0.25">
      <c r="A19" s="20" t="s">
        <v>27</v>
      </c>
      <c r="B19" s="37" t="s">
        <v>467</v>
      </c>
      <c r="C19" s="40"/>
      <c r="D19" s="40"/>
      <c r="E19" s="40"/>
      <c r="F19" s="44"/>
    </row>
    <row r="20" spans="1:15" x14ac:dyDescent="0.25">
      <c r="A20" s="20" t="s">
        <v>35</v>
      </c>
      <c r="B20" s="41"/>
      <c r="C20" s="41"/>
      <c r="D20" s="41"/>
      <c r="E20" s="41"/>
      <c r="F20" s="2"/>
    </row>
    <row r="21" spans="1:15" x14ac:dyDescent="0.25">
      <c r="A21" s="20" t="s">
        <v>34</v>
      </c>
      <c r="B21" s="41"/>
      <c r="C21" s="41"/>
      <c r="D21" s="41"/>
      <c r="E21" s="41"/>
      <c r="F21" s="2"/>
    </row>
    <row r="22" spans="1:15" x14ac:dyDescent="0.25">
      <c r="A22" s="20" t="s">
        <v>36</v>
      </c>
      <c r="B22" s="65">
        <v>37654</v>
      </c>
      <c r="C22" s="80">
        <v>39353</v>
      </c>
      <c r="D22" s="80">
        <v>37888</v>
      </c>
      <c r="E22" s="80">
        <v>39815</v>
      </c>
      <c r="F22" s="81">
        <v>41134</v>
      </c>
    </row>
    <row r="23" spans="1:15" x14ac:dyDescent="0.25">
      <c r="A23" s="20" t="s">
        <v>37</v>
      </c>
      <c r="B23" s="65">
        <v>38352</v>
      </c>
      <c r="C23" s="80">
        <v>39937</v>
      </c>
      <c r="D23" s="80">
        <v>38383</v>
      </c>
      <c r="E23" s="80">
        <v>40556</v>
      </c>
      <c r="F23" s="81">
        <v>41305</v>
      </c>
    </row>
    <row r="24" spans="1:15" x14ac:dyDescent="0.25">
      <c r="A24" s="20" t="s">
        <v>38</v>
      </c>
      <c r="B24" s="37">
        <f>(B23-B22)/365</f>
        <v>1.9123287671232876</v>
      </c>
      <c r="C24" s="40">
        <f>(C23-C22)/365</f>
        <v>1.6</v>
      </c>
      <c r="D24" s="40">
        <f>(D23-D22)/365</f>
        <v>1.3561643835616439</v>
      </c>
      <c r="E24" s="40">
        <f>(E23-E22)/365</f>
        <v>2.0301369863013701</v>
      </c>
      <c r="F24" s="44">
        <f>(F23-F22)/365</f>
        <v>0.46849315068493153</v>
      </c>
    </row>
    <row r="25" spans="1:15" ht="15.75" thickBot="1" x14ac:dyDescent="0.3">
      <c r="A25" s="31" t="s">
        <v>42</v>
      </c>
      <c r="B25" s="75">
        <v>1</v>
      </c>
      <c r="C25" s="76">
        <v>1</v>
      </c>
      <c r="D25" s="76">
        <v>1</v>
      </c>
      <c r="E25" s="76">
        <v>0</v>
      </c>
      <c r="F25" s="77">
        <v>0</v>
      </c>
    </row>
    <row r="26" spans="1:15" ht="15.75" thickBot="1" x14ac:dyDescent="0.3">
      <c r="A26" s="73" t="s">
        <v>41</v>
      </c>
      <c r="B26" s="605">
        <f>B24+C24+D24</f>
        <v>4.868493150684932</v>
      </c>
      <c r="C26" s="606"/>
      <c r="D26" s="606"/>
      <c r="E26" s="606"/>
      <c r="F26" s="607"/>
    </row>
    <row r="27" spans="1:15" ht="15.75" thickBot="1" x14ac:dyDescent="0.3"/>
    <row r="28" spans="1:15" x14ac:dyDescent="0.25">
      <c r="A28" s="9" t="s">
        <v>409</v>
      </c>
      <c r="B28" s="51" t="s">
        <v>28</v>
      </c>
      <c r="C28" s="51" t="s">
        <v>29</v>
      </c>
      <c r="D28" s="51" t="s">
        <v>30</v>
      </c>
      <c r="E28" s="51" t="s">
        <v>31</v>
      </c>
      <c r="F28" s="51" t="s">
        <v>32</v>
      </c>
      <c r="G28" s="51" t="s">
        <v>33</v>
      </c>
      <c r="H28" s="51" t="s">
        <v>261</v>
      </c>
      <c r="I28" s="51" t="s">
        <v>260</v>
      </c>
      <c r="J28" s="51" t="s">
        <v>259</v>
      </c>
      <c r="K28" s="51" t="s">
        <v>293</v>
      </c>
      <c r="L28" s="52" t="s">
        <v>408</v>
      </c>
      <c r="M28" s="51" t="s">
        <v>291</v>
      </c>
      <c r="N28" s="51" t="s">
        <v>290</v>
      </c>
      <c r="O28" s="52" t="s">
        <v>455</v>
      </c>
    </row>
    <row r="29" spans="1:15" x14ac:dyDescent="0.25">
      <c r="A29" s="1" t="s">
        <v>23</v>
      </c>
      <c r="B29" s="71" t="s">
        <v>452</v>
      </c>
      <c r="C29" s="41" t="s">
        <v>214</v>
      </c>
      <c r="D29" s="41" t="s">
        <v>214</v>
      </c>
      <c r="E29" s="41" t="s">
        <v>214</v>
      </c>
      <c r="F29" s="41" t="s">
        <v>214</v>
      </c>
      <c r="G29" s="41" t="s">
        <v>214</v>
      </c>
      <c r="H29" s="41" t="s">
        <v>214</v>
      </c>
      <c r="I29" s="41" t="s">
        <v>214</v>
      </c>
      <c r="J29" s="41" t="s">
        <v>214</v>
      </c>
      <c r="K29" s="41" t="s">
        <v>214</v>
      </c>
      <c r="L29" s="41" t="s">
        <v>214</v>
      </c>
      <c r="M29" s="41" t="s">
        <v>407</v>
      </c>
      <c r="N29" s="41" t="s">
        <v>406</v>
      </c>
      <c r="O29" s="2" t="s">
        <v>465</v>
      </c>
    </row>
    <row r="30" spans="1:15" x14ac:dyDescent="0.25">
      <c r="A30" s="1" t="s">
        <v>24</v>
      </c>
      <c r="B30" s="37" t="s">
        <v>405</v>
      </c>
      <c r="C30" s="37"/>
      <c r="D30" s="37"/>
      <c r="E30" s="37"/>
      <c r="F30" s="41"/>
      <c r="G30" s="41"/>
      <c r="H30" s="41"/>
      <c r="I30" s="41"/>
      <c r="J30" s="41"/>
      <c r="K30" s="41"/>
      <c r="L30" s="41"/>
      <c r="M30" s="41"/>
      <c r="N30" s="41"/>
      <c r="O30" s="2"/>
    </row>
    <row r="31" spans="1:15" x14ac:dyDescent="0.25">
      <c r="A31" s="1" t="s">
        <v>25</v>
      </c>
      <c r="B31" s="37"/>
      <c r="C31" s="37"/>
      <c r="D31" s="37"/>
      <c r="E31" s="37"/>
      <c r="F31" s="41" t="s">
        <v>404</v>
      </c>
      <c r="G31" s="41" t="s">
        <v>403</v>
      </c>
      <c r="H31" s="41" t="s">
        <v>402</v>
      </c>
      <c r="I31" s="41" t="s">
        <v>401</v>
      </c>
      <c r="J31" s="41" t="s">
        <v>400</v>
      </c>
      <c r="K31" s="41" t="s">
        <v>399</v>
      </c>
      <c r="L31" s="41" t="s">
        <v>398</v>
      </c>
      <c r="M31" s="41" t="s">
        <v>397</v>
      </c>
      <c r="N31" s="41"/>
      <c r="O31" s="2" t="s">
        <v>396</v>
      </c>
    </row>
    <row r="32" spans="1:15" x14ac:dyDescent="0.25">
      <c r="A32" s="20" t="s">
        <v>26</v>
      </c>
      <c r="B32" s="41" t="s">
        <v>395</v>
      </c>
      <c r="C32" s="41"/>
      <c r="D32" s="41"/>
      <c r="E32" s="41"/>
      <c r="F32" s="41"/>
      <c r="G32" s="41"/>
      <c r="H32" s="41"/>
      <c r="I32" s="41"/>
      <c r="J32" s="41"/>
      <c r="K32" s="41"/>
      <c r="L32" s="41"/>
      <c r="M32" s="41"/>
      <c r="N32" s="41"/>
      <c r="O32" s="2"/>
    </row>
    <row r="33" spans="1:15" ht="105" x14ac:dyDescent="0.25">
      <c r="A33" s="83" t="s">
        <v>27</v>
      </c>
      <c r="B33" s="84" t="s">
        <v>453</v>
      </c>
      <c r="C33" s="613" t="s">
        <v>454</v>
      </c>
      <c r="D33" s="614"/>
      <c r="E33" s="84" t="s">
        <v>456</v>
      </c>
      <c r="F33" s="36" t="s">
        <v>457</v>
      </c>
      <c r="G33" s="36" t="s">
        <v>458</v>
      </c>
      <c r="H33" s="36" t="s">
        <v>459</v>
      </c>
      <c r="I33" s="36" t="s">
        <v>460</v>
      </c>
      <c r="J33" s="613" t="s">
        <v>461</v>
      </c>
      <c r="K33" s="615"/>
      <c r="L33" s="614"/>
      <c r="M33" s="36" t="s">
        <v>462</v>
      </c>
      <c r="N33" s="36" t="s">
        <v>463</v>
      </c>
      <c r="O33" s="45" t="s">
        <v>464</v>
      </c>
    </row>
    <row r="34" spans="1:15" x14ac:dyDescent="0.25">
      <c r="A34" s="1" t="s">
        <v>35</v>
      </c>
      <c r="B34" s="37"/>
      <c r="C34" s="37"/>
      <c r="D34" s="37"/>
      <c r="E34" s="37"/>
      <c r="F34" s="41"/>
      <c r="G34" s="41"/>
      <c r="H34" s="41"/>
      <c r="I34" s="41"/>
      <c r="J34" s="41"/>
      <c r="K34" s="41"/>
      <c r="L34" s="41"/>
      <c r="M34" s="41"/>
      <c r="N34" s="41"/>
      <c r="O34" s="2"/>
    </row>
    <row r="35" spans="1:15" x14ac:dyDescent="0.25">
      <c r="A35" s="1" t="s">
        <v>34</v>
      </c>
      <c r="B35" s="37"/>
      <c r="C35" s="37"/>
      <c r="D35" s="37"/>
      <c r="E35" s="37"/>
      <c r="F35" s="41"/>
      <c r="G35" s="41"/>
      <c r="H35" s="41"/>
      <c r="I35" s="41"/>
      <c r="J35" s="41"/>
      <c r="K35" s="41"/>
      <c r="L35" s="41"/>
      <c r="M35" s="41"/>
      <c r="N35" s="41"/>
      <c r="O35" s="2"/>
    </row>
    <row r="36" spans="1:15" x14ac:dyDescent="0.25">
      <c r="A36" s="1" t="s">
        <v>36</v>
      </c>
      <c r="B36" s="63">
        <v>40437</v>
      </c>
      <c r="C36" s="63">
        <v>39067</v>
      </c>
      <c r="D36" s="63">
        <v>39024</v>
      </c>
      <c r="E36" s="63">
        <v>38743</v>
      </c>
      <c r="F36" s="55">
        <v>37386</v>
      </c>
      <c r="G36" s="55">
        <v>38195</v>
      </c>
      <c r="H36" s="55">
        <v>38275</v>
      </c>
      <c r="I36" s="55">
        <v>38313</v>
      </c>
      <c r="J36" s="55">
        <v>38429</v>
      </c>
      <c r="K36" s="55">
        <v>38551</v>
      </c>
      <c r="L36" s="55">
        <v>38588</v>
      </c>
      <c r="M36" s="55">
        <v>37883</v>
      </c>
      <c r="N36" s="55">
        <v>37653</v>
      </c>
      <c r="O36" s="70">
        <v>36957</v>
      </c>
    </row>
    <row r="37" spans="1:15" x14ac:dyDescent="0.25">
      <c r="A37" s="1" t="s">
        <v>37</v>
      </c>
      <c r="B37" s="63">
        <v>40709</v>
      </c>
      <c r="C37" s="63">
        <v>39129</v>
      </c>
      <c r="D37" s="63">
        <v>39066</v>
      </c>
      <c r="E37" s="63">
        <v>38924</v>
      </c>
      <c r="F37" s="55">
        <v>37406</v>
      </c>
      <c r="G37" s="55">
        <v>38260</v>
      </c>
      <c r="H37" s="55">
        <v>38296</v>
      </c>
      <c r="I37" s="55">
        <v>38331</v>
      </c>
      <c r="J37" s="55">
        <v>38536</v>
      </c>
      <c r="K37" s="55">
        <v>38569</v>
      </c>
      <c r="L37" s="55">
        <v>38619</v>
      </c>
      <c r="M37" s="55">
        <v>38065</v>
      </c>
      <c r="N37" s="55">
        <v>37741</v>
      </c>
      <c r="O37" s="70">
        <v>37343</v>
      </c>
    </row>
    <row r="38" spans="1:15" x14ac:dyDescent="0.25">
      <c r="A38" s="1" t="s">
        <v>38</v>
      </c>
      <c r="B38" s="69">
        <f t="shared" ref="B38:O38" si="0">(B37-B36)/365</f>
        <v>0.74520547945205484</v>
      </c>
      <c r="C38" s="69">
        <f t="shared" si="0"/>
        <v>0.16986301369863013</v>
      </c>
      <c r="D38" s="69">
        <f t="shared" si="0"/>
        <v>0.11506849315068493</v>
      </c>
      <c r="E38" s="69">
        <f t="shared" si="0"/>
        <v>0.49589041095890413</v>
      </c>
      <c r="F38" s="14">
        <f t="shared" si="0"/>
        <v>5.4794520547945202E-2</v>
      </c>
      <c r="G38" s="14">
        <f t="shared" si="0"/>
        <v>0.17808219178082191</v>
      </c>
      <c r="H38" s="14">
        <f t="shared" si="0"/>
        <v>5.7534246575342465E-2</v>
      </c>
      <c r="I38" s="14">
        <f t="shared" si="0"/>
        <v>4.9315068493150684E-2</v>
      </c>
      <c r="J38" s="14">
        <f t="shared" si="0"/>
        <v>0.29315068493150687</v>
      </c>
      <c r="K38" s="14">
        <f t="shared" si="0"/>
        <v>4.9315068493150684E-2</v>
      </c>
      <c r="L38" s="14">
        <f t="shared" si="0"/>
        <v>8.4931506849315067E-2</v>
      </c>
      <c r="M38" s="14">
        <f t="shared" si="0"/>
        <v>0.49863013698630138</v>
      </c>
      <c r="N38" s="14">
        <f t="shared" si="0"/>
        <v>0.24109589041095891</v>
      </c>
      <c r="O38" s="67">
        <f t="shared" si="0"/>
        <v>1.0575342465753426</v>
      </c>
    </row>
    <row r="39" spans="1:15" ht="15.75" thickBot="1" x14ac:dyDescent="0.3">
      <c r="A39" s="4" t="s">
        <v>42</v>
      </c>
      <c r="B39" s="10">
        <v>1</v>
      </c>
      <c r="C39" s="10">
        <v>1</v>
      </c>
      <c r="D39" s="10">
        <v>1</v>
      </c>
      <c r="E39" s="10">
        <v>1</v>
      </c>
      <c r="F39" s="10">
        <v>1</v>
      </c>
      <c r="G39" s="10">
        <v>1</v>
      </c>
      <c r="H39" s="10">
        <v>1</v>
      </c>
      <c r="I39" s="10">
        <v>1</v>
      </c>
      <c r="J39" s="10">
        <v>1</v>
      </c>
      <c r="K39" s="10">
        <v>1</v>
      </c>
      <c r="L39" s="10">
        <v>1</v>
      </c>
      <c r="M39" s="10">
        <v>1</v>
      </c>
      <c r="N39" s="10">
        <v>1</v>
      </c>
      <c r="O39" s="11">
        <v>1</v>
      </c>
    </row>
    <row r="40" spans="1:15" ht="15.75" thickBot="1" x14ac:dyDescent="0.3">
      <c r="A40" s="8" t="s">
        <v>41</v>
      </c>
      <c r="B40" s="580">
        <f>B38+C38+D38+E38+F38+G38+H38+I38+J38+K38+L38+M38+N38+O38</f>
        <v>4.0904109589041102</v>
      </c>
      <c r="C40" s="594"/>
      <c r="D40" s="594"/>
      <c r="E40" s="594"/>
      <c r="F40" s="594"/>
      <c r="G40" s="594"/>
      <c r="H40" s="594"/>
      <c r="I40" s="594"/>
      <c r="J40" s="595"/>
    </row>
    <row r="41" spans="1:15" ht="15.75" thickBot="1" x14ac:dyDescent="0.3"/>
    <row r="42" spans="1:15" x14ac:dyDescent="0.25">
      <c r="A42" s="9" t="s">
        <v>394</v>
      </c>
      <c r="B42" s="574" t="s">
        <v>28</v>
      </c>
      <c r="C42" s="575"/>
      <c r="D42" s="575"/>
      <c r="E42" s="575"/>
      <c r="F42" s="575"/>
      <c r="G42" s="575"/>
      <c r="H42" s="575"/>
      <c r="I42" s="575"/>
      <c r="J42" s="576"/>
    </row>
    <row r="43" spans="1:15" x14ac:dyDescent="0.25">
      <c r="A43" s="20" t="s">
        <v>23</v>
      </c>
      <c r="B43" s="37" t="s">
        <v>393</v>
      </c>
      <c r="C43" s="40"/>
      <c r="D43" s="40"/>
      <c r="E43" s="40"/>
      <c r="F43" s="40"/>
      <c r="G43" s="40"/>
      <c r="H43" s="40"/>
      <c r="I43" s="40"/>
      <c r="J43" s="44"/>
    </row>
    <row r="44" spans="1:15" x14ac:dyDescent="0.25">
      <c r="A44" s="20" t="s">
        <v>24</v>
      </c>
      <c r="B44" s="41" t="s">
        <v>392</v>
      </c>
      <c r="C44" s="41"/>
      <c r="D44" s="41"/>
      <c r="E44" s="41"/>
      <c r="F44" s="41"/>
      <c r="G44" s="41"/>
      <c r="H44" s="41"/>
      <c r="I44" s="41"/>
      <c r="J44" s="2"/>
    </row>
    <row r="45" spans="1:15" x14ac:dyDescent="0.25">
      <c r="A45" s="20" t="s">
        <v>25</v>
      </c>
      <c r="B45" s="41"/>
      <c r="C45" s="41"/>
      <c r="D45" s="41"/>
      <c r="E45" s="41"/>
      <c r="F45" s="41"/>
      <c r="G45" s="41"/>
      <c r="H45" s="41"/>
      <c r="I45" s="41"/>
      <c r="J45" s="2"/>
    </row>
    <row r="46" spans="1:15" x14ac:dyDescent="0.25">
      <c r="A46" s="20" t="s">
        <v>26</v>
      </c>
      <c r="B46" s="41" t="s">
        <v>391</v>
      </c>
      <c r="C46" s="41"/>
      <c r="D46" s="41"/>
      <c r="E46" s="41"/>
      <c r="F46" s="41"/>
      <c r="G46" s="41"/>
      <c r="H46" s="41"/>
      <c r="I46" s="41"/>
      <c r="J46" s="2"/>
    </row>
    <row r="47" spans="1:15" x14ac:dyDescent="0.25">
      <c r="A47" s="20" t="s">
        <v>27</v>
      </c>
      <c r="B47" s="37" t="s">
        <v>466</v>
      </c>
      <c r="C47" s="40"/>
      <c r="D47" s="40"/>
      <c r="E47" s="40"/>
      <c r="F47" s="40"/>
      <c r="G47" s="40"/>
      <c r="H47" s="40"/>
      <c r="I47" s="40"/>
      <c r="J47" s="44"/>
    </row>
    <row r="48" spans="1:15" x14ac:dyDescent="0.25">
      <c r="A48" s="20" t="s">
        <v>35</v>
      </c>
      <c r="B48" s="41"/>
      <c r="C48" s="41"/>
      <c r="D48" s="41"/>
      <c r="E48" s="41"/>
      <c r="F48" s="41"/>
      <c r="G48" s="41"/>
      <c r="H48" s="41" t="s">
        <v>390</v>
      </c>
      <c r="I48" s="41"/>
      <c r="J48" s="2"/>
    </row>
    <row r="49" spans="1:10" x14ac:dyDescent="0.25">
      <c r="A49" s="20" t="s">
        <v>34</v>
      </c>
      <c r="B49" s="41"/>
      <c r="C49" s="41"/>
      <c r="D49" s="41"/>
      <c r="E49" s="41"/>
      <c r="F49" s="41"/>
      <c r="G49" s="41"/>
      <c r="H49" s="41"/>
      <c r="I49" s="41"/>
      <c r="J49" s="2"/>
    </row>
    <row r="50" spans="1:10" x14ac:dyDescent="0.25">
      <c r="A50" s="20" t="s">
        <v>36</v>
      </c>
      <c r="B50" s="63">
        <v>36404</v>
      </c>
      <c r="C50" s="97"/>
      <c r="D50" s="97"/>
      <c r="E50" s="97"/>
      <c r="F50" s="97"/>
      <c r="G50" s="97"/>
      <c r="H50" s="97"/>
      <c r="I50" s="97"/>
      <c r="J50" s="98"/>
    </row>
    <row r="51" spans="1:10" x14ac:dyDescent="0.25">
      <c r="A51" s="20" t="s">
        <v>37</v>
      </c>
      <c r="B51" s="65">
        <v>38383</v>
      </c>
      <c r="C51" s="80"/>
      <c r="D51" s="80"/>
      <c r="E51" s="80"/>
      <c r="F51" s="80"/>
      <c r="G51" s="80"/>
      <c r="H51" s="80"/>
      <c r="I51" s="80"/>
      <c r="J51" s="81"/>
    </row>
    <row r="52" spans="1:10" x14ac:dyDescent="0.25">
      <c r="A52" s="20" t="s">
        <v>38</v>
      </c>
      <c r="B52" s="69">
        <f t="shared" ref="B52" si="1">(B51-B50)/365</f>
        <v>5.4219178082191783</v>
      </c>
      <c r="C52" s="93"/>
      <c r="D52" s="93"/>
      <c r="E52" s="93"/>
      <c r="F52" s="93"/>
      <c r="G52" s="93"/>
      <c r="H52" s="93"/>
      <c r="I52" s="93"/>
      <c r="J52" s="95"/>
    </row>
    <row r="53" spans="1:10" ht="15.75" thickBot="1" x14ac:dyDescent="0.3">
      <c r="A53" s="31" t="s">
        <v>42</v>
      </c>
      <c r="B53" s="75">
        <v>1</v>
      </c>
      <c r="C53" s="76"/>
      <c r="D53" s="76"/>
      <c r="E53" s="76"/>
      <c r="F53" s="76"/>
      <c r="G53" s="76"/>
      <c r="H53" s="76"/>
      <c r="I53" s="76"/>
      <c r="J53" s="77"/>
    </row>
    <row r="54" spans="1:10" ht="15.75" thickBot="1" x14ac:dyDescent="0.3">
      <c r="A54" s="8" t="s">
        <v>41</v>
      </c>
      <c r="B54" s="99">
        <v>5</v>
      </c>
      <c r="C54" s="100"/>
      <c r="D54" s="100"/>
      <c r="E54" s="100"/>
      <c r="F54" s="100"/>
      <c r="G54" s="100"/>
      <c r="H54" s="100"/>
      <c r="I54" s="100"/>
      <c r="J54" s="101"/>
    </row>
    <row r="55" spans="1:10" ht="15.75" thickBot="1" x14ac:dyDescent="0.3"/>
    <row r="56" spans="1:10" x14ac:dyDescent="0.25">
      <c r="A56" s="9" t="s">
        <v>385</v>
      </c>
      <c r="B56" s="574" t="s">
        <v>28</v>
      </c>
      <c r="C56" s="575"/>
      <c r="D56" s="575"/>
      <c r="E56" s="575"/>
      <c r="F56" s="575"/>
      <c r="G56" s="575"/>
      <c r="H56" s="575"/>
      <c r="I56" s="575"/>
      <c r="J56" s="576"/>
    </row>
    <row r="57" spans="1:10" x14ac:dyDescent="0.25">
      <c r="A57" s="1" t="s">
        <v>23</v>
      </c>
      <c r="B57" s="37" t="s">
        <v>389</v>
      </c>
      <c r="C57" s="40"/>
      <c r="D57" s="40"/>
      <c r="E57" s="40"/>
      <c r="F57" s="40"/>
      <c r="G57" s="40"/>
      <c r="H57" s="40"/>
      <c r="I57" s="40"/>
      <c r="J57" s="44"/>
    </row>
    <row r="58" spans="1:10" x14ac:dyDescent="0.25">
      <c r="A58" s="1" t="s">
        <v>24</v>
      </c>
      <c r="B58" s="41" t="s">
        <v>388</v>
      </c>
      <c r="C58" s="41"/>
      <c r="D58" s="41"/>
      <c r="E58" s="41"/>
      <c r="F58" s="41"/>
      <c r="G58" s="41"/>
      <c r="H58" s="41"/>
      <c r="I58" s="41"/>
      <c r="J58" s="2"/>
    </row>
    <row r="59" spans="1:10" x14ac:dyDescent="0.25">
      <c r="A59" s="1" t="s">
        <v>25</v>
      </c>
      <c r="B59" s="41"/>
      <c r="C59" s="41"/>
      <c r="D59" s="41"/>
      <c r="E59" s="41"/>
      <c r="F59" s="41"/>
      <c r="G59" s="41"/>
      <c r="H59" s="41"/>
      <c r="I59" s="41"/>
      <c r="J59" s="2"/>
    </row>
    <row r="60" spans="1:10" x14ac:dyDescent="0.25">
      <c r="A60" s="1" t="s">
        <v>26</v>
      </c>
      <c r="B60" s="41" t="s">
        <v>387</v>
      </c>
      <c r="C60" s="41"/>
      <c r="D60" s="41"/>
      <c r="E60" s="41"/>
      <c r="F60" s="41"/>
      <c r="G60" s="41"/>
      <c r="H60" s="41"/>
      <c r="I60" s="41"/>
      <c r="J60" s="2"/>
    </row>
    <row r="61" spans="1:10" x14ac:dyDescent="0.25">
      <c r="A61" s="1" t="s">
        <v>27</v>
      </c>
      <c r="B61" s="37" t="s">
        <v>386</v>
      </c>
      <c r="C61" s="40"/>
      <c r="D61" s="40"/>
      <c r="E61" s="40"/>
      <c r="F61" s="40"/>
      <c r="G61" s="40"/>
      <c r="H61" s="40"/>
      <c r="I61" s="40"/>
      <c r="J61" s="44"/>
    </row>
    <row r="62" spans="1:10" x14ac:dyDescent="0.25">
      <c r="A62" s="1" t="s">
        <v>35</v>
      </c>
      <c r="B62" s="85"/>
      <c r="C62" s="41"/>
      <c r="D62" s="41"/>
      <c r="E62" s="41"/>
      <c r="F62" s="41"/>
      <c r="G62" s="41"/>
      <c r="H62" s="41"/>
      <c r="I62" s="41"/>
      <c r="J62" s="2"/>
    </row>
    <row r="63" spans="1:10" x14ac:dyDescent="0.25">
      <c r="A63" s="1" t="s">
        <v>34</v>
      </c>
      <c r="B63" s="85"/>
      <c r="C63" s="41"/>
      <c r="D63" s="41"/>
      <c r="E63" s="41"/>
      <c r="F63" s="41"/>
      <c r="G63" s="41"/>
      <c r="H63" s="41"/>
      <c r="I63" s="41"/>
      <c r="J63" s="2"/>
    </row>
    <row r="64" spans="1:10" x14ac:dyDescent="0.25">
      <c r="A64" s="1" t="s">
        <v>36</v>
      </c>
      <c r="B64" s="63">
        <v>40058</v>
      </c>
      <c r="C64" s="97"/>
      <c r="D64" s="97"/>
      <c r="E64" s="97"/>
      <c r="F64" s="97"/>
      <c r="G64" s="97"/>
      <c r="H64" s="97"/>
      <c r="I64" s="97"/>
      <c r="J64" s="98"/>
    </row>
    <row r="65" spans="1:10" x14ac:dyDescent="0.25">
      <c r="A65" s="1" t="s">
        <v>37</v>
      </c>
      <c r="B65" s="65">
        <v>41660</v>
      </c>
      <c r="C65" s="80"/>
      <c r="D65" s="80"/>
      <c r="E65" s="80"/>
      <c r="F65" s="80"/>
      <c r="G65" s="80"/>
      <c r="H65" s="80"/>
      <c r="I65" s="80"/>
      <c r="J65" s="81"/>
    </row>
    <row r="66" spans="1:10" x14ac:dyDescent="0.25">
      <c r="A66" s="1" t="s">
        <v>38</v>
      </c>
      <c r="B66" s="69">
        <f t="shared" ref="B66" si="2">(B65-B64)/365</f>
        <v>4.3890410958904109</v>
      </c>
      <c r="C66" s="93"/>
      <c r="D66" s="93"/>
      <c r="E66" s="93"/>
      <c r="F66" s="93"/>
      <c r="G66" s="93"/>
      <c r="H66" s="93"/>
      <c r="I66" s="93"/>
      <c r="J66" s="95"/>
    </row>
    <row r="67" spans="1:10" ht="15.75" thickBot="1" x14ac:dyDescent="0.3">
      <c r="A67" s="4" t="s">
        <v>42</v>
      </c>
      <c r="B67" s="75">
        <v>1</v>
      </c>
      <c r="C67" s="76"/>
      <c r="D67" s="76"/>
      <c r="E67" s="76"/>
      <c r="F67" s="76"/>
      <c r="G67" s="76"/>
      <c r="H67" s="76"/>
      <c r="I67" s="76"/>
      <c r="J67" s="77"/>
    </row>
    <row r="68" spans="1:10" ht="15.75" thickBot="1" x14ac:dyDescent="0.3">
      <c r="A68" s="8" t="s">
        <v>41</v>
      </c>
      <c r="B68" s="580">
        <f>B66</f>
        <v>4.3890410958904109</v>
      </c>
      <c r="C68" s="594"/>
      <c r="D68" s="594"/>
      <c r="E68" s="594"/>
      <c r="F68" s="594"/>
      <c r="G68" s="594"/>
      <c r="H68" s="594"/>
      <c r="I68" s="594"/>
      <c r="J68" s="595"/>
    </row>
    <row r="69" spans="1:10" ht="15.75" thickBot="1" x14ac:dyDescent="0.3">
      <c r="A69" s="43"/>
      <c r="B69" s="16"/>
      <c r="C69" s="16"/>
      <c r="D69" s="16"/>
      <c r="E69" s="16"/>
      <c r="F69" s="16"/>
      <c r="G69" s="16"/>
      <c r="H69" s="16"/>
      <c r="I69" s="16"/>
      <c r="J69" s="16"/>
    </row>
    <row r="70" spans="1:10" x14ac:dyDescent="0.25">
      <c r="A70" s="9" t="s">
        <v>385</v>
      </c>
      <c r="B70" s="574" t="s">
        <v>28</v>
      </c>
      <c r="C70" s="575"/>
      <c r="D70" s="575"/>
      <c r="E70" s="593"/>
      <c r="F70" s="574" t="s">
        <v>29</v>
      </c>
      <c r="G70" s="575"/>
      <c r="H70" s="575"/>
      <c r="I70" s="575"/>
      <c r="J70" s="576"/>
    </row>
    <row r="71" spans="1:10" x14ac:dyDescent="0.25">
      <c r="A71" s="1" t="s">
        <v>23</v>
      </c>
      <c r="B71" s="37" t="s">
        <v>384</v>
      </c>
      <c r="C71" s="37" t="s">
        <v>383</v>
      </c>
      <c r="D71" s="40"/>
      <c r="E71" s="38"/>
      <c r="F71" s="37" t="s">
        <v>383</v>
      </c>
      <c r="G71" s="40"/>
      <c r="H71" s="40"/>
      <c r="I71" s="40"/>
      <c r="J71" s="44"/>
    </row>
    <row r="72" spans="1:10" x14ac:dyDescent="0.25">
      <c r="A72" s="1" t="s">
        <v>24</v>
      </c>
      <c r="B72" s="41"/>
      <c r="C72" s="85"/>
      <c r="D72" s="41"/>
      <c r="E72" s="41"/>
      <c r="F72" s="85"/>
      <c r="G72" s="41"/>
      <c r="H72" s="41"/>
      <c r="I72" s="41"/>
      <c r="J72" s="2"/>
    </row>
    <row r="73" spans="1:10" x14ac:dyDescent="0.25">
      <c r="A73" s="1" t="s">
        <v>25</v>
      </c>
      <c r="B73" s="41"/>
      <c r="C73" s="41"/>
      <c r="D73" s="41"/>
      <c r="E73" s="41"/>
      <c r="F73" s="41"/>
      <c r="G73" s="41"/>
      <c r="H73" s="41"/>
      <c r="I73" s="41"/>
      <c r="J73" s="2"/>
    </row>
    <row r="74" spans="1:10" x14ac:dyDescent="0.25">
      <c r="A74" s="20" t="s">
        <v>26</v>
      </c>
      <c r="B74" s="41" t="s">
        <v>382</v>
      </c>
      <c r="C74" s="41"/>
      <c r="D74" s="41"/>
      <c r="E74" s="41"/>
      <c r="F74" s="41"/>
      <c r="G74" s="41"/>
      <c r="H74" s="41"/>
      <c r="I74" s="41"/>
      <c r="J74" s="2"/>
    </row>
    <row r="75" spans="1:10" x14ac:dyDescent="0.25">
      <c r="A75" s="1" t="s">
        <v>27</v>
      </c>
      <c r="B75" s="37" t="s">
        <v>381</v>
      </c>
      <c r="C75" s="37" t="s">
        <v>217</v>
      </c>
      <c r="D75" s="38"/>
      <c r="E75" s="41"/>
      <c r="F75" s="37" t="s">
        <v>217</v>
      </c>
      <c r="G75" s="40"/>
      <c r="H75" s="40"/>
      <c r="I75" s="40"/>
      <c r="J75" s="44"/>
    </row>
    <row r="76" spans="1:10" x14ac:dyDescent="0.25">
      <c r="A76" s="1" t="s">
        <v>35</v>
      </c>
      <c r="B76" s="85"/>
      <c r="C76" s="41"/>
      <c r="D76" s="41"/>
      <c r="E76" s="41"/>
      <c r="F76" s="41"/>
      <c r="G76" s="41"/>
      <c r="H76" s="41"/>
      <c r="I76" s="41"/>
      <c r="J76" s="2"/>
    </row>
    <row r="77" spans="1:10" x14ac:dyDescent="0.25">
      <c r="A77" s="1" t="s">
        <v>34</v>
      </c>
      <c r="B77" s="85"/>
      <c r="C77" s="41"/>
      <c r="D77" s="41"/>
      <c r="E77" s="41"/>
      <c r="F77" s="41"/>
      <c r="G77" s="41"/>
      <c r="H77" s="41"/>
      <c r="I77" s="41"/>
      <c r="J77" s="2"/>
    </row>
    <row r="78" spans="1:10" x14ac:dyDescent="0.25">
      <c r="A78" s="1" t="s">
        <v>36</v>
      </c>
      <c r="B78" s="63">
        <v>38169</v>
      </c>
      <c r="C78" s="89">
        <v>40452</v>
      </c>
      <c r="D78" s="97"/>
      <c r="E78" s="64"/>
      <c r="F78" s="89">
        <v>40452</v>
      </c>
      <c r="G78" s="80"/>
      <c r="H78" s="80"/>
      <c r="I78" s="80"/>
      <c r="J78" s="81"/>
    </row>
    <row r="79" spans="1:10" x14ac:dyDescent="0.25">
      <c r="A79" s="1" t="s">
        <v>37</v>
      </c>
      <c r="B79" s="65">
        <v>39446</v>
      </c>
      <c r="C79" s="89">
        <v>40717</v>
      </c>
      <c r="D79" s="80"/>
      <c r="E79" s="90"/>
      <c r="F79" s="89">
        <v>40717</v>
      </c>
      <c r="G79" s="80"/>
      <c r="H79" s="80"/>
      <c r="I79" s="80"/>
      <c r="J79" s="81"/>
    </row>
    <row r="80" spans="1:10" x14ac:dyDescent="0.25">
      <c r="A80" s="1" t="s">
        <v>38</v>
      </c>
      <c r="B80" s="69">
        <f t="shared" ref="B80:F80" si="3">(B79-B78)/365</f>
        <v>3.4986301369863013</v>
      </c>
      <c r="C80" s="69">
        <f t="shared" ref="C80" si="4">(C79-C78)/365</f>
        <v>0.72602739726027399</v>
      </c>
      <c r="D80" s="93"/>
      <c r="E80" s="94"/>
      <c r="F80" s="69">
        <f t="shared" si="3"/>
        <v>0.72602739726027399</v>
      </c>
      <c r="G80" s="93"/>
      <c r="H80" s="93"/>
      <c r="I80" s="93"/>
      <c r="J80" s="95"/>
    </row>
    <row r="81" spans="1:10" ht="15.75" thickBot="1" x14ac:dyDescent="0.3">
      <c r="A81" s="4" t="s">
        <v>42</v>
      </c>
      <c r="B81" s="571">
        <v>1</v>
      </c>
      <c r="C81" s="572"/>
      <c r="D81" s="572"/>
      <c r="E81" s="596"/>
      <c r="F81" s="571">
        <v>0</v>
      </c>
      <c r="G81" s="572"/>
      <c r="H81" s="572"/>
      <c r="I81" s="572"/>
      <c r="J81" s="573"/>
    </row>
    <row r="82" spans="1:10" ht="15.75" thickBot="1" x14ac:dyDescent="0.3">
      <c r="A82" s="8" t="s">
        <v>41</v>
      </c>
      <c r="B82" s="580">
        <f>B80</f>
        <v>3.4986301369863013</v>
      </c>
      <c r="C82" s="594"/>
      <c r="D82" s="594"/>
      <c r="E82" s="594"/>
      <c r="F82" s="594"/>
      <c r="G82" s="594"/>
      <c r="H82" s="594"/>
      <c r="I82" s="594"/>
      <c r="J82" s="595"/>
    </row>
    <row r="83" spans="1:10" ht="15.75" thickBot="1" x14ac:dyDescent="0.3">
      <c r="A83" s="43"/>
      <c r="B83" s="16"/>
      <c r="C83" s="16"/>
      <c r="D83" s="16"/>
      <c r="E83" s="16"/>
      <c r="F83" s="16"/>
      <c r="G83" s="16"/>
      <c r="H83" s="16"/>
      <c r="I83" s="16"/>
      <c r="J83" s="16"/>
    </row>
    <row r="84" spans="1:10" x14ac:dyDescent="0.25">
      <c r="A84" s="9" t="s">
        <v>380</v>
      </c>
      <c r="B84" s="51" t="s">
        <v>28</v>
      </c>
      <c r="C84" s="51" t="s">
        <v>29</v>
      </c>
      <c r="D84" s="574" t="s">
        <v>30</v>
      </c>
      <c r="E84" s="575"/>
      <c r="F84" s="593"/>
      <c r="G84" s="51" t="s">
        <v>31</v>
      </c>
      <c r="H84" s="51" t="s">
        <v>32</v>
      </c>
      <c r="I84" s="51" t="s">
        <v>33</v>
      </c>
      <c r="J84" s="51" t="s">
        <v>261</v>
      </c>
    </row>
    <row r="85" spans="1:10" x14ac:dyDescent="0.25">
      <c r="A85" s="20" t="s">
        <v>23</v>
      </c>
      <c r="B85" s="37" t="s">
        <v>372</v>
      </c>
      <c r="C85" s="40"/>
      <c r="D85" s="40"/>
      <c r="E85" s="40"/>
      <c r="F85" s="38"/>
      <c r="G85" s="41"/>
      <c r="H85" s="41"/>
      <c r="I85" s="41"/>
      <c r="J85" s="2"/>
    </row>
    <row r="86" spans="1:10" x14ac:dyDescent="0.25">
      <c r="A86" s="20" t="s">
        <v>24</v>
      </c>
      <c r="B86" s="41"/>
      <c r="C86" s="41"/>
      <c r="D86" s="41"/>
      <c r="E86" s="41"/>
      <c r="F86" s="38"/>
      <c r="G86" s="41"/>
      <c r="H86" s="41"/>
      <c r="I86" s="41"/>
      <c r="J86" s="2"/>
    </row>
    <row r="87" spans="1:10" x14ac:dyDescent="0.25">
      <c r="A87" s="20" t="s">
        <v>25</v>
      </c>
      <c r="B87" s="41" t="s">
        <v>379</v>
      </c>
      <c r="C87" s="41" t="s">
        <v>378</v>
      </c>
      <c r="D87" s="41" t="s">
        <v>377</v>
      </c>
      <c r="E87" s="41"/>
      <c r="F87" s="38"/>
      <c r="G87" s="41"/>
      <c r="H87" s="41"/>
      <c r="I87" s="41"/>
      <c r="J87" s="2"/>
    </row>
    <row r="88" spans="1:10" x14ac:dyDescent="0.25">
      <c r="A88" s="20" t="s">
        <v>26</v>
      </c>
      <c r="B88" s="41" t="s">
        <v>376</v>
      </c>
      <c r="C88" s="41"/>
      <c r="D88" s="41"/>
      <c r="E88" s="41"/>
      <c r="F88" s="38"/>
      <c r="G88" s="41"/>
      <c r="H88" s="41"/>
      <c r="I88" s="41"/>
      <c r="J88" s="2"/>
    </row>
    <row r="89" spans="1:10" x14ac:dyDescent="0.25">
      <c r="A89" s="20" t="s">
        <v>27</v>
      </c>
      <c r="B89" s="37" t="s">
        <v>375</v>
      </c>
      <c r="C89" s="40"/>
      <c r="D89" s="40"/>
      <c r="E89" s="40"/>
      <c r="F89" s="38"/>
      <c r="G89" s="41"/>
      <c r="H89" s="41"/>
      <c r="I89" s="41"/>
      <c r="J89" s="2"/>
    </row>
    <row r="90" spans="1:10" x14ac:dyDescent="0.25">
      <c r="A90" s="20" t="s">
        <v>35</v>
      </c>
      <c r="B90" s="41"/>
      <c r="C90" s="41"/>
      <c r="D90" s="41"/>
      <c r="E90" s="41"/>
      <c r="F90" s="38"/>
      <c r="G90" s="41"/>
      <c r="H90" s="41"/>
      <c r="I90" s="41"/>
      <c r="J90" s="2"/>
    </row>
    <row r="91" spans="1:10" x14ac:dyDescent="0.25">
      <c r="A91" s="20" t="s">
        <v>34</v>
      </c>
      <c r="B91" s="41"/>
      <c r="C91" s="41"/>
      <c r="D91" s="41"/>
      <c r="E91" s="41"/>
      <c r="F91" s="38"/>
      <c r="G91" s="41"/>
      <c r="H91" s="41"/>
      <c r="I91" s="41"/>
      <c r="J91" s="2"/>
    </row>
    <row r="92" spans="1:10" x14ac:dyDescent="0.25">
      <c r="A92" s="20" t="s">
        <v>36</v>
      </c>
      <c r="B92" s="55">
        <v>39815</v>
      </c>
      <c r="C92" s="55">
        <v>41133</v>
      </c>
      <c r="D92" s="63">
        <v>40753</v>
      </c>
      <c r="E92" s="97"/>
      <c r="F92" s="64"/>
      <c r="G92" s="41"/>
      <c r="H92" s="41"/>
      <c r="I92" s="41"/>
      <c r="J92" s="2"/>
    </row>
    <row r="93" spans="1:10" x14ac:dyDescent="0.25">
      <c r="A93" s="20" t="s">
        <v>37</v>
      </c>
      <c r="B93" s="55">
        <v>40556</v>
      </c>
      <c r="C93" s="55">
        <v>41305</v>
      </c>
      <c r="D93" s="63">
        <v>41088</v>
      </c>
      <c r="E93" s="97"/>
      <c r="F93" s="64"/>
      <c r="G93" s="41"/>
      <c r="H93" s="41"/>
      <c r="I93" s="41"/>
      <c r="J93" s="2"/>
    </row>
    <row r="94" spans="1:10" x14ac:dyDescent="0.25">
      <c r="A94" s="20" t="s">
        <v>38</v>
      </c>
      <c r="B94" s="14">
        <f>(B93-B92)/365</f>
        <v>2.0301369863013701</v>
      </c>
      <c r="C94" s="14">
        <f>(C93-C92)/365</f>
        <v>0.47123287671232877</v>
      </c>
      <c r="D94" s="69">
        <f>(D93-D92)/365</f>
        <v>0.9178082191780822</v>
      </c>
      <c r="E94" s="93"/>
      <c r="F94" s="94"/>
      <c r="G94" s="41"/>
      <c r="H94" s="41"/>
      <c r="I94" s="41"/>
      <c r="J94" s="2"/>
    </row>
    <row r="95" spans="1:10" ht="15.75" thickBot="1" x14ac:dyDescent="0.3">
      <c r="A95" s="4" t="s">
        <v>42</v>
      </c>
      <c r="B95" s="10">
        <v>1</v>
      </c>
      <c r="C95" s="10">
        <v>1</v>
      </c>
      <c r="D95" s="571">
        <v>1</v>
      </c>
      <c r="E95" s="572"/>
      <c r="F95" s="596"/>
      <c r="G95" s="10"/>
      <c r="H95" s="10"/>
      <c r="I95" s="10"/>
      <c r="J95" s="11"/>
    </row>
    <row r="96" spans="1:10" ht="15.75" thickBot="1" x14ac:dyDescent="0.3">
      <c r="A96" s="8" t="s">
        <v>41</v>
      </c>
      <c r="B96" s="580">
        <f>B94+C94+D94</f>
        <v>3.419178082191781</v>
      </c>
      <c r="C96" s="594"/>
      <c r="D96" s="594"/>
      <c r="E96" s="594"/>
      <c r="F96" s="594"/>
      <c r="G96" s="594"/>
      <c r="H96" s="594"/>
      <c r="I96" s="594"/>
      <c r="J96" s="595"/>
    </row>
    <row r="97" spans="1:10" ht="15.75" thickBot="1" x14ac:dyDescent="0.3"/>
    <row r="98" spans="1:10" x14ac:dyDescent="0.25">
      <c r="A98" s="9" t="s">
        <v>374</v>
      </c>
      <c r="B98" s="62" t="s">
        <v>28</v>
      </c>
      <c r="C98" s="51" t="s">
        <v>29</v>
      </c>
      <c r="D98" s="51" t="s">
        <v>30</v>
      </c>
      <c r="E98" s="51" t="s">
        <v>31</v>
      </c>
      <c r="F98" s="51" t="s">
        <v>32</v>
      </c>
      <c r="G98" s="574" t="s">
        <v>33</v>
      </c>
      <c r="H98" s="593"/>
      <c r="I98" s="574" t="s">
        <v>261</v>
      </c>
      <c r="J98" s="576"/>
    </row>
    <row r="99" spans="1:10" x14ac:dyDescent="0.25">
      <c r="A99" s="3" t="s">
        <v>23</v>
      </c>
      <c r="B99" s="37" t="s">
        <v>373</v>
      </c>
      <c r="C99" s="40"/>
      <c r="D99" s="40"/>
      <c r="E99" s="40"/>
      <c r="F99" s="38"/>
      <c r="G99" s="85" t="s">
        <v>372</v>
      </c>
      <c r="H99" s="41"/>
      <c r="I99" s="37" t="s">
        <v>371</v>
      </c>
      <c r="J99" s="44"/>
    </row>
    <row r="100" spans="1:10" x14ac:dyDescent="0.25">
      <c r="A100" s="1" t="s">
        <v>24</v>
      </c>
      <c r="B100" s="41"/>
      <c r="C100" s="41"/>
      <c r="D100" s="41"/>
      <c r="E100" s="41"/>
      <c r="F100" s="41"/>
      <c r="G100" s="41"/>
      <c r="H100" s="41"/>
      <c r="I100" s="41"/>
      <c r="J100" s="2"/>
    </row>
    <row r="101" spans="1:10" x14ac:dyDescent="0.25">
      <c r="A101" s="1" t="s">
        <v>25</v>
      </c>
      <c r="B101" s="41" t="s">
        <v>370</v>
      </c>
      <c r="C101" s="41"/>
      <c r="D101" s="41"/>
      <c r="E101" s="41"/>
      <c r="F101" s="41"/>
      <c r="G101" s="41" t="s">
        <v>369</v>
      </c>
      <c r="H101" s="41"/>
      <c r="I101" s="41"/>
      <c r="J101" s="2"/>
    </row>
    <row r="102" spans="1:10" x14ac:dyDescent="0.25">
      <c r="A102" s="1" t="s">
        <v>26</v>
      </c>
      <c r="B102" s="41" t="s">
        <v>368</v>
      </c>
      <c r="C102" s="41"/>
      <c r="D102" s="41"/>
      <c r="E102" s="41"/>
      <c r="F102" s="41"/>
      <c r="G102" s="41"/>
      <c r="H102" s="41"/>
      <c r="I102" s="41"/>
      <c r="J102" s="2"/>
    </row>
    <row r="103" spans="1:10" ht="14.25" customHeight="1" x14ac:dyDescent="0.25">
      <c r="A103" s="1" t="s">
        <v>27</v>
      </c>
      <c r="B103" s="37" t="s">
        <v>367</v>
      </c>
      <c r="C103" s="40"/>
      <c r="D103" s="40"/>
      <c r="E103" s="40"/>
      <c r="F103" s="38"/>
      <c r="G103" s="85" t="s">
        <v>366</v>
      </c>
      <c r="H103" s="41"/>
      <c r="I103" s="37" t="s">
        <v>365</v>
      </c>
      <c r="J103" s="44"/>
    </row>
    <row r="104" spans="1:10" x14ac:dyDescent="0.25">
      <c r="A104" s="1" t="s">
        <v>35</v>
      </c>
      <c r="B104" s="41"/>
      <c r="C104" s="41"/>
      <c r="D104" s="41"/>
      <c r="E104" s="41"/>
      <c r="F104" s="41"/>
      <c r="G104" s="41"/>
      <c r="H104" s="41"/>
      <c r="I104" s="41"/>
      <c r="J104" s="2"/>
    </row>
    <row r="105" spans="1:10" x14ac:dyDescent="0.25">
      <c r="A105" s="1" t="s">
        <v>34</v>
      </c>
      <c r="B105" s="85"/>
      <c r="C105" s="41"/>
      <c r="D105" s="41"/>
      <c r="E105" s="41"/>
      <c r="F105" s="41"/>
      <c r="G105" s="41"/>
      <c r="H105" s="41"/>
      <c r="I105" s="41"/>
      <c r="J105" s="2"/>
    </row>
    <row r="106" spans="1:10" x14ac:dyDescent="0.25">
      <c r="A106" s="1" t="s">
        <v>36</v>
      </c>
      <c r="B106" s="42">
        <v>40074</v>
      </c>
      <c r="C106" s="42">
        <v>39748</v>
      </c>
      <c r="D106" s="42">
        <v>39249</v>
      </c>
      <c r="E106" s="42">
        <v>38919</v>
      </c>
      <c r="F106" s="42">
        <v>38295</v>
      </c>
      <c r="G106" s="65">
        <v>37654</v>
      </c>
      <c r="H106" s="90"/>
      <c r="I106" s="65">
        <v>31700</v>
      </c>
      <c r="J106" s="81"/>
    </row>
    <row r="107" spans="1:10" x14ac:dyDescent="0.25">
      <c r="A107" s="1" t="s">
        <v>37</v>
      </c>
      <c r="B107" s="42">
        <v>40673</v>
      </c>
      <c r="C107" s="42">
        <v>40043</v>
      </c>
      <c r="D107" s="42">
        <v>39583</v>
      </c>
      <c r="E107" s="42">
        <v>39248</v>
      </c>
      <c r="F107" s="42">
        <v>38689</v>
      </c>
      <c r="G107" s="65">
        <v>38352</v>
      </c>
      <c r="H107" s="90"/>
      <c r="I107" s="65">
        <v>36028</v>
      </c>
      <c r="J107" s="81"/>
    </row>
    <row r="108" spans="1:10" x14ac:dyDescent="0.25">
      <c r="A108" s="1" t="s">
        <v>38</v>
      </c>
      <c r="B108" s="14">
        <f t="shared" ref="B108:I108" si="5">(B107-B106)/365</f>
        <v>1.6410958904109589</v>
      </c>
      <c r="C108" s="14">
        <f t="shared" si="5"/>
        <v>0.80821917808219179</v>
      </c>
      <c r="D108" s="14">
        <f t="shared" si="5"/>
        <v>0.91506849315068495</v>
      </c>
      <c r="E108" s="14">
        <f t="shared" si="5"/>
        <v>0.90136986301369859</v>
      </c>
      <c r="F108" s="14">
        <f t="shared" si="5"/>
        <v>1.0794520547945206</v>
      </c>
      <c r="G108" s="69">
        <f t="shared" si="5"/>
        <v>1.9123287671232876</v>
      </c>
      <c r="H108" s="94"/>
      <c r="I108" s="69">
        <f t="shared" si="5"/>
        <v>11.857534246575343</v>
      </c>
      <c r="J108" s="95"/>
    </row>
    <row r="109" spans="1:10" ht="15.75" thickBot="1" x14ac:dyDescent="0.3">
      <c r="A109" s="4" t="s">
        <v>42</v>
      </c>
      <c r="B109" s="10">
        <v>1</v>
      </c>
      <c r="C109" s="10">
        <v>1</v>
      </c>
      <c r="D109" s="10">
        <v>1</v>
      </c>
      <c r="E109" s="10">
        <v>1</v>
      </c>
      <c r="F109" s="10">
        <v>1</v>
      </c>
      <c r="G109" s="571">
        <v>1</v>
      </c>
      <c r="H109" s="596"/>
      <c r="I109" s="571">
        <v>1</v>
      </c>
      <c r="J109" s="573"/>
    </row>
    <row r="110" spans="1:10" ht="15.75" thickBot="1" x14ac:dyDescent="0.3">
      <c r="A110" s="8" t="s">
        <v>41</v>
      </c>
      <c r="B110" s="594">
        <f>MIN(SUMIFS(B108:J108,B109:J109,1),5)</f>
        <v>5</v>
      </c>
      <c r="C110" s="594"/>
      <c r="D110" s="594"/>
      <c r="E110" s="594"/>
      <c r="F110" s="594"/>
      <c r="G110" s="594"/>
      <c r="H110" s="594"/>
      <c r="I110" s="594"/>
      <c r="J110" s="595"/>
    </row>
  </sheetData>
  <mergeCells count="26">
    <mergeCell ref="B42:J42"/>
    <mergeCell ref="B70:E70"/>
    <mergeCell ref="B14:F14"/>
    <mergeCell ref="B26:F26"/>
    <mergeCell ref="A6:O6"/>
    <mergeCell ref="A7:O7"/>
    <mergeCell ref="A8:O8"/>
    <mergeCell ref="A9:O9"/>
    <mergeCell ref="B40:J40"/>
    <mergeCell ref="C33:D33"/>
    <mergeCell ref="J33:L33"/>
    <mergeCell ref="B11:O11"/>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249977111117893"/>
  </sheetPr>
  <dimension ref="A1:CD86"/>
  <sheetViews>
    <sheetView zoomScale="75" zoomScaleNormal="75" zoomScaleSheetLayoutView="50" zoomScalePageLayoutView="75" workbookViewId="0">
      <pane xSplit="1" topLeftCell="B1" activePane="topRight" state="frozen"/>
      <selection activeCell="C48" sqref="C48"/>
      <selection pane="topRight" activeCell="A75" sqref="A75"/>
    </sheetView>
  </sheetViews>
  <sheetFormatPr baseColWidth="10" defaultColWidth="10.85546875" defaultRowHeight="15" x14ac:dyDescent="0.25"/>
  <cols>
    <col min="1" max="1" width="61.140625" style="96" bestFit="1" customWidth="1"/>
    <col min="2" max="2" width="53.42578125" style="109" customWidth="1"/>
    <col min="3" max="6" width="30.7109375" style="109" customWidth="1"/>
    <col min="7" max="7" width="35.42578125" style="109" customWidth="1"/>
    <col min="8" max="14" width="30.7109375" style="109" customWidth="1"/>
    <col min="15" max="34" width="30.7109375" style="96" customWidth="1"/>
    <col min="35" max="38" width="28.7109375" style="96" customWidth="1"/>
    <col min="39" max="46" width="30.7109375" style="96" customWidth="1"/>
    <col min="47" max="16384" width="10.85546875" style="96"/>
  </cols>
  <sheetData>
    <row r="1" spans="1:82" s="144" customFormat="1" ht="19.5" x14ac:dyDescent="0.25">
      <c r="B1" s="618" t="s">
        <v>542</v>
      </c>
      <c r="C1" s="618"/>
      <c r="D1" s="618"/>
      <c r="E1" s="618"/>
      <c r="F1" s="618"/>
      <c r="G1" s="618"/>
      <c r="H1" s="618"/>
      <c r="I1" s="618"/>
      <c r="J1" s="618"/>
      <c r="K1" s="618"/>
      <c r="L1" s="618"/>
      <c r="M1" s="618"/>
      <c r="N1" s="618"/>
      <c r="O1" s="618"/>
      <c r="P1" s="618"/>
      <c r="Q1" s="618"/>
      <c r="R1" s="145"/>
      <c r="S1" s="145"/>
      <c r="T1" s="145"/>
      <c r="V1" s="144">
        <v>1</v>
      </c>
    </row>
    <row r="2" spans="1:82" s="144" customFormat="1" ht="19.5" x14ac:dyDescent="0.25">
      <c r="B2" s="618" t="s">
        <v>518</v>
      </c>
      <c r="C2" s="618"/>
      <c r="D2" s="618"/>
      <c r="E2" s="618"/>
      <c r="F2" s="618"/>
      <c r="G2" s="618"/>
      <c r="H2" s="618"/>
      <c r="I2" s="618"/>
      <c r="J2" s="618"/>
      <c r="K2" s="618"/>
      <c r="L2" s="618"/>
      <c r="M2" s="618"/>
      <c r="N2" s="618"/>
      <c r="O2" s="618"/>
      <c r="P2" s="618"/>
      <c r="Q2" s="618"/>
      <c r="R2" s="145"/>
      <c r="S2" s="145"/>
      <c r="T2" s="145"/>
      <c r="V2" s="144">
        <v>1</v>
      </c>
    </row>
    <row r="3" spans="1:82" s="144" customFormat="1" ht="19.5" x14ac:dyDescent="0.25">
      <c r="B3" s="618" t="s">
        <v>543</v>
      </c>
      <c r="C3" s="618"/>
      <c r="D3" s="618"/>
      <c r="E3" s="618"/>
      <c r="F3" s="618"/>
      <c r="G3" s="618"/>
      <c r="H3" s="618"/>
      <c r="I3" s="618"/>
      <c r="J3" s="618"/>
      <c r="K3" s="618"/>
      <c r="L3" s="618"/>
      <c r="M3" s="618"/>
      <c r="N3" s="618"/>
      <c r="O3" s="618"/>
      <c r="P3" s="618"/>
      <c r="Q3" s="618"/>
      <c r="R3" s="145"/>
      <c r="S3" s="145"/>
      <c r="T3" s="145"/>
    </row>
    <row r="4" spans="1:82" s="144" customFormat="1" ht="19.5" x14ac:dyDescent="0.25">
      <c r="B4" s="619" t="s">
        <v>641</v>
      </c>
      <c r="C4" s="619"/>
      <c r="D4" s="619"/>
      <c r="E4" s="619"/>
      <c r="F4" s="619"/>
      <c r="G4" s="619"/>
      <c r="H4" s="619"/>
      <c r="I4" s="619"/>
      <c r="J4" s="619"/>
      <c r="K4" s="619"/>
      <c r="L4" s="619"/>
      <c r="M4" s="619"/>
      <c r="N4" s="619"/>
      <c r="O4" s="619"/>
      <c r="P4" s="619"/>
      <c r="Q4" s="619"/>
      <c r="R4" s="145"/>
      <c r="S4" s="145"/>
      <c r="T4" s="145"/>
    </row>
    <row r="5" spans="1:82" s="144" customFormat="1" ht="19.5" x14ac:dyDescent="0.25">
      <c r="B5" s="618" t="s">
        <v>544</v>
      </c>
      <c r="C5" s="618"/>
      <c r="D5" s="618"/>
      <c r="E5" s="618"/>
      <c r="F5" s="618"/>
      <c r="G5" s="618"/>
      <c r="H5" s="618"/>
      <c r="I5" s="618"/>
      <c r="J5" s="618"/>
      <c r="K5" s="618"/>
      <c r="L5" s="618"/>
      <c r="M5" s="618"/>
      <c r="N5" s="618"/>
      <c r="O5" s="618"/>
      <c r="P5" s="618"/>
      <c r="Q5" s="618"/>
      <c r="R5" s="145"/>
      <c r="S5" s="145"/>
      <c r="T5" s="145"/>
    </row>
    <row r="6" spans="1:82" ht="15.75" thickBot="1" x14ac:dyDescent="0.3">
      <c r="A6" s="617"/>
      <c r="B6" s="617"/>
      <c r="C6" s="617"/>
      <c r="D6" s="617"/>
      <c r="E6" s="617"/>
      <c r="F6" s="617"/>
      <c r="G6" s="617"/>
      <c r="H6" s="617"/>
      <c r="I6" s="617"/>
      <c r="J6" s="617"/>
      <c r="K6" s="617"/>
      <c r="L6" s="617"/>
      <c r="M6" s="617"/>
      <c r="N6" s="617"/>
    </row>
    <row r="7" spans="1:82" s="120" customFormat="1" ht="30" customHeight="1" thickBot="1" x14ac:dyDescent="0.3">
      <c r="A7" s="626" t="s">
        <v>519</v>
      </c>
      <c r="B7" s="627"/>
      <c r="C7" s="628" t="s">
        <v>578</v>
      </c>
      <c r="D7" s="630" t="s">
        <v>592</v>
      </c>
      <c r="E7" s="631" t="s">
        <v>654</v>
      </c>
      <c r="F7" s="631" t="s">
        <v>655</v>
      </c>
      <c r="G7" s="631" t="s">
        <v>656</v>
      </c>
      <c r="H7" s="637" t="s">
        <v>657</v>
      </c>
      <c r="I7" s="616"/>
      <c r="J7" s="616"/>
      <c r="K7" s="616"/>
      <c r="L7" s="135"/>
      <c r="M7" s="185"/>
      <c r="N7" s="185"/>
      <c r="O7" s="625"/>
      <c r="P7" s="625"/>
      <c r="Q7" s="625"/>
      <c r="R7" s="140"/>
      <c r="S7" s="140"/>
      <c r="T7" s="140"/>
      <c r="U7" s="140" t="s">
        <v>523</v>
      </c>
      <c r="V7" s="140"/>
      <c r="W7" s="140"/>
      <c r="X7" s="140"/>
      <c r="Y7" s="140"/>
      <c r="Z7" s="140"/>
      <c r="AA7" s="140"/>
      <c r="AB7" s="140"/>
      <c r="AC7" s="140"/>
      <c r="AD7" s="140"/>
      <c r="AE7" s="140"/>
      <c r="AF7" s="140"/>
      <c r="AG7" s="135"/>
      <c r="AH7" s="135"/>
      <c r="AI7" s="135"/>
      <c r="AJ7" s="135"/>
      <c r="AK7" s="135"/>
      <c r="AL7" s="135"/>
      <c r="AM7" s="135"/>
      <c r="AN7" s="135"/>
      <c r="AO7" s="135"/>
      <c r="AP7" s="135"/>
      <c r="AQ7" s="135"/>
      <c r="AR7" s="135"/>
      <c r="AS7" s="135"/>
      <c r="AT7" s="135"/>
      <c r="AU7" s="135"/>
      <c r="AV7" s="135"/>
      <c r="AW7" s="135"/>
      <c r="AX7" s="135"/>
      <c r="AY7" s="135"/>
      <c r="AZ7" s="135"/>
      <c r="BA7" s="135"/>
      <c r="BB7" s="135"/>
      <c r="BC7" s="135"/>
      <c r="BD7" s="135"/>
      <c r="BE7" s="135"/>
      <c r="BF7" s="135"/>
      <c r="BG7" s="135"/>
      <c r="BH7" s="135"/>
      <c r="BI7" s="135"/>
      <c r="BJ7" s="135"/>
      <c r="BK7" s="135"/>
      <c r="BL7" s="135"/>
      <c r="BM7" s="135"/>
      <c r="BN7" s="135"/>
      <c r="BO7" s="135"/>
      <c r="BP7" s="135"/>
      <c r="BQ7" s="135"/>
      <c r="BR7" s="135"/>
      <c r="BS7" s="135"/>
      <c r="BT7" s="135"/>
      <c r="BU7" s="135"/>
      <c r="BV7" s="135"/>
      <c r="BW7" s="135"/>
      <c r="BX7" s="135"/>
      <c r="BY7" s="135"/>
      <c r="BZ7" s="135"/>
      <c r="CA7" s="135"/>
      <c r="CB7" s="135"/>
      <c r="CC7" s="135"/>
      <c r="CD7" s="135"/>
    </row>
    <row r="8" spans="1:82" s="121" customFormat="1" ht="28.5" customHeight="1" thickBot="1" x14ac:dyDescent="0.3">
      <c r="A8" s="633" t="str">
        <f>+'EXPERIENCIA PROPONENTE'!$A$9</f>
        <v xml:space="preserve"> C &amp;M CONSULTORES S.A.</v>
      </c>
      <c r="B8" s="634"/>
      <c r="C8" s="629"/>
      <c r="D8" s="630"/>
      <c r="E8" s="632"/>
      <c r="F8" s="632"/>
      <c r="G8" s="632"/>
      <c r="H8" s="638"/>
      <c r="I8" s="616"/>
      <c r="J8" s="616"/>
      <c r="K8" s="616"/>
      <c r="L8" s="136"/>
      <c r="M8" s="138">
        <v>0.49</v>
      </c>
      <c r="N8" s="138">
        <v>1</v>
      </c>
      <c r="O8" s="138">
        <v>2</v>
      </c>
      <c r="P8" s="185"/>
      <c r="Q8" s="186"/>
      <c r="R8" s="138"/>
      <c r="S8" s="138"/>
      <c r="T8" s="139"/>
      <c r="U8" s="138" t="s">
        <v>521</v>
      </c>
      <c r="V8" s="138" t="s">
        <v>522</v>
      </c>
      <c r="W8" s="139" t="s">
        <v>476</v>
      </c>
      <c r="X8" s="138"/>
      <c r="Y8" s="138"/>
      <c r="Z8" s="139"/>
      <c r="AA8" s="138"/>
      <c r="AB8" s="138"/>
      <c r="AC8" s="139"/>
      <c r="AD8" s="138"/>
      <c r="AE8" s="138"/>
      <c r="AF8" s="139"/>
      <c r="AG8" s="136"/>
      <c r="AH8" s="136"/>
      <c r="AI8" s="136"/>
      <c r="AJ8" s="136"/>
      <c r="AK8" s="136"/>
      <c r="AL8" s="136"/>
      <c r="AM8" s="136"/>
      <c r="AN8" s="136"/>
      <c r="AO8" s="136"/>
      <c r="AP8" s="136"/>
      <c r="AQ8" s="136"/>
      <c r="AR8" s="136"/>
      <c r="AS8" s="136"/>
      <c r="AT8" s="136"/>
      <c r="AU8" s="136"/>
      <c r="AV8" s="136"/>
      <c r="AW8" s="136"/>
      <c r="AX8" s="136"/>
      <c r="AY8" s="136"/>
      <c r="AZ8" s="136"/>
      <c r="BA8" s="136"/>
      <c r="BB8" s="136"/>
      <c r="BC8" s="136"/>
      <c r="BD8" s="136"/>
      <c r="BE8" s="136"/>
      <c r="BF8" s="136"/>
      <c r="BG8" s="136"/>
      <c r="BH8" s="136"/>
      <c r="BI8" s="136"/>
      <c r="BJ8" s="136"/>
      <c r="BK8" s="136"/>
      <c r="BL8" s="136"/>
      <c r="BM8" s="136"/>
      <c r="BN8" s="136"/>
      <c r="BO8" s="136"/>
      <c r="BP8" s="136"/>
      <c r="BQ8" s="136"/>
      <c r="BR8" s="136"/>
      <c r="BS8" s="136"/>
      <c r="BT8" s="136"/>
      <c r="BU8" s="136"/>
      <c r="BV8" s="136"/>
      <c r="BW8" s="136"/>
      <c r="BX8" s="136"/>
      <c r="BY8" s="136"/>
      <c r="BZ8" s="136"/>
      <c r="CA8" s="136"/>
      <c r="CB8" s="136"/>
      <c r="CC8" s="136"/>
      <c r="CD8" s="136"/>
    </row>
    <row r="9" spans="1:82" s="181" customFormat="1" ht="40.5" customHeight="1" thickBot="1" x14ac:dyDescent="0.3">
      <c r="A9" s="635"/>
      <c r="B9" s="636"/>
      <c r="C9" s="158">
        <f>+'EXPERIENCIA PROPONENTE'!B9</f>
        <v>2</v>
      </c>
      <c r="D9" s="150" t="str">
        <f>IF(COUNTIF(E9:G9,"HABILITADO")=3,"HABILITADO","NO HABILITADO")</f>
        <v>HABILITADO</v>
      </c>
      <c r="E9" s="151" t="str">
        <f>IF(COUNTIF(I13:J13,"CUMPLE")=2,"HABILITADO","NO HABILITADO")</f>
        <v>HABILITADO</v>
      </c>
      <c r="F9" s="151" t="str">
        <f>IF(I38="CUMPLE","HABILITADO","NO HABILITADO")</f>
        <v>HABILITADO</v>
      </c>
      <c r="G9" s="348" t="str">
        <f>IF(I63="CUMPLE","HABILITADO","NO HABILITADO")</f>
        <v>HABILITADO</v>
      </c>
      <c r="H9" s="244">
        <f>K13+K38+J63</f>
        <v>60</v>
      </c>
      <c r="I9" s="188"/>
      <c r="J9" s="188"/>
      <c r="K9" s="188"/>
      <c r="L9" s="639" t="s">
        <v>631</v>
      </c>
      <c r="M9" s="640"/>
      <c r="N9" s="187"/>
      <c r="O9" s="186"/>
      <c r="P9" s="186"/>
      <c r="Q9" s="186"/>
      <c r="R9" s="137"/>
      <c r="S9" s="137"/>
      <c r="T9" s="137"/>
      <c r="U9" s="137"/>
      <c r="V9" s="137"/>
      <c r="W9" s="137"/>
      <c r="X9" s="137"/>
      <c r="Y9" s="137"/>
      <c r="Z9" s="137"/>
      <c r="AA9" s="137"/>
      <c r="AB9" s="137"/>
      <c r="AC9" s="137"/>
      <c r="AD9" s="137"/>
      <c r="AE9" s="137"/>
      <c r="AF9" s="137"/>
    </row>
    <row r="10" spans="1:82" ht="16.5" thickBot="1" x14ac:dyDescent="0.3">
      <c r="A10" s="113"/>
      <c r="B10" s="113"/>
      <c r="C10" s="113"/>
      <c r="D10" s="113"/>
      <c r="E10" s="113"/>
      <c r="F10" s="113"/>
      <c r="G10" s="113"/>
      <c r="H10" s="113"/>
      <c r="I10" s="113"/>
      <c r="J10" s="113"/>
      <c r="K10" s="113"/>
      <c r="L10" s="641"/>
      <c r="M10" s="642"/>
      <c r="N10" s="113"/>
      <c r="O10" s="112"/>
      <c r="P10" s="112"/>
      <c r="Q10" s="112"/>
      <c r="R10" s="112"/>
      <c r="S10" s="112"/>
      <c r="T10" s="112"/>
    </row>
    <row r="11" spans="1:82" s="110" customFormat="1" ht="111.75" customHeight="1" thickBot="1" x14ac:dyDescent="0.3">
      <c r="A11" s="217" t="s">
        <v>654</v>
      </c>
      <c r="B11" s="217" t="s">
        <v>591</v>
      </c>
      <c r="C11" s="217" t="s">
        <v>477</v>
      </c>
      <c r="D11" s="217" t="s">
        <v>546</v>
      </c>
      <c r="E11" s="217" t="s">
        <v>478</v>
      </c>
      <c r="F11" s="217" t="s">
        <v>550</v>
      </c>
      <c r="G11" s="217" t="s">
        <v>479</v>
      </c>
      <c r="H11" s="217" t="s">
        <v>498</v>
      </c>
      <c r="I11" s="217" t="s">
        <v>632</v>
      </c>
      <c r="J11" s="217" t="s">
        <v>658</v>
      </c>
      <c r="K11" s="217" t="s">
        <v>553</v>
      </c>
      <c r="L11" s="622" t="s">
        <v>191</v>
      </c>
      <c r="M11" s="622"/>
      <c r="N11" s="622"/>
      <c r="O11" s="114"/>
    </row>
    <row r="12" spans="1:82" ht="27" customHeight="1" x14ac:dyDescent="0.25">
      <c r="A12" s="620" t="s">
        <v>705</v>
      </c>
      <c r="B12" s="620" t="s">
        <v>706</v>
      </c>
      <c r="C12" s="645" t="s">
        <v>707</v>
      </c>
      <c r="D12" s="647" t="s">
        <v>708</v>
      </c>
      <c r="E12" s="649" t="s">
        <v>709</v>
      </c>
      <c r="F12" s="649" t="s">
        <v>595</v>
      </c>
      <c r="G12" s="649" t="s">
        <v>710</v>
      </c>
      <c r="H12" s="649" t="s">
        <v>711</v>
      </c>
      <c r="I12" s="219">
        <f>+SUM(B33:K33)</f>
        <v>9.4821917808219176</v>
      </c>
      <c r="J12" s="219">
        <f>+SUM(G33:K33)</f>
        <v>9.4821917808219176</v>
      </c>
      <c r="K12" s="219">
        <f>SUM(L33:T33)</f>
        <v>3.6794520547945204</v>
      </c>
      <c r="L12" s="623"/>
      <c r="M12" s="623"/>
      <c r="N12" s="623"/>
      <c r="O12" s="112"/>
    </row>
    <row r="13" spans="1:82" s="111" customFormat="1" ht="28.5" customHeight="1" thickBot="1" x14ac:dyDescent="0.3">
      <c r="A13" s="621"/>
      <c r="B13" s="621"/>
      <c r="C13" s="646"/>
      <c r="D13" s="648"/>
      <c r="E13" s="621"/>
      <c r="F13" s="621"/>
      <c r="G13" s="621"/>
      <c r="H13" s="621"/>
      <c r="I13" s="220" t="str">
        <f>IF(I12&gt;=8,"CUMPLE","NO CUMPLE")</f>
        <v>CUMPLE</v>
      </c>
      <c r="J13" s="220" t="str">
        <f>IF(J12&gt;=6,"CUMPLE","NO CUMPLE")</f>
        <v>CUMPLE</v>
      </c>
      <c r="K13" s="229">
        <f>IF(AND(K12&gt;=M8,K12&lt;=N8),5,IF(AND(K12&gt;=N8,K12&lt;=O8),10,IF(K12&gt;O8,20,0)))</f>
        <v>20</v>
      </c>
      <c r="L13" s="624"/>
      <c r="M13" s="624"/>
      <c r="N13" s="624"/>
      <c r="O13" s="115"/>
    </row>
    <row r="14" spans="1:82" ht="16.5" thickBot="1" x14ac:dyDescent="0.3">
      <c r="A14" s="112"/>
      <c r="B14" s="112"/>
      <c r="C14" s="112"/>
      <c r="D14" s="112"/>
      <c r="E14" s="112"/>
      <c r="F14" s="112"/>
      <c r="G14" s="112"/>
      <c r="H14" s="116"/>
      <c r="I14" s="112"/>
      <c r="J14" s="113"/>
      <c r="K14" s="113"/>
      <c r="L14" s="113"/>
      <c r="M14" s="113"/>
      <c r="N14" s="116"/>
      <c r="O14" s="116"/>
      <c r="P14" s="117"/>
      <c r="Q14" s="112"/>
      <c r="R14" s="112"/>
      <c r="S14" s="112"/>
      <c r="T14" s="112"/>
    </row>
    <row r="15" spans="1:82" ht="34.5" customHeight="1" thickBot="1" x14ac:dyDescent="0.3">
      <c r="A15" s="238" t="s">
        <v>480</v>
      </c>
      <c r="B15" s="239" t="s">
        <v>481</v>
      </c>
      <c r="C15" s="239" t="s">
        <v>483</v>
      </c>
      <c r="D15" s="239" t="s">
        <v>485</v>
      </c>
      <c r="E15" s="239" t="s">
        <v>486</v>
      </c>
      <c r="F15" s="239" t="s">
        <v>487</v>
      </c>
      <c r="G15" s="240" t="s">
        <v>505</v>
      </c>
      <c r="H15" s="240" t="s">
        <v>551</v>
      </c>
      <c r="I15" s="240" t="s">
        <v>552</v>
      </c>
      <c r="J15" s="240" t="s">
        <v>589</v>
      </c>
      <c r="K15" s="241" t="s">
        <v>590</v>
      </c>
      <c r="L15" s="242" t="s">
        <v>506</v>
      </c>
      <c r="M15" s="243" t="s">
        <v>507</v>
      </c>
      <c r="N15" s="242" t="s">
        <v>508</v>
      </c>
      <c r="O15" s="243" t="s">
        <v>509</v>
      </c>
      <c r="P15" s="242" t="s">
        <v>510</v>
      </c>
      <c r="Q15" s="243" t="s">
        <v>511</v>
      </c>
      <c r="R15" s="242" t="s">
        <v>598</v>
      </c>
      <c r="S15" s="243" t="s">
        <v>599</v>
      </c>
      <c r="T15" s="242" t="s">
        <v>600</v>
      </c>
      <c r="V15" s="112"/>
    </row>
    <row r="16" spans="1:82" ht="59.25" customHeight="1" x14ac:dyDescent="0.25">
      <c r="A16" s="118" t="s">
        <v>23</v>
      </c>
      <c r="B16" s="209"/>
      <c r="C16" s="255"/>
      <c r="D16" s="255"/>
      <c r="E16" s="255"/>
      <c r="F16" s="255"/>
      <c r="G16" s="209" t="s">
        <v>713</v>
      </c>
      <c r="H16" s="255" t="s">
        <v>714</v>
      </c>
      <c r="I16" s="255" t="s">
        <v>716</v>
      </c>
      <c r="J16" s="255"/>
      <c r="K16" s="260"/>
      <c r="L16" s="209" t="s">
        <v>719</v>
      </c>
      <c r="M16" s="263" t="s">
        <v>721</v>
      </c>
      <c r="N16" s="264"/>
      <c r="O16" s="263"/>
      <c r="P16" s="264"/>
      <c r="Q16" s="263"/>
      <c r="R16" s="264"/>
      <c r="S16" s="263"/>
      <c r="T16" s="264"/>
      <c r="V16" s="112"/>
    </row>
    <row r="17" spans="1:22" ht="80.099999999999994" customHeight="1" x14ac:dyDescent="0.25">
      <c r="A17" s="118" t="s">
        <v>205</v>
      </c>
      <c r="B17" s="210"/>
      <c r="C17" s="256"/>
      <c r="D17" s="256"/>
      <c r="E17" s="256"/>
      <c r="F17" s="256"/>
      <c r="G17" s="210" t="s">
        <v>712</v>
      </c>
      <c r="H17" s="256" t="s">
        <v>668</v>
      </c>
      <c r="I17" s="256" t="s">
        <v>717</v>
      </c>
      <c r="J17" s="256"/>
      <c r="K17" s="261"/>
      <c r="L17" s="210" t="s">
        <v>720</v>
      </c>
      <c r="M17" s="265" t="s">
        <v>723</v>
      </c>
      <c r="N17" s="266"/>
      <c r="O17" s="265"/>
      <c r="P17" s="266"/>
      <c r="Q17" s="265"/>
      <c r="R17" s="267"/>
      <c r="S17" s="265"/>
      <c r="T17" s="268"/>
      <c r="V17" s="112"/>
    </row>
    <row r="18" spans="1:22" ht="21.95" customHeight="1" x14ac:dyDescent="0.25">
      <c r="A18" s="118" t="s">
        <v>490</v>
      </c>
      <c r="B18" s="211"/>
      <c r="C18" s="257"/>
      <c r="D18" s="257"/>
      <c r="E18" s="257"/>
      <c r="F18" s="257"/>
      <c r="G18" s="211">
        <v>122</v>
      </c>
      <c r="H18" s="256" t="s">
        <v>715</v>
      </c>
      <c r="I18" s="256" t="s">
        <v>718</v>
      </c>
      <c r="J18" s="256"/>
      <c r="K18" s="261"/>
      <c r="L18" s="211">
        <v>262</v>
      </c>
      <c r="M18" s="269" t="s">
        <v>722</v>
      </c>
      <c r="N18" s="270"/>
      <c r="O18" s="269"/>
      <c r="P18" s="270"/>
      <c r="Q18" s="269"/>
      <c r="R18" s="270"/>
      <c r="S18" s="269"/>
      <c r="T18" s="270"/>
      <c r="V18" s="112"/>
    </row>
    <row r="19" spans="1:22" ht="15.75" x14ac:dyDescent="0.25">
      <c r="A19" s="118" t="s">
        <v>499</v>
      </c>
      <c r="B19" s="212"/>
      <c r="C19" s="258"/>
      <c r="D19" s="258"/>
      <c r="E19" s="258"/>
      <c r="F19" s="258"/>
      <c r="G19" s="212">
        <v>37025</v>
      </c>
      <c r="H19" s="258">
        <v>39643</v>
      </c>
      <c r="I19" s="258">
        <v>41838</v>
      </c>
      <c r="J19" s="258"/>
      <c r="K19" s="262"/>
      <c r="L19" s="212">
        <v>41176</v>
      </c>
      <c r="M19" s="265">
        <v>42126</v>
      </c>
      <c r="N19" s="266"/>
      <c r="O19" s="265"/>
      <c r="P19" s="266"/>
      <c r="Q19" s="265"/>
      <c r="R19" s="267"/>
      <c r="S19" s="265"/>
      <c r="T19" s="268"/>
      <c r="V19" s="112"/>
    </row>
    <row r="20" spans="1:22" ht="15.75" x14ac:dyDescent="0.25">
      <c r="A20" s="118" t="s">
        <v>554</v>
      </c>
      <c r="B20" s="212"/>
      <c r="C20" s="258"/>
      <c r="D20" s="258"/>
      <c r="E20" s="258"/>
      <c r="F20" s="258"/>
      <c r="G20" s="212">
        <v>38795</v>
      </c>
      <c r="H20" s="258">
        <v>41180</v>
      </c>
      <c r="I20" s="258">
        <v>41992</v>
      </c>
      <c r="J20" s="258"/>
      <c r="K20" s="262"/>
      <c r="L20" s="212">
        <v>41759</v>
      </c>
      <c r="M20" s="265">
        <v>42886</v>
      </c>
      <c r="N20" s="266"/>
      <c r="O20" s="265"/>
      <c r="P20" s="266"/>
      <c r="Q20" s="265"/>
      <c r="R20" s="267"/>
      <c r="S20" s="265"/>
      <c r="T20" s="268"/>
      <c r="V20" s="112"/>
    </row>
    <row r="21" spans="1:22" ht="15.75" x14ac:dyDescent="0.25">
      <c r="A21" s="118" t="s">
        <v>500</v>
      </c>
      <c r="B21" s="258"/>
      <c r="C21" s="258"/>
      <c r="D21" s="258"/>
      <c r="E21" s="258"/>
      <c r="F21" s="258"/>
      <c r="G21" s="258"/>
      <c r="H21" s="258"/>
      <c r="I21" s="258"/>
      <c r="J21" s="258"/>
      <c r="K21" s="262"/>
      <c r="L21" s="266"/>
      <c r="M21" s="265"/>
      <c r="N21" s="266"/>
      <c r="O21" s="265"/>
      <c r="P21" s="271"/>
      <c r="Q21" s="272"/>
      <c r="R21" s="267"/>
      <c r="S21" s="272"/>
      <c r="T21" s="271"/>
      <c r="V21" s="112"/>
    </row>
    <row r="22" spans="1:22" ht="15.75" x14ac:dyDescent="0.25">
      <c r="A22" s="118" t="s">
        <v>555</v>
      </c>
      <c r="B22" s="258"/>
      <c r="C22" s="258"/>
      <c r="D22" s="258"/>
      <c r="E22" s="258"/>
      <c r="F22" s="258"/>
      <c r="G22" s="258"/>
      <c r="H22" s="258"/>
      <c r="I22" s="258"/>
      <c r="J22" s="258"/>
      <c r="K22" s="262"/>
      <c r="L22" s="266"/>
      <c r="M22" s="265"/>
      <c r="N22" s="266"/>
      <c r="O22" s="265"/>
      <c r="P22" s="268"/>
      <c r="Q22" s="273"/>
      <c r="R22" s="267"/>
      <c r="S22" s="273"/>
      <c r="T22" s="268"/>
      <c r="V22" s="112"/>
    </row>
    <row r="23" spans="1:22" ht="15.75" x14ac:dyDescent="0.25">
      <c r="A23" s="118" t="s">
        <v>501</v>
      </c>
      <c r="B23" s="258"/>
      <c r="C23" s="258"/>
      <c r="D23" s="258"/>
      <c r="E23" s="258"/>
      <c r="F23" s="258"/>
      <c r="G23" s="258"/>
      <c r="H23" s="258"/>
      <c r="I23" s="258"/>
      <c r="J23" s="258"/>
      <c r="K23" s="262"/>
      <c r="L23" s="266"/>
      <c r="M23" s="265"/>
      <c r="N23" s="266"/>
      <c r="O23" s="265"/>
      <c r="P23" s="268"/>
      <c r="Q23" s="273"/>
      <c r="R23" s="267"/>
      <c r="S23" s="273"/>
      <c r="T23" s="268"/>
      <c r="V23" s="112"/>
    </row>
    <row r="24" spans="1:22" ht="15.75" x14ac:dyDescent="0.25">
      <c r="A24" s="118" t="s">
        <v>556</v>
      </c>
      <c r="B24" s="258"/>
      <c r="C24" s="258"/>
      <c r="D24" s="258"/>
      <c r="E24" s="258"/>
      <c r="F24" s="258"/>
      <c r="G24" s="258"/>
      <c r="H24" s="258"/>
      <c r="I24" s="258"/>
      <c r="J24" s="258"/>
      <c r="K24" s="262"/>
      <c r="L24" s="266"/>
      <c r="M24" s="265"/>
      <c r="N24" s="266"/>
      <c r="O24" s="265"/>
      <c r="P24" s="268"/>
      <c r="Q24" s="273"/>
      <c r="R24" s="267"/>
      <c r="S24" s="273"/>
      <c r="T24" s="268"/>
      <c r="V24" s="112"/>
    </row>
    <row r="25" spans="1:22" ht="15.75" x14ac:dyDescent="0.25">
      <c r="A25" s="118" t="s">
        <v>502</v>
      </c>
      <c r="B25" s="258"/>
      <c r="C25" s="258"/>
      <c r="D25" s="258"/>
      <c r="E25" s="258"/>
      <c r="F25" s="258"/>
      <c r="G25" s="258"/>
      <c r="H25" s="258"/>
      <c r="I25" s="258"/>
      <c r="J25" s="258"/>
      <c r="K25" s="262"/>
      <c r="L25" s="266"/>
      <c r="M25" s="265"/>
      <c r="N25" s="266"/>
      <c r="O25" s="265"/>
      <c r="P25" s="268"/>
      <c r="Q25" s="273"/>
      <c r="R25" s="268"/>
      <c r="S25" s="273"/>
      <c r="T25" s="268"/>
      <c r="V25" s="112"/>
    </row>
    <row r="26" spans="1:22" ht="15.75" x14ac:dyDescent="0.25">
      <c r="A26" s="118" t="s">
        <v>557</v>
      </c>
      <c r="B26" s="258"/>
      <c r="C26" s="258"/>
      <c r="D26" s="258"/>
      <c r="E26" s="258"/>
      <c r="F26" s="258"/>
      <c r="G26" s="258"/>
      <c r="H26" s="258"/>
      <c r="I26" s="258"/>
      <c r="J26" s="258"/>
      <c r="K26" s="262"/>
      <c r="L26" s="266"/>
      <c r="M26" s="265"/>
      <c r="N26" s="266"/>
      <c r="O26" s="265"/>
      <c r="P26" s="268"/>
      <c r="Q26" s="273"/>
      <c r="R26" s="268"/>
      <c r="S26" s="273"/>
      <c r="T26" s="268"/>
      <c r="V26" s="112"/>
    </row>
    <row r="27" spans="1:22" ht="15.75" x14ac:dyDescent="0.25">
      <c r="A27" s="118" t="s">
        <v>503</v>
      </c>
      <c r="B27" s="258"/>
      <c r="C27" s="258"/>
      <c r="D27" s="258"/>
      <c r="E27" s="258"/>
      <c r="F27" s="258"/>
      <c r="G27" s="258"/>
      <c r="H27" s="258"/>
      <c r="I27" s="258"/>
      <c r="J27" s="258"/>
      <c r="K27" s="262"/>
      <c r="L27" s="266"/>
      <c r="M27" s="265"/>
      <c r="N27" s="266"/>
      <c r="O27" s="265"/>
      <c r="P27" s="267"/>
      <c r="Q27" s="274"/>
      <c r="R27" s="267"/>
      <c r="S27" s="274"/>
      <c r="T27" s="267"/>
      <c r="V27" s="112"/>
    </row>
    <row r="28" spans="1:22" ht="15.75" x14ac:dyDescent="0.25">
      <c r="A28" s="118" t="s">
        <v>558</v>
      </c>
      <c r="B28" s="258"/>
      <c r="C28" s="258"/>
      <c r="D28" s="258"/>
      <c r="E28" s="258"/>
      <c r="F28" s="258"/>
      <c r="G28" s="258"/>
      <c r="H28" s="258"/>
      <c r="I28" s="258"/>
      <c r="J28" s="258"/>
      <c r="K28" s="262"/>
      <c r="L28" s="266"/>
      <c r="M28" s="265"/>
      <c r="N28" s="266"/>
      <c r="O28" s="265"/>
      <c r="P28" s="267"/>
      <c r="Q28" s="274"/>
      <c r="R28" s="267"/>
      <c r="S28" s="274"/>
      <c r="T28" s="267"/>
      <c r="V28" s="112"/>
    </row>
    <row r="29" spans="1:22" ht="15.75" x14ac:dyDescent="0.25">
      <c r="A29" s="118" t="s">
        <v>559</v>
      </c>
      <c r="B29" s="258"/>
      <c r="C29" s="258"/>
      <c r="D29" s="258"/>
      <c r="E29" s="258"/>
      <c r="F29" s="258"/>
      <c r="G29" s="258"/>
      <c r="H29" s="258"/>
      <c r="I29" s="258"/>
      <c r="J29" s="258"/>
      <c r="K29" s="262"/>
      <c r="L29" s="266"/>
      <c r="M29" s="265"/>
      <c r="N29" s="266"/>
      <c r="O29" s="265"/>
      <c r="P29" s="267"/>
      <c r="Q29" s="274"/>
      <c r="R29" s="267"/>
      <c r="S29" s="274"/>
      <c r="T29" s="267"/>
      <c r="V29" s="112"/>
    </row>
    <row r="30" spans="1:22" ht="15.75" x14ac:dyDescent="0.25">
      <c r="A30" s="118" t="s">
        <v>560</v>
      </c>
      <c r="B30" s="258"/>
      <c r="C30" s="258"/>
      <c r="D30" s="258"/>
      <c r="E30" s="258"/>
      <c r="F30" s="258"/>
      <c r="G30" s="258"/>
      <c r="H30" s="258"/>
      <c r="I30" s="258"/>
      <c r="J30" s="258"/>
      <c r="K30" s="262"/>
      <c r="L30" s="266"/>
      <c r="M30" s="265"/>
      <c r="N30" s="266"/>
      <c r="O30" s="265"/>
      <c r="P30" s="267"/>
      <c r="Q30" s="274"/>
      <c r="R30" s="267"/>
      <c r="S30" s="274"/>
      <c r="T30" s="267"/>
      <c r="V30" s="112"/>
    </row>
    <row r="31" spans="1:22" ht="15.75" x14ac:dyDescent="0.25">
      <c r="A31" s="118" t="s">
        <v>561</v>
      </c>
      <c r="B31" s="258"/>
      <c r="C31" s="258"/>
      <c r="D31" s="258"/>
      <c r="E31" s="258"/>
      <c r="F31" s="258"/>
      <c r="G31" s="258"/>
      <c r="H31" s="258"/>
      <c r="I31" s="258"/>
      <c r="J31" s="258"/>
      <c r="K31" s="262"/>
      <c r="L31" s="266"/>
      <c r="M31" s="265"/>
      <c r="N31" s="266"/>
      <c r="O31" s="265"/>
      <c r="P31" s="267"/>
      <c r="Q31" s="274"/>
      <c r="R31" s="267"/>
      <c r="S31" s="274"/>
      <c r="T31" s="267"/>
      <c r="V31" s="112"/>
    </row>
    <row r="32" spans="1:22" ht="16.5" thickBot="1" x14ac:dyDescent="0.3">
      <c r="A32" s="118" t="s">
        <v>562</v>
      </c>
      <c r="B32" s="258"/>
      <c r="C32" s="258"/>
      <c r="D32" s="258"/>
      <c r="E32" s="258"/>
      <c r="F32" s="258"/>
      <c r="G32" s="254"/>
      <c r="H32" s="254"/>
      <c r="I32" s="254"/>
      <c r="J32" s="254"/>
      <c r="K32" s="336"/>
      <c r="L32" s="335"/>
      <c r="M32" s="337"/>
      <c r="N32" s="335"/>
      <c r="O32" s="337"/>
      <c r="P32" s="338"/>
      <c r="Q32" s="339"/>
      <c r="R32" s="338"/>
      <c r="S32" s="339"/>
      <c r="T32" s="338"/>
      <c r="V32" s="112"/>
    </row>
    <row r="33" spans="1:25" ht="36" customHeight="1" thickBot="1" x14ac:dyDescent="0.3">
      <c r="A33" s="216" t="s">
        <v>482</v>
      </c>
      <c r="B33" s="216">
        <f>+((B20-B19)/365+((B22-B21)/365)+((B24-B23)/365)+((B26-B25)/365)+((B28-B27)/365)+((B30-B29)/365)+((B32-B31)/365))</f>
        <v>0</v>
      </c>
      <c r="C33" s="216">
        <f t="shared" ref="C33:E33" si="0">+((C20-C19)/365+((C22-C21)/365)+((C24-C23)/365)+((C26-C25)/365)+((C28-C27)/365)+((C30-C29)/365)+((C32-C31)/365))</f>
        <v>0</v>
      </c>
      <c r="D33" s="216">
        <f t="shared" si="0"/>
        <v>0</v>
      </c>
      <c r="E33" s="216">
        <f t="shared" si="0"/>
        <v>0</v>
      </c>
      <c r="F33" s="216">
        <f t="shared" ref="F33" si="1">+((F20-F19)/365+((F22-F21)/365)+((F24-F23)/365)+((F26-F25)/365)+((F28-F27)/365)+((F30-F29)/365)+((F32-F31)/365))</f>
        <v>0</v>
      </c>
      <c r="G33" s="216">
        <f>+((G20-G19)/365+((G22-G21)/365)+((G24-G23)/365)+((G26-G25)/365)+((G28-G27)/365)+((G30-G29)/365)+((G32-G31)/365))</f>
        <v>4.8493150684931505</v>
      </c>
      <c r="H33" s="216">
        <f>+((H20-H19)/365+((H22-H21)/365)+((H24-H23)/365)+((H26-H25)/365)+((H28-H27)/365)+((H30-H29)/365)+((H32-H31)/365))</f>
        <v>4.2109589041095887</v>
      </c>
      <c r="I33" s="216">
        <f>+((I20-I19)/365+((I22-I21)/365)+((I24-I23)/365)+((I26-I25)/365)+((I28-I27)/365)+((I30-I29)/365)+((I32-I31)/365))</f>
        <v>0.42191780821917807</v>
      </c>
      <c r="J33" s="216">
        <f t="shared" ref="J33:K33" si="2">+((J20-J19)/365+((J22-J21)/365)+((J24-J23)/365)+((J26-J25)/365)+((J28-J27)/365)+((J30-J29)/365)+((J32-J31)/365))</f>
        <v>0</v>
      </c>
      <c r="K33" s="216">
        <f t="shared" si="2"/>
        <v>0</v>
      </c>
      <c r="L33" s="216">
        <f>+((L20-L19)/365+((L22-L21)/365)+((L24-L23)/365)+((L26-L25)/365)+((L28-L27)/365)+((L30-L29)/365)+((L32-L31)/365))</f>
        <v>1.5972602739726027</v>
      </c>
      <c r="M33" s="216">
        <f t="shared" ref="M33" si="3">+((M20-M19)/365+((M22-M21)/365)+((M24-M23)/365)+((M26-M25)/365)+((M28-M27)/365)+((M30-M29)/365)+((M32-M31)/365))</f>
        <v>2.0821917808219177</v>
      </c>
      <c r="N33" s="216">
        <f>+((N20-N19)/365+((N22-N21)/365)+((N24-N23)/365)+((N26-N25)/365)+((N28-N27)/365)+((N30-N29)/365)+((N32-N31)/365))</f>
        <v>0</v>
      </c>
      <c r="O33" s="216">
        <f t="shared" ref="O33:T33" si="4">+((O20-O19)/365+((O22-O21)/365)+((O24-O23)/365)+((O26-O25)/365)+((O28-O27)/365)+((O30-O29)/365)+((O32-O31)/365))</f>
        <v>0</v>
      </c>
      <c r="P33" s="216">
        <f t="shared" si="4"/>
        <v>0</v>
      </c>
      <c r="Q33" s="216">
        <f t="shared" si="4"/>
        <v>0</v>
      </c>
      <c r="R33" s="216">
        <f t="shared" si="4"/>
        <v>0</v>
      </c>
      <c r="S33" s="216">
        <f t="shared" si="4"/>
        <v>0</v>
      </c>
      <c r="T33" s="217">
        <f t="shared" si="4"/>
        <v>0</v>
      </c>
      <c r="V33" s="112"/>
    </row>
    <row r="34" spans="1:25" ht="85.5" customHeight="1" thickBot="1" x14ac:dyDescent="0.3">
      <c r="A34" s="275" t="s">
        <v>484</v>
      </c>
      <c r="B34" s="332"/>
      <c r="C34" s="277"/>
      <c r="D34" s="277"/>
      <c r="E34" s="277"/>
      <c r="F34" s="277"/>
      <c r="G34" s="332"/>
      <c r="H34" s="278"/>
      <c r="I34" s="278"/>
      <c r="J34" s="278"/>
      <c r="K34" s="279"/>
      <c r="L34" s="276"/>
      <c r="M34" s="280"/>
      <c r="N34" s="281"/>
      <c r="O34" s="280"/>
      <c r="P34" s="281"/>
      <c r="Q34" s="280"/>
      <c r="R34" s="281"/>
      <c r="S34" s="280"/>
      <c r="T34" s="281"/>
      <c r="V34" s="112"/>
    </row>
    <row r="35" spans="1:25" ht="16.5" thickBot="1" x14ac:dyDescent="0.3">
      <c r="A35" s="113"/>
      <c r="B35" s="113"/>
      <c r="C35" s="113"/>
      <c r="D35" s="113"/>
      <c r="E35" s="113"/>
      <c r="F35" s="113"/>
      <c r="G35" s="113"/>
      <c r="H35" s="113"/>
      <c r="I35" s="113"/>
      <c r="J35" s="113"/>
      <c r="K35" s="113"/>
      <c r="L35" s="113"/>
      <c r="M35" s="113"/>
      <c r="N35" s="113"/>
      <c r="O35" s="112"/>
      <c r="P35" s="112"/>
      <c r="Q35" s="112"/>
      <c r="R35" s="112"/>
      <c r="S35" s="112"/>
      <c r="T35" s="112"/>
    </row>
    <row r="36" spans="1:25" s="110" customFormat="1" ht="80.099999999999994" customHeight="1" thickBot="1" x14ac:dyDescent="0.3">
      <c r="A36" s="216" t="s">
        <v>661</v>
      </c>
      <c r="B36" s="216" t="s">
        <v>591</v>
      </c>
      <c r="C36" s="216" t="s">
        <v>477</v>
      </c>
      <c r="D36" s="216" t="s">
        <v>546</v>
      </c>
      <c r="E36" s="216" t="s">
        <v>478</v>
      </c>
      <c r="F36" s="216" t="s">
        <v>550</v>
      </c>
      <c r="G36" s="216" t="s">
        <v>479</v>
      </c>
      <c r="H36" s="216" t="s">
        <v>498</v>
      </c>
      <c r="I36" s="216" t="s">
        <v>629</v>
      </c>
      <c r="J36" s="216" t="s">
        <v>664</v>
      </c>
      <c r="K36" s="216" t="s">
        <v>553</v>
      </c>
      <c r="L36" s="643" t="s">
        <v>191</v>
      </c>
      <c r="M36" s="644"/>
      <c r="N36" s="114"/>
      <c r="O36" s="114"/>
    </row>
    <row r="37" spans="1:25" ht="34.5" customHeight="1" x14ac:dyDescent="0.25">
      <c r="A37" s="620" t="s">
        <v>724</v>
      </c>
      <c r="B37" s="620" t="s">
        <v>725</v>
      </c>
      <c r="C37" s="649" t="s">
        <v>726</v>
      </c>
      <c r="D37" s="647" t="s">
        <v>727</v>
      </c>
      <c r="E37" s="649" t="s">
        <v>728</v>
      </c>
      <c r="F37" s="649"/>
      <c r="G37" s="649"/>
      <c r="H37" s="649"/>
      <c r="I37" s="222">
        <f>SUM(B58:Q58)</f>
        <v>6.3999999999999995</v>
      </c>
      <c r="J37" s="223">
        <f>+SUM(H58:Q58)</f>
        <v>5.3397260273972602</v>
      </c>
      <c r="K37" s="223">
        <f>SUM(S58:Y58)</f>
        <v>2.419178082191781</v>
      </c>
      <c r="L37" s="650"/>
      <c r="M37" s="650"/>
      <c r="N37" s="112"/>
      <c r="O37" s="112"/>
    </row>
    <row r="38" spans="1:25" s="111" customFormat="1" ht="45.95" customHeight="1" thickBot="1" x14ac:dyDescent="0.3">
      <c r="A38" s="621"/>
      <c r="B38" s="621"/>
      <c r="C38" s="621"/>
      <c r="D38" s="648"/>
      <c r="E38" s="621"/>
      <c r="F38" s="621"/>
      <c r="G38" s="621"/>
      <c r="H38" s="621"/>
      <c r="I38" s="220" t="str">
        <f>IF(I37&gt;=6,"CUMPLE","NO CUMPLE")</f>
        <v>CUMPLE</v>
      </c>
      <c r="J38" s="220" t="str">
        <f>IF(J37&gt;=4,"CUMPLE","NO CUMPLE")</f>
        <v>CUMPLE</v>
      </c>
      <c r="K38" s="221">
        <f>IF(AND(K37&gt;M8,K37&lt;=N8),10,IF(AND(K37&gt;N8,K37&lt;=O8),15,IF(K37&gt;O8,20,0)))</f>
        <v>20</v>
      </c>
      <c r="L38" s="651"/>
      <c r="M38" s="651"/>
      <c r="N38" s="115"/>
      <c r="O38" s="115"/>
    </row>
    <row r="39" spans="1:25" ht="16.5" thickBot="1" x14ac:dyDescent="0.3">
      <c r="A39" s="112"/>
      <c r="B39" s="112"/>
      <c r="C39" s="112"/>
      <c r="D39" s="112"/>
      <c r="E39" s="112"/>
      <c r="F39" s="112"/>
      <c r="G39" s="112"/>
      <c r="H39" s="116"/>
      <c r="I39" s="112"/>
      <c r="J39" s="113"/>
      <c r="K39" s="113"/>
      <c r="L39" s="113"/>
      <c r="M39" s="113"/>
      <c r="N39" s="116"/>
      <c r="O39" s="116"/>
      <c r="P39" s="117"/>
      <c r="Q39" s="112"/>
      <c r="R39" s="112"/>
      <c r="S39" s="112"/>
      <c r="T39" s="112"/>
    </row>
    <row r="40" spans="1:25" ht="34.5" customHeight="1" thickBot="1" x14ac:dyDescent="0.3">
      <c r="A40" s="238" t="s">
        <v>480</v>
      </c>
      <c r="B40" s="239" t="s">
        <v>481</v>
      </c>
      <c r="C40" s="239" t="s">
        <v>483</v>
      </c>
      <c r="D40" s="239" t="s">
        <v>485</v>
      </c>
      <c r="E40" s="239" t="s">
        <v>486</v>
      </c>
      <c r="F40" s="239" t="s">
        <v>487</v>
      </c>
      <c r="G40" s="239" t="s">
        <v>488</v>
      </c>
      <c r="H40" s="240" t="s">
        <v>505</v>
      </c>
      <c r="I40" s="240" t="s">
        <v>551</v>
      </c>
      <c r="J40" s="284" t="s">
        <v>552</v>
      </c>
      <c r="K40" s="240" t="s">
        <v>589</v>
      </c>
      <c r="L40" s="240" t="s">
        <v>590</v>
      </c>
      <c r="M40" s="240" t="s">
        <v>754</v>
      </c>
      <c r="N40" s="240" t="s">
        <v>755</v>
      </c>
      <c r="O40" s="240" t="s">
        <v>758</v>
      </c>
      <c r="P40" s="240" t="s">
        <v>759</v>
      </c>
      <c r="Q40" s="240" t="s">
        <v>760</v>
      </c>
      <c r="R40" s="109"/>
      <c r="S40" s="253" t="s">
        <v>506</v>
      </c>
      <c r="T40" s="253" t="s">
        <v>507</v>
      </c>
      <c r="U40" s="253" t="s">
        <v>508</v>
      </c>
      <c r="V40" s="253" t="s">
        <v>509</v>
      </c>
      <c r="W40" s="253" t="s">
        <v>510</v>
      </c>
      <c r="X40" s="253" t="s">
        <v>511</v>
      </c>
      <c r="Y40" s="253" t="s">
        <v>598</v>
      </c>
    </row>
    <row r="41" spans="1:25" ht="59.25" customHeight="1" x14ac:dyDescent="0.25">
      <c r="A41" s="118" t="s">
        <v>23</v>
      </c>
      <c r="B41" s="255" t="s">
        <v>672</v>
      </c>
      <c r="C41" s="255" t="s">
        <v>672</v>
      </c>
      <c r="D41" s="347" t="s">
        <v>672</v>
      </c>
      <c r="E41" s="347"/>
      <c r="F41" s="255"/>
      <c r="G41" s="347"/>
      <c r="H41" s="209" t="s">
        <v>672</v>
      </c>
      <c r="I41" s="255" t="s">
        <v>672</v>
      </c>
      <c r="J41" s="255" t="s">
        <v>672</v>
      </c>
      <c r="K41" s="255" t="s">
        <v>672</v>
      </c>
      <c r="L41" s="255" t="s">
        <v>672</v>
      </c>
      <c r="M41" s="255" t="s">
        <v>672</v>
      </c>
      <c r="N41" s="255" t="s">
        <v>672</v>
      </c>
      <c r="O41" s="255" t="s">
        <v>672</v>
      </c>
      <c r="P41" s="255" t="s">
        <v>672</v>
      </c>
      <c r="Q41" s="255" t="s">
        <v>672</v>
      </c>
      <c r="R41" s="109"/>
      <c r="S41" s="255" t="s">
        <v>672</v>
      </c>
      <c r="T41" s="282"/>
      <c r="U41" s="282"/>
      <c r="V41" s="282"/>
      <c r="W41" s="282"/>
      <c r="X41" s="282"/>
      <c r="Y41" s="282"/>
    </row>
    <row r="42" spans="1:25" ht="104.25" customHeight="1" x14ac:dyDescent="0.25">
      <c r="A42" s="118" t="s">
        <v>205</v>
      </c>
      <c r="B42" s="256" t="s">
        <v>736</v>
      </c>
      <c r="C42" s="256" t="s">
        <v>746</v>
      </c>
      <c r="D42" s="258" t="s">
        <v>748</v>
      </c>
      <c r="E42" s="258"/>
      <c r="F42" s="256"/>
      <c r="G42" s="258"/>
      <c r="H42" s="210" t="s">
        <v>738</v>
      </c>
      <c r="I42" s="256" t="s">
        <v>729</v>
      </c>
      <c r="J42" s="256" t="s">
        <v>744</v>
      </c>
      <c r="K42" s="256" t="s">
        <v>731</v>
      </c>
      <c r="L42" s="256" t="s">
        <v>733</v>
      </c>
      <c r="M42" s="256" t="s">
        <v>739</v>
      </c>
      <c r="N42" s="256" t="s">
        <v>734</v>
      </c>
      <c r="O42" s="256" t="s">
        <v>730</v>
      </c>
      <c r="P42" s="256" t="s">
        <v>731</v>
      </c>
      <c r="Q42" s="256" t="s">
        <v>747</v>
      </c>
      <c r="R42" s="109"/>
      <c r="S42" s="256" t="s">
        <v>737</v>
      </c>
      <c r="T42" s="266"/>
      <c r="U42" s="266"/>
      <c r="V42" s="266"/>
      <c r="W42" s="266"/>
      <c r="X42" s="266"/>
      <c r="Y42" s="266"/>
    </row>
    <row r="43" spans="1:25" ht="21.95" customHeight="1" x14ac:dyDescent="0.25">
      <c r="A43" s="118" t="s">
        <v>490</v>
      </c>
      <c r="B43" s="257">
        <v>141</v>
      </c>
      <c r="C43" s="257">
        <v>143</v>
      </c>
      <c r="D43" s="257">
        <v>146</v>
      </c>
      <c r="E43" s="257"/>
      <c r="F43" s="257"/>
      <c r="G43" s="257"/>
      <c r="H43" s="211">
        <v>133</v>
      </c>
      <c r="I43" s="257">
        <v>134</v>
      </c>
      <c r="J43" s="257">
        <v>136</v>
      </c>
      <c r="K43" s="257" t="s">
        <v>732</v>
      </c>
      <c r="L43" s="257">
        <v>139</v>
      </c>
      <c r="M43" s="257">
        <v>140</v>
      </c>
      <c r="N43" s="257" t="s">
        <v>753</v>
      </c>
      <c r="O43" s="257">
        <v>135</v>
      </c>
      <c r="P43" s="257" t="s">
        <v>732</v>
      </c>
      <c r="Q43" s="257">
        <v>144</v>
      </c>
      <c r="R43" s="109"/>
      <c r="S43" s="257">
        <v>278</v>
      </c>
      <c r="T43" s="267"/>
      <c r="U43" s="270"/>
      <c r="V43" s="270"/>
      <c r="W43" s="270"/>
      <c r="X43" s="270"/>
      <c r="Y43" s="270"/>
    </row>
    <row r="44" spans="1:25" ht="15.75" x14ac:dyDescent="0.25">
      <c r="A44" s="118" t="s">
        <v>499</v>
      </c>
      <c r="B44" s="254">
        <v>41522</v>
      </c>
      <c r="C44" s="254">
        <v>41640</v>
      </c>
      <c r="D44" s="254">
        <v>42254</v>
      </c>
      <c r="E44" s="254"/>
      <c r="F44" s="254"/>
      <c r="G44" s="254"/>
      <c r="H44" s="254">
        <v>39373</v>
      </c>
      <c r="I44" s="254">
        <v>39479</v>
      </c>
      <c r="J44" s="254"/>
      <c r="K44" s="254">
        <v>40910</v>
      </c>
      <c r="L44" s="254">
        <v>41116</v>
      </c>
      <c r="M44" s="254">
        <v>41298</v>
      </c>
      <c r="N44" s="254">
        <v>41548</v>
      </c>
      <c r="O44" s="254">
        <v>40224</v>
      </c>
      <c r="P44" s="254">
        <v>40848</v>
      </c>
      <c r="Q44" s="254">
        <v>41865</v>
      </c>
      <c r="R44" s="109"/>
      <c r="S44" s="254">
        <v>42064</v>
      </c>
      <c r="T44" s="266"/>
      <c r="U44" s="266"/>
      <c r="V44" s="266"/>
      <c r="W44" s="266"/>
      <c r="X44" s="266"/>
      <c r="Y44" s="266"/>
    </row>
    <row r="45" spans="1:25" ht="15.75" x14ac:dyDescent="0.25">
      <c r="A45" s="118" t="s">
        <v>554</v>
      </c>
      <c r="B45" s="254">
        <v>41547</v>
      </c>
      <c r="C45" s="254">
        <v>41851</v>
      </c>
      <c r="D45" s="254">
        <v>42405</v>
      </c>
      <c r="E45" s="254"/>
      <c r="F45" s="254"/>
      <c r="G45" s="254"/>
      <c r="H45" s="254">
        <v>39428</v>
      </c>
      <c r="I45" s="254">
        <v>40178</v>
      </c>
      <c r="J45" s="254"/>
      <c r="K45" s="254">
        <v>41115</v>
      </c>
      <c r="L45" s="254">
        <v>41274</v>
      </c>
      <c r="M45" s="254">
        <v>41521</v>
      </c>
      <c r="N45" s="254">
        <v>41639</v>
      </c>
      <c r="O45" s="254">
        <v>40543</v>
      </c>
      <c r="P45" s="254">
        <v>40908</v>
      </c>
      <c r="Q45" s="254">
        <v>42004</v>
      </c>
      <c r="R45" s="109"/>
      <c r="S45" s="254">
        <v>42253</v>
      </c>
      <c r="T45" s="266"/>
      <c r="U45" s="266"/>
      <c r="V45" s="266"/>
      <c r="W45" s="266"/>
      <c r="X45" s="266"/>
      <c r="Y45" s="266"/>
    </row>
    <row r="46" spans="1:25" ht="15.75" x14ac:dyDescent="0.25">
      <c r="A46" s="118" t="s">
        <v>500</v>
      </c>
      <c r="B46" s="258"/>
      <c r="C46" s="258"/>
      <c r="D46" s="258"/>
      <c r="E46" s="258"/>
      <c r="F46" s="258"/>
      <c r="G46" s="258"/>
      <c r="H46" s="258"/>
      <c r="I46" s="258"/>
      <c r="J46" s="266"/>
      <c r="K46" s="258"/>
      <c r="L46" s="266"/>
      <c r="M46" s="258"/>
      <c r="N46" s="258"/>
      <c r="O46" s="258"/>
      <c r="P46" s="258"/>
      <c r="Q46" s="258"/>
      <c r="R46" s="109"/>
      <c r="S46" s="254">
        <v>42406</v>
      </c>
      <c r="T46" s="266"/>
      <c r="U46" s="266"/>
      <c r="V46" s="266"/>
      <c r="W46" s="266"/>
      <c r="X46" s="266"/>
      <c r="Y46" s="266"/>
    </row>
    <row r="47" spans="1:25" ht="15.75" x14ac:dyDescent="0.25">
      <c r="A47" s="118" t="s">
        <v>555</v>
      </c>
      <c r="B47" s="258"/>
      <c r="C47" s="258"/>
      <c r="D47" s="258"/>
      <c r="E47" s="258"/>
      <c r="F47" s="258"/>
      <c r="G47" s="258"/>
      <c r="H47" s="258"/>
      <c r="I47" s="258"/>
      <c r="J47" s="266"/>
      <c r="K47" s="258"/>
      <c r="L47" s="266"/>
      <c r="M47" s="258"/>
      <c r="N47" s="258"/>
      <c r="O47" s="258"/>
      <c r="P47" s="258"/>
      <c r="Q47" s="258"/>
      <c r="R47" s="109"/>
      <c r="S47" s="254">
        <v>43100</v>
      </c>
      <c r="T47" s="266"/>
      <c r="U47" s="266"/>
      <c r="V47" s="266"/>
      <c r="W47" s="266"/>
      <c r="X47" s="266"/>
      <c r="Y47" s="266"/>
    </row>
    <row r="48" spans="1:25" ht="15.75" x14ac:dyDescent="0.25">
      <c r="A48" s="118" t="s">
        <v>501</v>
      </c>
      <c r="B48" s="258"/>
      <c r="C48" s="258"/>
      <c r="D48" s="258"/>
      <c r="E48" s="258"/>
      <c r="F48" s="258"/>
      <c r="G48" s="258"/>
      <c r="H48" s="258"/>
      <c r="I48" s="258"/>
      <c r="J48" s="266"/>
      <c r="K48" s="258"/>
      <c r="L48" s="266"/>
      <c r="M48" s="258"/>
      <c r="N48" s="258"/>
      <c r="O48" s="258"/>
      <c r="P48" s="258"/>
      <c r="Q48" s="258"/>
      <c r="R48" s="109"/>
      <c r="S48" s="266"/>
      <c r="T48" s="266"/>
      <c r="U48" s="266"/>
      <c r="V48" s="266"/>
      <c r="W48" s="266"/>
      <c r="X48" s="266"/>
      <c r="Y48" s="266"/>
    </row>
    <row r="49" spans="1:26" ht="15.75" x14ac:dyDescent="0.25">
      <c r="A49" s="118" t="s">
        <v>556</v>
      </c>
      <c r="B49" s="258"/>
      <c r="C49" s="258"/>
      <c r="D49" s="258"/>
      <c r="E49" s="258"/>
      <c r="F49" s="258"/>
      <c r="G49" s="258"/>
      <c r="H49" s="258"/>
      <c r="I49" s="258"/>
      <c r="J49" s="266"/>
      <c r="K49" s="258"/>
      <c r="L49" s="266"/>
      <c r="M49" s="258"/>
      <c r="N49" s="258"/>
      <c r="O49" s="258"/>
      <c r="P49" s="258"/>
      <c r="Q49" s="258"/>
      <c r="R49" s="109"/>
      <c r="S49" s="266"/>
      <c r="T49" s="266"/>
      <c r="U49" s="266"/>
      <c r="V49" s="266"/>
      <c r="W49" s="266"/>
      <c r="X49" s="266"/>
      <c r="Y49" s="266"/>
    </row>
    <row r="50" spans="1:26" ht="15.75" x14ac:dyDescent="0.25">
      <c r="A50" s="118" t="s">
        <v>502</v>
      </c>
      <c r="B50" s="258"/>
      <c r="C50" s="258"/>
      <c r="D50" s="258"/>
      <c r="E50" s="258"/>
      <c r="F50" s="258"/>
      <c r="G50" s="258"/>
      <c r="H50" s="258"/>
      <c r="I50" s="258"/>
      <c r="J50" s="266"/>
      <c r="K50" s="258"/>
      <c r="L50" s="266"/>
      <c r="M50" s="258"/>
      <c r="N50" s="258"/>
      <c r="O50" s="258"/>
      <c r="P50" s="258"/>
      <c r="Q50" s="258"/>
      <c r="R50" s="109"/>
      <c r="S50" s="266"/>
      <c r="T50" s="266"/>
      <c r="U50" s="266"/>
      <c r="V50" s="266"/>
      <c r="W50" s="266"/>
      <c r="X50" s="266"/>
      <c r="Y50" s="266"/>
    </row>
    <row r="51" spans="1:26" ht="15.75" x14ac:dyDescent="0.25">
      <c r="A51" s="118" t="s">
        <v>557</v>
      </c>
      <c r="B51" s="258"/>
      <c r="C51" s="258"/>
      <c r="D51" s="258"/>
      <c r="E51" s="258"/>
      <c r="F51" s="258"/>
      <c r="G51" s="258"/>
      <c r="H51" s="258"/>
      <c r="I51" s="258"/>
      <c r="J51" s="266"/>
      <c r="K51" s="258"/>
      <c r="L51" s="266"/>
      <c r="M51" s="258"/>
      <c r="N51" s="258"/>
      <c r="O51" s="258"/>
      <c r="P51" s="258"/>
      <c r="Q51" s="258"/>
      <c r="R51" s="109"/>
      <c r="S51" s="266"/>
      <c r="T51" s="266"/>
      <c r="U51" s="266"/>
      <c r="V51" s="266"/>
      <c r="W51" s="266"/>
      <c r="X51" s="266"/>
      <c r="Y51" s="266"/>
    </row>
    <row r="52" spans="1:26" ht="15.75" x14ac:dyDescent="0.25">
      <c r="A52" s="118" t="s">
        <v>503</v>
      </c>
      <c r="B52" s="258"/>
      <c r="C52" s="258"/>
      <c r="D52" s="258"/>
      <c r="E52" s="258"/>
      <c r="F52" s="258"/>
      <c r="G52" s="258"/>
      <c r="H52" s="258"/>
      <c r="I52" s="258"/>
      <c r="J52" s="266"/>
      <c r="K52" s="258"/>
      <c r="L52" s="266"/>
      <c r="M52" s="258"/>
      <c r="N52" s="258"/>
      <c r="O52" s="258"/>
      <c r="P52" s="258"/>
      <c r="Q52" s="258"/>
      <c r="R52" s="109"/>
      <c r="S52" s="266"/>
      <c r="T52" s="266"/>
      <c r="U52" s="266"/>
      <c r="V52" s="266"/>
      <c r="W52" s="266"/>
      <c r="X52" s="266"/>
      <c r="Y52" s="266"/>
    </row>
    <row r="53" spans="1:26" ht="15.75" x14ac:dyDescent="0.25">
      <c r="A53" s="118" t="s">
        <v>558</v>
      </c>
      <c r="B53" s="258"/>
      <c r="C53" s="258"/>
      <c r="D53" s="258"/>
      <c r="E53" s="258"/>
      <c r="F53" s="258"/>
      <c r="G53" s="258"/>
      <c r="H53" s="258"/>
      <c r="I53" s="258"/>
      <c r="J53" s="266"/>
      <c r="K53" s="258"/>
      <c r="L53" s="266"/>
      <c r="M53" s="258"/>
      <c r="N53" s="258"/>
      <c r="O53" s="258"/>
      <c r="P53" s="258"/>
      <c r="Q53" s="258"/>
      <c r="R53" s="109"/>
      <c r="S53" s="266"/>
      <c r="T53" s="266"/>
      <c r="U53" s="266"/>
      <c r="V53" s="266"/>
      <c r="W53" s="266"/>
      <c r="X53" s="266"/>
      <c r="Y53" s="266"/>
    </row>
    <row r="54" spans="1:26" ht="15.75" x14ac:dyDescent="0.25">
      <c r="A54" s="118" t="s">
        <v>559</v>
      </c>
      <c r="B54" s="258"/>
      <c r="C54" s="258"/>
      <c r="D54" s="258"/>
      <c r="E54" s="258"/>
      <c r="F54" s="258"/>
      <c r="G54" s="258"/>
      <c r="H54" s="258"/>
      <c r="I54" s="258"/>
      <c r="J54" s="266"/>
      <c r="K54" s="258"/>
      <c r="L54" s="266"/>
      <c r="M54" s="258"/>
      <c r="N54" s="258"/>
      <c r="O54" s="258"/>
      <c r="P54" s="258"/>
      <c r="Q54" s="258"/>
      <c r="R54" s="109"/>
      <c r="S54" s="266"/>
      <c r="T54" s="266"/>
      <c r="U54" s="266"/>
      <c r="V54" s="266"/>
      <c r="W54" s="266"/>
      <c r="X54" s="266"/>
      <c r="Y54" s="266"/>
    </row>
    <row r="55" spans="1:26" ht="15.75" x14ac:dyDescent="0.25">
      <c r="A55" s="118" t="s">
        <v>560</v>
      </c>
      <c r="B55" s="258"/>
      <c r="C55" s="258"/>
      <c r="D55" s="258"/>
      <c r="E55" s="258"/>
      <c r="F55" s="258"/>
      <c r="G55" s="258"/>
      <c r="H55" s="258"/>
      <c r="I55" s="258"/>
      <c r="J55" s="266"/>
      <c r="K55" s="258"/>
      <c r="L55" s="266"/>
      <c r="M55" s="258"/>
      <c r="N55" s="258"/>
      <c r="O55" s="258"/>
      <c r="P55" s="258"/>
      <c r="Q55" s="258"/>
      <c r="R55" s="109"/>
      <c r="S55" s="266"/>
      <c r="T55" s="266"/>
      <c r="U55" s="266"/>
      <c r="V55" s="266"/>
      <c r="W55" s="266"/>
      <c r="X55" s="266"/>
      <c r="Y55" s="266"/>
    </row>
    <row r="56" spans="1:26" ht="15.75" x14ac:dyDescent="0.25">
      <c r="A56" s="118" t="s">
        <v>561</v>
      </c>
      <c r="B56" s="258"/>
      <c r="C56" s="258"/>
      <c r="D56" s="258"/>
      <c r="E56" s="258"/>
      <c r="F56" s="258"/>
      <c r="G56" s="258"/>
      <c r="H56" s="258"/>
      <c r="I56" s="258"/>
      <c r="J56" s="266"/>
      <c r="K56" s="258"/>
      <c r="L56" s="266"/>
      <c r="M56" s="258"/>
      <c r="N56" s="258"/>
      <c r="O56" s="258"/>
      <c r="P56" s="258"/>
      <c r="Q56" s="258"/>
      <c r="R56" s="109"/>
      <c r="S56" s="266"/>
      <c r="T56" s="266"/>
      <c r="U56" s="266"/>
      <c r="V56" s="266"/>
      <c r="W56" s="266"/>
      <c r="X56" s="266"/>
      <c r="Y56" s="266"/>
    </row>
    <row r="57" spans="1:26" ht="16.5" thickBot="1" x14ac:dyDescent="0.3">
      <c r="A57" s="118" t="s">
        <v>562</v>
      </c>
      <c r="B57" s="258"/>
      <c r="C57" s="258"/>
      <c r="D57" s="258"/>
      <c r="E57" s="258"/>
      <c r="F57" s="258"/>
      <c r="G57" s="258"/>
      <c r="H57" s="258"/>
      <c r="I57" s="258"/>
      <c r="J57" s="266"/>
      <c r="K57" s="258"/>
      <c r="L57" s="266"/>
      <c r="M57" s="258"/>
      <c r="N57" s="258"/>
      <c r="O57" s="258"/>
      <c r="P57" s="258"/>
      <c r="Q57" s="258"/>
      <c r="R57" s="109"/>
      <c r="S57" s="213"/>
      <c r="T57" s="266"/>
      <c r="U57" s="266"/>
      <c r="V57" s="266"/>
      <c r="W57" s="266"/>
      <c r="X57" s="266"/>
      <c r="Y57" s="266"/>
    </row>
    <row r="58" spans="1:26" ht="36" customHeight="1" thickBot="1" x14ac:dyDescent="0.3">
      <c r="A58" s="238" t="s">
        <v>482</v>
      </c>
      <c r="B58" s="283">
        <f t="shared" ref="B58:J58" si="5">+((B45-B44)/365+((B47-B46)/365)+((B49-B48)/365)+((B51-B50)/365)+((B53-B52)/365)+((B55-B54)/365)+((B57-B56)/365))</f>
        <v>6.8493150684931503E-2</v>
      </c>
      <c r="C58" s="252">
        <f t="shared" si="5"/>
        <v>0.57808219178082187</v>
      </c>
      <c r="D58" s="252">
        <f t="shared" si="5"/>
        <v>0.41369863013698632</v>
      </c>
      <c r="E58" s="252">
        <f t="shared" si="5"/>
        <v>0</v>
      </c>
      <c r="F58" s="252">
        <f t="shared" si="5"/>
        <v>0</v>
      </c>
      <c r="G58" s="252">
        <f t="shared" si="5"/>
        <v>0</v>
      </c>
      <c r="H58" s="252">
        <f t="shared" si="5"/>
        <v>0.15068493150684931</v>
      </c>
      <c r="I58" s="252">
        <f t="shared" si="5"/>
        <v>1.9150684931506849</v>
      </c>
      <c r="J58" s="285">
        <f t="shared" si="5"/>
        <v>0</v>
      </c>
      <c r="K58" s="252">
        <f t="shared" ref="K58:L58" si="6">+((K45-K44)/365+((K47-K46)/365)+((K49-K48)/365)+((K51-K50)/365)+((K53-K52)/365)+((K55-K54)/365)+((K57-K56)/365))</f>
        <v>0.56164383561643838</v>
      </c>
      <c r="L58" s="285">
        <f t="shared" si="6"/>
        <v>0.43287671232876712</v>
      </c>
      <c r="M58" s="252">
        <f t="shared" ref="M58:N58" si="7">+((M45-M44)/365+((M47-M46)/365)+((M49-M48)/365)+((M51-M50)/365)+((M53-M52)/365)+((M55-M54)/365)+((M57-M56)/365))</f>
        <v>0.61095890410958908</v>
      </c>
      <c r="N58" s="252">
        <f t="shared" si="7"/>
        <v>0.24931506849315069</v>
      </c>
      <c r="O58" s="252">
        <f t="shared" ref="O58:P58" si="8">+((O45-O44)/365+((O47-O46)/365)+((O49-O48)/365)+((O51-O50)/365)+((O53-O52)/365)+((O55-O54)/365)+((O57-O56)/365))</f>
        <v>0.87397260273972599</v>
      </c>
      <c r="P58" s="252">
        <f t="shared" si="8"/>
        <v>0.16438356164383561</v>
      </c>
      <c r="Q58" s="252">
        <f t="shared" ref="Q58" si="9">+((Q45-Q44)/365+((Q47-Q46)/365)+((Q49-Q48)/365)+((Q51-Q50)/365)+((Q53-Q52)/365)+((Q55-Q54)/365)+((Q57-Q56)/365))</f>
        <v>0.38082191780821917</v>
      </c>
      <c r="R58" s="251"/>
      <c r="S58" s="252">
        <f t="shared" ref="S58:Y58" si="10">+((S45-S44)/365+((S47-S46)/365)+((S49-S48)/365)+((S51-S50)/365)+((S53-S52)/365)+((S55-S54)/365)+((S57-S56)/365))</f>
        <v>2.419178082191781</v>
      </c>
      <c r="T58" s="283">
        <f t="shared" si="10"/>
        <v>0</v>
      </c>
      <c r="U58" s="252">
        <f t="shared" si="10"/>
        <v>0</v>
      </c>
      <c r="V58" s="283">
        <f t="shared" si="10"/>
        <v>0</v>
      </c>
      <c r="W58" s="283">
        <f t="shared" si="10"/>
        <v>0</v>
      </c>
      <c r="X58" s="252">
        <f t="shared" si="10"/>
        <v>0</v>
      </c>
      <c r="Y58" s="252">
        <f t="shared" si="10"/>
        <v>0</v>
      </c>
    </row>
    <row r="59" spans="1:26" ht="239.25" customHeight="1" thickBot="1" x14ac:dyDescent="0.3">
      <c r="A59" s="216" t="s">
        <v>484</v>
      </c>
      <c r="B59" s="333" t="s">
        <v>756</v>
      </c>
      <c r="C59" s="333"/>
      <c r="D59" s="333"/>
      <c r="E59" s="333"/>
      <c r="F59" s="333"/>
      <c r="G59" s="333"/>
      <c r="H59" s="349" t="s">
        <v>761</v>
      </c>
      <c r="I59" s="349" t="s">
        <v>761</v>
      </c>
      <c r="J59" s="333" t="s">
        <v>745</v>
      </c>
      <c r="K59" s="349" t="s">
        <v>761</v>
      </c>
      <c r="L59" s="349" t="s">
        <v>761</v>
      </c>
      <c r="M59" s="349" t="s">
        <v>761</v>
      </c>
      <c r="N59" s="349" t="s">
        <v>761</v>
      </c>
      <c r="O59" s="349" t="s">
        <v>761</v>
      </c>
      <c r="P59" s="349" t="s">
        <v>761</v>
      </c>
      <c r="Q59" s="349" t="s">
        <v>761</v>
      </c>
      <c r="R59" s="251"/>
      <c r="S59" s="333" t="s">
        <v>757</v>
      </c>
      <c r="T59" s="351"/>
      <c r="U59" s="333"/>
      <c r="V59" s="333"/>
      <c r="W59" s="349"/>
      <c r="X59" s="350"/>
      <c r="Y59" s="334"/>
      <c r="Z59" s="334"/>
    </row>
    <row r="60" spans="1:26" ht="15.75" customHeight="1" thickBot="1" x14ac:dyDescent="0.3"/>
    <row r="61" spans="1:26" ht="111.75" customHeight="1" thickBot="1" x14ac:dyDescent="0.3">
      <c r="A61" s="216" t="s">
        <v>662</v>
      </c>
      <c r="B61" s="246" t="s">
        <v>591</v>
      </c>
      <c r="C61" s="246" t="s">
        <v>477</v>
      </c>
      <c r="D61" s="246" t="s">
        <v>546</v>
      </c>
      <c r="E61" s="246" t="s">
        <v>478</v>
      </c>
      <c r="F61" s="246" t="s">
        <v>550</v>
      </c>
      <c r="G61" s="246" t="s">
        <v>479</v>
      </c>
      <c r="H61" s="246" t="s">
        <v>498</v>
      </c>
      <c r="I61" s="246" t="s">
        <v>665</v>
      </c>
      <c r="J61" s="246" t="s">
        <v>762</v>
      </c>
      <c r="K61" s="246" t="s">
        <v>191</v>
      </c>
      <c r="L61" s="250"/>
      <c r="M61" s="96"/>
      <c r="N61" s="112"/>
      <c r="O61" s="112"/>
    </row>
    <row r="62" spans="1:26" ht="34.5" customHeight="1" x14ac:dyDescent="0.25">
      <c r="A62" s="620" t="s">
        <v>740</v>
      </c>
      <c r="B62" s="620" t="s">
        <v>741</v>
      </c>
      <c r="C62" s="645">
        <v>40431</v>
      </c>
      <c r="D62" s="647" t="s">
        <v>742</v>
      </c>
      <c r="E62" s="649">
        <v>40472</v>
      </c>
      <c r="F62" s="649"/>
      <c r="G62" s="649"/>
      <c r="H62" s="649"/>
      <c r="I62" s="223">
        <f>SUM(B83:H83)</f>
        <v>3.5123287671232881</v>
      </c>
      <c r="J62" s="248">
        <f>(SUM(I83:O83))</f>
        <v>4.2246575342465746</v>
      </c>
      <c r="K62" s="652"/>
      <c r="L62" s="653"/>
      <c r="M62" s="96"/>
      <c r="N62" s="112"/>
      <c r="O62" s="112"/>
    </row>
    <row r="63" spans="1:26" ht="45.95" customHeight="1" thickBot="1" x14ac:dyDescent="0.3">
      <c r="A63" s="621"/>
      <c r="B63" s="621"/>
      <c r="C63" s="646"/>
      <c r="D63" s="648"/>
      <c r="E63" s="621"/>
      <c r="F63" s="621"/>
      <c r="G63" s="621"/>
      <c r="H63" s="621"/>
      <c r="I63" s="220" t="str">
        <f>IF(I62&gt;=2,"CUMPLE","NO CUMPLE")</f>
        <v>CUMPLE</v>
      </c>
      <c r="J63" s="249">
        <f>IF(AND(J62&gt;M8,J62&lt;=N8),10,IF(AND(J62&gt;N8,J62&lt;=O8),15,IF(J62&gt;O8,20,0)))</f>
        <v>20</v>
      </c>
      <c r="K63" s="654"/>
      <c r="L63" s="655"/>
      <c r="M63" s="96"/>
      <c r="N63" s="112"/>
      <c r="O63" s="112"/>
    </row>
    <row r="64" spans="1:26" ht="28.5" customHeight="1" thickBot="1" x14ac:dyDescent="0.3">
      <c r="A64" s="162"/>
      <c r="B64" s="166"/>
      <c r="C64" s="167"/>
      <c r="D64" s="163"/>
      <c r="E64" s="163"/>
      <c r="F64" s="164"/>
      <c r="G64" s="165"/>
      <c r="H64" s="165"/>
      <c r="I64" s="113"/>
      <c r="J64" s="113"/>
      <c r="K64" s="113"/>
      <c r="L64" s="159"/>
      <c r="M64" s="160"/>
      <c r="N64" s="112"/>
      <c r="O64" s="112"/>
    </row>
    <row r="65" spans="1:24" ht="34.5" customHeight="1" thickBot="1" x14ac:dyDescent="0.3">
      <c r="A65" s="238" t="s">
        <v>480</v>
      </c>
      <c r="B65" s="239" t="s">
        <v>481</v>
      </c>
      <c r="C65" s="239" t="s">
        <v>483</v>
      </c>
      <c r="D65" s="239" t="s">
        <v>485</v>
      </c>
      <c r="E65" s="239" t="s">
        <v>486</v>
      </c>
      <c r="F65" s="239" t="s">
        <v>487</v>
      </c>
      <c r="G65" s="113"/>
      <c r="H65" s="113"/>
      <c r="I65" s="242" t="s">
        <v>506</v>
      </c>
      <c r="J65" s="242" t="s">
        <v>507</v>
      </c>
      <c r="K65" s="242" t="s">
        <v>508</v>
      </c>
      <c r="L65" s="242" t="s">
        <v>509</v>
      </c>
      <c r="M65" s="242" t="s">
        <v>510</v>
      </c>
      <c r="N65" s="242" t="s">
        <v>511</v>
      </c>
      <c r="O65" s="242" t="s">
        <v>598</v>
      </c>
      <c r="T65" s="171"/>
      <c r="U65" s="171"/>
      <c r="V65" s="171"/>
      <c r="W65" s="171"/>
      <c r="X65" s="171"/>
    </row>
    <row r="66" spans="1:24" ht="59.25" customHeight="1" x14ac:dyDescent="0.25">
      <c r="A66" s="118" t="s">
        <v>23</v>
      </c>
      <c r="B66" s="209" t="s">
        <v>672</v>
      </c>
      <c r="C66" s="255" t="s">
        <v>672</v>
      </c>
      <c r="D66" s="255" t="s">
        <v>672</v>
      </c>
      <c r="E66" s="255" t="s">
        <v>672</v>
      </c>
      <c r="F66" s="255"/>
      <c r="G66" s="113"/>
      <c r="H66" s="113"/>
      <c r="I66" s="255" t="s">
        <v>672</v>
      </c>
      <c r="J66" s="255"/>
      <c r="K66" s="282"/>
      <c r="L66" s="282"/>
      <c r="M66" s="282"/>
      <c r="N66" s="282"/>
      <c r="O66" s="282"/>
      <c r="T66" s="171"/>
      <c r="U66" s="113"/>
      <c r="V66" s="113"/>
      <c r="W66" s="113"/>
      <c r="X66" s="113"/>
    </row>
    <row r="67" spans="1:24" ht="60.75" customHeight="1" x14ac:dyDescent="0.25">
      <c r="A67" s="118" t="s">
        <v>205</v>
      </c>
      <c r="B67" s="210" t="s">
        <v>743</v>
      </c>
      <c r="C67" s="256" t="s">
        <v>735</v>
      </c>
      <c r="D67" s="256" t="s">
        <v>749</v>
      </c>
      <c r="E67" s="256" t="s">
        <v>750</v>
      </c>
      <c r="F67" s="256"/>
      <c r="G67" s="113"/>
      <c r="H67" s="113"/>
      <c r="I67" s="256" t="s">
        <v>750</v>
      </c>
      <c r="J67" s="256"/>
      <c r="K67" s="266"/>
      <c r="L67" s="266"/>
      <c r="M67" s="266"/>
      <c r="N67" s="266"/>
      <c r="O67" s="266"/>
      <c r="T67" s="171"/>
      <c r="U67" s="112"/>
      <c r="V67" s="112"/>
      <c r="W67" s="112"/>
      <c r="X67" s="112"/>
    </row>
    <row r="68" spans="1:24" ht="21.95" customHeight="1" x14ac:dyDescent="0.25">
      <c r="A68" s="118" t="s">
        <v>490</v>
      </c>
      <c r="B68" s="211">
        <v>212</v>
      </c>
      <c r="C68" s="257">
        <v>212</v>
      </c>
      <c r="D68" s="257">
        <v>213</v>
      </c>
      <c r="E68" s="257">
        <v>213</v>
      </c>
      <c r="F68" s="257"/>
      <c r="G68" s="113"/>
      <c r="H68" s="113"/>
      <c r="I68" s="214" t="s">
        <v>751</v>
      </c>
      <c r="J68" s="270"/>
      <c r="K68" s="270"/>
      <c r="L68" s="270"/>
      <c r="M68" s="270"/>
      <c r="N68" s="270"/>
      <c r="O68" s="270"/>
      <c r="T68" s="171"/>
      <c r="U68" s="112"/>
      <c r="V68" s="112"/>
      <c r="W68" s="112"/>
      <c r="X68" s="112"/>
    </row>
    <row r="69" spans="1:24" ht="15.75" x14ac:dyDescent="0.25">
      <c r="A69" s="118" t="s">
        <v>499</v>
      </c>
      <c r="B69" s="212">
        <v>40402</v>
      </c>
      <c r="C69" s="258">
        <v>41254</v>
      </c>
      <c r="D69" s="258">
        <v>41374</v>
      </c>
      <c r="E69" s="258">
        <v>41614</v>
      </c>
      <c r="F69" s="258"/>
      <c r="G69" s="113"/>
      <c r="H69" s="113"/>
      <c r="I69" s="215">
        <v>41957</v>
      </c>
      <c r="J69" s="266"/>
      <c r="K69" s="266"/>
      <c r="L69" s="266"/>
      <c r="M69" s="266"/>
      <c r="N69" s="266"/>
      <c r="O69" s="266"/>
      <c r="T69" s="171"/>
      <c r="U69" s="116"/>
      <c r="V69" s="116"/>
      <c r="W69" s="116"/>
      <c r="X69" s="116"/>
    </row>
    <row r="70" spans="1:24" ht="15.75" x14ac:dyDescent="0.25">
      <c r="A70" s="118" t="s">
        <v>554</v>
      </c>
      <c r="B70" s="212">
        <v>41152</v>
      </c>
      <c r="C70" s="258">
        <v>41284</v>
      </c>
      <c r="D70" s="258">
        <v>41639</v>
      </c>
      <c r="E70" s="258">
        <v>41851</v>
      </c>
      <c r="F70" s="258"/>
      <c r="G70" s="113"/>
      <c r="H70" s="113"/>
      <c r="I70" s="215">
        <v>42183</v>
      </c>
      <c r="J70" s="266"/>
      <c r="K70" s="266"/>
      <c r="L70" s="266"/>
      <c r="M70" s="266"/>
      <c r="N70" s="266"/>
      <c r="O70" s="266"/>
      <c r="T70" s="171"/>
      <c r="U70" s="116"/>
      <c r="V70" s="116"/>
      <c r="W70" s="116"/>
      <c r="X70" s="116"/>
    </row>
    <row r="71" spans="1:24" ht="15.75" x14ac:dyDescent="0.25">
      <c r="A71" s="118" t="s">
        <v>500</v>
      </c>
      <c r="B71" s="258"/>
      <c r="C71" s="258"/>
      <c r="D71" s="258"/>
      <c r="E71" s="254"/>
      <c r="F71" s="258"/>
      <c r="G71" s="113"/>
      <c r="H71" s="113"/>
      <c r="I71" s="266">
        <v>42198</v>
      </c>
      <c r="J71" s="266"/>
      <c r="K71" s="266"/>
      <c r="L71" s="266"/>
      <c r="M71" s="266"/>
      <c r="N71" s="266"/>
      <c r="O71" s="266"/>
      <c r="T71" s="171"/>
      <c r="U71" s="116"/>
      <c r="V71" s="116"/>
      <c r="W71" s="116"/>
      <c r="X71" s="116"/>
    </row>
    <row r="72" spans="1:24" ht="15.75" x14ac:dyDescent="0.25">
      <c r="A72" s="118" t="s">
        <v>555</v>
      </c>
      <c r="B72" s="258"/>
      <c r="C72" s="258"/>
      <c r="D72" s="258"/>
      <c r="E72" s="254"/>
      <c r="F72" s="258"/>
      <c r="G72" s="113"/>
      <c r="H72" s="113"/>
      <c r="I72" s="266">
        <v>42412</v>
      </c>
      <c r="J72" s="266"/>
      <c r="K72" s="266"/>
      <c r="L72" s="266"/>
      <c r="M72" s="266"/>
      <c r="N72" s="266"/>
      <c r="O72" s="266"/>
      <c r="T72" s="171"/>
      <c r="U72" s="116"/>
      <c r="V72" s="116"/>
      <c r="W72" s="116"/>
      <c r="X72" s="116"/>
    </row>
    <row r="73" spans="1:24" ht="15.75" x14ac:dyDescent="0.25">
      <c r="A73" s="118" t="s">
        <v>501</v>
      </c>
      <c r="B73" s="258"/>
      <c r="C73" s="258"/>
      <c r="D73" s="258"/>
      <c r="E73" s="254"/>
      <c r="F73" s="258"/>
      <c r="G73" s="113"/>
      <c r="H73" s="113"/>
      <c r="I73" s="266">
        <v>42413</v>
      </c>
      <c r="J73" s="266"/>
      <c r="K73" s="266"/>
      <c r="L73" s="266"/>
      <c r="M73" s="266"/>
      <c r="N73" s="266"/>
      <c r="O73" s="266"/>
      <c r="T73" s="171"/>
      <c r="U73" s="116"/>
      <c r="V73" s="116"/>
      <c r="W73" s="116"/>
      <c r="X73" s="116"/>
    </row>
    <row r="74" spans="1:24" ht="15.75" x14ac:dyDescent="0.25">
      <c r="A74" s="118" t="s">
        <v>556</v>
      </c>
      <c r="B74" s="258"/>
      <c r="C74" s="258"/>
      <c r="D74" s="258"/>
      <c r="E74" s="254"/>
      <c r="F74" s="258"/>
      <c r="G74" s="113"/>
      <c r="H74" s="113"/>
      <c r="I74" s="266">
        <v>43515</v>
      </c>
      <c r="J74" s="266"/>
      <c r="K74" s="266"/>
      <c r="L74" s="266"/>
      <c r="M74" s="266"/>
      <c r="N74" s="266"/>
      <c r="O74" s="266"/>
      <c r="T74" s="171"/>
      <c r="U74" s="116"/>
      <c r="V74" s="116"/>
      <c r="W74" s="116"/>
      <c r="X74" s="116"/>
    </row>
    <row r="75" spans="1:24" ht="15.75" x14ac:dyDescent="0.25">
      <c r="A75" s="118" t="s">
        <v>502</v>
      </c>
      <c r="B75" s="258"/>
      <c r="C75" s="258"/>
      <c r="D75" s="258"/>
      <c r="E75" s="254"/>
      <c r="F75" s="258"/>
      <c r="G75" s="113"/>
      <c r="H75" s="113"/>
      <c r="I75" s="266"/>
      <c r="J75" s="266"/>
      <c r="K75" s="266"/>
      <c r="L75" s="266"/>
      <c r="M75" s="266"/>
      <c r="N75" s="266"/>
      <c r="O75" s="266"/>
      <c r="T75" s="171"/>
      <c r="U75" s="116"/>
      <c r="V75" s="116"/>
      <c r="W75" s="116"/>
      <c r="X75" s="116"/>
    </row>
    <row r="76" spans="1:24" ht="15.75" x14ac:dyDescent="0.25">
      <c r="A76" s="118" t="s">
        <v>557</v>
      </c>
      <c r="B76" s="258"/>
      <c r="C76" s="258"/>
      <c r="D76" s="258"/>
      <c r="E76" s="254"/>
      <c r="F76" s="258"/>
      <c r="G76" s="113"/>
      <c r="H76" s="113"/>
      <c r="I76" s="266"/>
      <c r="J76" s="266"/>
      <c r="K76" s="266"/>
      <c r="L76" s="266"/>
      <c r="M76" s="266"/>
      <c r="N76" s="266"/>
      <c r="O76" s="266"/>
      <c r="T76" s="171"/>
      <c r="U76" s="116"/>
      <c r="V76" s="116"/>
      <c r="W76" s="116"/>
      <c r="X76" s="116"/>
    </row>
    <row r="77" spans="1:24" ht="15.75" x14ac:dyDescent="0.25">
      <c r="A77" s="118" t="s">
        <v>503</v>
      </c>
      <c r="B77" s="258"/>
      <c r="C77" s="258"/>
      <c r="D77" s="258"/>
      <c r="E77" s="258"/>
      <c r="F77" s="258"/>
      <c r="G77" s="113"/>
      <c r="H77" s="113"/>
      <c r="I77" s="266"/>
      <c r="J77" s="266"/>
      <c r="K77" s="266"/>
      <c r="L77" s="266"/>
      <c r="M77" s="266"/>
      <c r="N77" s="266"/>
      <c r="O77" s="266"/>
      <c r="T77" s="171"/>
      <c r="U77" s="116"/>
      <c r="V77" s="116"/>
      <c r="W77" s="116"/>
      <c r="X77" s="116"/>
    </row>
    <row r="78" spans="1:24" ht="15.75" x14ac:dyDescent="0.25">
      <c r="A78" s="118" t="s">
        <v>558</v>
      </c>
      <c r="B78" s="258"/>
      <c r="C78" s="258"/>
      <c r="D78" s="258"/>
      <c r="E78" s="258"/>
      <c r="F78" s="258"/>
      <c r="G78" s="113"/>
      <c r="H78" s="113"/>
      <c r="I78" s="266"/>
      <c r="J78" s="266"/>
      <c r="K78" s="266"/>
      <c r="L78" s="266"/>
      <c r="M78" s="266"/>
      <c r="N78" s="266"/>
      <c r="O78" s="266"/>
      <c r="T78" s="171"/>
      <c r="U78" s="116"/>
      <c r="V78" s="116"/>
      <c r="W78" s="116"/>
      <c r="X78" s="116"/>
    </row>
    <row r="79" spans="1:24" ht="15.75" x14ac:dyDescent="0.25">
      <c r="A79" s="118" t="s">
        <v>559</v>
      </c>
      <c r="B79" s="258"/>
      <c r="C79" s="258"/>
      <c r="D79" s="258"/>
      <c r="E79" s="258"/>
      <c r="F79" s="258"/>
      <c r="G79" s="113"/>
      <c r="H79" s="113"/>
      <c r="I79" s="266"/>
      <c r="J79" s="266"/>
      <c r="K79" s="266"/>
      <c r="L79" s="266"/>
      <c r="M79" s="266"/>
      <c r="N79" s="266"/>
      <c r="O79" s="266"/>
      <c r="T79" s="171"/>
      <c r="U79" s="116"/>
      <c r="V79" s="116"/>
      <c r="W79" s="116"/>
      <c r="X79" s="116"/>
    </row>
    <row r="80" spans="1:24" ht="15.75" x14ac:dyDescent="0.25">
      <c r="A80" s="118" t="s">
        <v>560</v>
      </c>
      <c r="B80" s="258"/>
      <c r="C80" s="258"/>
      <c r="D80" s="258"/>
      <c r="E80" s="258"/>
      <c r="F80" s="258"/>
      <c r="G80" s="113"/>
      <c r="H80" s="113"/>
      <c r="I80" s="266"/>
      <c r="J80" s="266"/>
      <c r="K80" s="266"/>
      <c r="L80" s="266"/>
      <c r="M80" s="266"/>
      <c r="N80" s="266"/>
      <c r="O80" s="266"/>
      <c r="T80" s="171"/>
      <c r="U80" s="116"/>
      <c r="V80" s="116"/>
      <c r="W80" s="116"/>
      <c r="X80" s="116"/>
    </row>
    <row r="81" spans="1:24" ht="15.75" x14ac:dyDescent="0.25">
      <c r="A81" s="118" t="s">
        <v>561</v>
      </c>
      <c r="B81" s="258"/>
      <c r="C81" s="258"/>
      <c r="D81" s="258"/>
      <c r="E81" s="258"/>
      <c r="F81" s="258"/>
      <c r="G81" s="113"/>
      <c r="H81" s="113"/>
      <c r="I81" s="266"/>
      <c r="J81" s="266"/>
      <c r="K81" s="266"/>
      <c r="L81" s="266"/>
      <c r="M81" s="266"/>
      <c r="N81" s="266"/>
      <c r="O81" s="266"/>
      <c r="T81" s="171"/>
      <c r="U81" s="116"/>
      <c r="V81" s="116"/>
      <c r="W81" s="116"/>
      <c r="X81" s="116"/>
    </row>
    <row r="82" spans="1:24" ht="16.5" thickBot="1" x14ac:dyDescent="0.3">
      <c r="A82" s="118" t="s">
        <v>562</v>
      </c>
      <c r="B82" s="258"/>
      <c r="C82" s="258"/>
      <c r="D82" s="258"/>
      <c r="E82" s="258"/>
      <c r="F82" s="258"/>
      <c r="G82" s="113"/>
      <c r="H82" s="113"/>
      <c r="I82" s="266"/>
      <c r="J82" s="266"/>
      <c r="K82" s="266"/>
      <c r="L82" s="266"/>
      <c r="M82" s="266"/>
      <c r="N82" s="266"/>
      <c r="O82" s="266"/>
      <c r="T82" s="171"/>
      <c r="U82" s="116"/>
      <c r="V82" s="116"/>
      <c r="W82" s="116"/>
      <c r="X82" s="116"/>
    </row>
    <row r="83" spans="1:24" ht="36" customHeight="1" thickBot="1" x14ac:dyDescent="0.3">
      <c r="A83" s="238" t="s">
        <v>482</v>
      </c>
      <c r="B83" s="252">
        <f>+((B70-B69)/365+((B72-B71)/365)+((B74-B73)/365)+((B76-B75)/365)+((B78-B77)/365)+((B80-B79)/365)+((B82-B81)/365))</f>
        <v>2.0547945205479454</v>
      </c>
      <c r="C83" s="252">
        <f t="shared" ref="C83:F83" si="11">+((C70-C69)/365+((C72-C71)/365)+((C74-C73)/365)+((C76-C75)/365)+((C78-C77)/365)+((C80-C79)/365)+((C82-C81)/365))</f>
        <v>8.2191780821917804E-2</v>
      </c>
      <c r="D83" s="252">
        <f t="shared" si="11"/>
        <v>0.72602739726027399</v>
      </c>
      <c r="E83" s="252">
        <f t="shared" si="11"/>
        <v>0.64931506849315068</v>
      </c>
      <c r="F83" s="252">
        <f t="shared" si="11"/>
        <v>0</v>
      </c>
      <c r="G83" s="113"/>
      <c r="H83" s="113"/>
      <c r="I83" s="285">
        <f>+((I70-I69)/365+((I72-I71)/365)+((I74-I73)/365)+((I76-I75)/365)+((I78-I77)/365)+((I80-I79)/365)+((I82-I81)/365))</f>
        <v>4.2246575342465746</v>
      </c>
      <c r="J83" s="285">
        <f t="shared" ref="J83:O83" si="12">+((J70-J69)/365+((J72-J71)/365)+((J74-J73)/365)+((J76-J75)/365)+((J78-J77)/365)+((J80-J79)/365)+((J82-J81)/365))</f>
        <v>0</v>
      </c>
      <c r="K83" s="285">
        <f t="shared" si="12"/>
        <v>0</v>
      </c>
      <c r="L83" s="285">
        <f t="shared" si="12"/>
        <v>0</v>
      </c>
      <c r="M83" s="285">
        <f t="shared" si="12"/>
        <v>0</v>
      </c>
      <c r="N83" s="285">
        <f t="shared" si="12"/>
        <v>0</v>
      </c>
      <c r="O83" s="285">
        <f t="shared" si="12"/>
        <v>0</v>
      </c>
      <c r="T83" s="171"/>
      <c r="U83" s="160"/>
      <c r="V83" s="160"/>
      <c r="W83" s="160"/>
      <c r="X83" s="160"/>
    </row>
    <row r="84" spans="1:24" ht="105.75" customHeight="1" thickBot="1" x14ac:dyDescent="0.3">
      <c r="A84" s="216" t="s">
        <v>484</v>
      </c>
      <c r="B84" s="259"/>
      <c r="C84" s="259"/>
      <c r="D84" s="259"/>
      <c r="E84" s="259"/>
      <c r="F84" s="247"/>
      <c r="G84" s="113"/>
      <c r="H84" s="113"/>
      <c r="I84" s="247" t="s">
        <v>752</v>
      </c>
      <c r="J84" s="247"/>
      <c r="K84" s="247"/>
      <c r="L84" s="247"/>
      <c r="M84" s="247"/>
      <c r="N84" s="247"/>
      <c r="O84" s="247"/>
      <c r="T84" s="171"/>
      <c r="U84" s="168"/>
      <c r="V84" s="168"/>
      <c r="W84" s="160"/>
      <c r="X84" s="160"/>
    </row>
    <row r="85" spans="1:24" ht="15.75" x14ac:dyDescent="0.25">
      <c r="G85" s="113"/>
      <c r="H85" s="113"/>
      <c r="I85" s="113"/>
      <c r="J85" s="113"/>
      <c r="K85" s="113"/>
    </row>
    <row r="86" spans="1:24" ht="15.75" x14ac:dyDescent="0.25">
      <c r="A86" s="113"/>
      <c r="B86" s="113"/>
      <c r="C86" s="113"/>
      <c r="D86" s="113"/>
      <c r="E86" s="113"/>
      <c r="F86" s="113"/>
      <c r="G86" s="113"/>
      <c r="H86" s="113"/>
      <c r="I86" s="113"/>
      <c r="J86" s="113"/>
      <c r="K86" s="113"/>
      <c r="L86" s="113"/>
      <c r="M86" s="113"/>
      <c r="N86" s="113"/>
      <c r="O86" s="112"/>
      <c r="P86" s="112"/>
      <c r="Q86" s="112"/>
      <c r="R86" s="112"/>
      <c r="S86" s="112"/>
      <c r="T86" s="112"/>
    </row>
  </sheetData>
  <mergeCells count="48">
    <mergeCell ref="H37:H38"/>
    <mergeCell ref="L37:M38"/>
    <mergeCell ref="A62:A63"/>
    <mergeCell ref="B62:B63"/>
    <mergeCell ref="C62:C63"/>
    <mergeCell ref="D62:D63"/>
    <mergeCell ref="C37:C38"/>
    <mergeCell ref="D37:D38"/>
    <mergeCell ref="E37:E38"/>
    <mergeCell ref="F37:F38"/>
    <mergeCell ref="G37:G38"/>
    <mergeCell ref="E62:E63"/>
    <mergeCell ref="F62:F63"/>
    <mergeCell ref="G62:G63"/>
    <mergeCell ref="H62:H63"/>
    <mergeCell ref="K62:L63"/>
    <mergeCell ref="L36:M36"/>
    <mergeCell ref="A12:A13"/>
    <mergeCell ref="B12:B13"/>
    <mergeCell ref="C12:C13"/>
    <mergeCell ref="D12:D13"/>
    <mergeCell ref="E12:E13"/>
    <mergeCell ref="F12:F13"/>
    <mergeCell ref="G12:G13"/>
    <mergeCell ref="H12:H13"/>
    <mergeCell ref="A37:A38"/>
    <mergeCell ref="B37:B38"/>
    <mergeCell ref="L11:N11"/>
    <mergeCell ref="L12:N13"/>
    <mergeCell ref="O7:Q7"/>
    <mergeCell ref="A7:B7"/>
    <mergeCell ref="C7:C8"/>
    <mergeCell ref="D7:D8"/>
    <mergeCell ref="E7:E8"/>
    <mergeCell ref="F7:F8"/>
    <mergeCell ref="G7:G8"/>
    <mergeCell ref="A8:B9"/>
    <mergeCell ref="J7:J8"/>
    <mergeCell ref="K7:K8"/>
    <mergeCell ref="H7:H8"/>
    <mergeCell ref="L9:M10"/>
    <mergeCell ref="I7:I8"/>
    <mergeCell ref="A6:N6"/>
    <mergeCell ref="B1:Q1"/>
    <mergeCell ref="B2:Q2"/>
    <mergeCell ref="B3:Q3"/>
    <mergeCell ref="B4:Q4"/>
    <mergeCell ref="B5:Q5"/>
  </mergeCells>
  <conditionalFormatting sqref="I13:J13">
    <cfRule type="containsText" dxfId="47" priority="58" operator="containsText" text="NO CUMPLE">
      <formula>NOT(ISERROR(SEARCH("NO CUMPLE",I13)))</formula>
    </cfRule>
    <cfRule type="containsText" dxfId="46" priority="59" operator="containsText" text="CUMPLE">
      <formula>NOT(ISERROR(SEARCH("CUMPLE",I13)))</formula>
    </cfRule>
  </conditionalFormatting>
  <conditionalFormatting sqref="I63">
    <cfRule type="containsText" dxfId="45" priority="54" operator="containsText" text="NO CUMPLE">
      <formula>NOT(ISERROR(SEARCH("NO CUMPLE",I63)))</formula>
    </cfRule>
    <cfRule type="containsText" dxfId="44" priority="55" operator="containsText" text="CUMPLE">
      <formula>NOT(ISERROR(SEARCH("CUMPLE",I63)))</formula>
    </cfRule>
  </conditionalFormatting>
  <conditionalFormatting sqref="D9">
    <cfRule type="containsText" dxfId="43" priority="52" operator="containsText" text="NO HABILITADO">
      <formula>NOT(ISERROR(SEARCH("NO HABILITADO",D9)))</formula>
    </cfRule>
    <cfRule type="containsText" dxfId="42" priority="53" operator="containsText" text="HABILITADO">
      <formula>NOT(ISERROR(SEARCH("HABILITADO",D9)))</formula>
    </cfRule>
  </conditionalFormatting>
  <conditionalFormatting sqref="E9:G9 J9:K9">
    <cfRule type="containsText" dxfId="41" priority="50" operator="containsText" text="NO HABILITADO">
      <formula>NOT(ISERROR(SEARCH("NO HABILITADO",E9)))</formula>
    </cfRule>
    <cfRule type="containsText" dxfId="40" priority="51" operator="containsText" text="HABILITADO">
      <formula>NOT(ISERROR(SEARCH("HABILITADO",E9)))</formula>
    </cfRule>
  </conditionalFormatting>
  <conditionalFormatting sqref="I38">
    <cfRule type="containsText" dxfId="39" priority="48" operator="containsText" text="NO CUMPLE">
      <formula>NOT(ISERROR(SEARCH("NO CUMPLE",I38)))</formula>
    </cfRule>
    <cfRule type="containsText" dxfId="38" priority="49" operator="containsText" text="CUMPLE">
      <formula>NOT(ISERROR(SEARCH("CUMPLE",I38)))</formula>
    </cfRule>
  </conditionalFormatting>
  <conditionalFormatting sqref="I64:K64">
    <cfRule type="containsText" dxfId="37" priority="46" operator="containsText" text="NO CUMPLE">
      <formula>NOT(ISERROR(SEARCH("NO CUMPLE",I64)))</formula>
    </cfRule>
    <cfRule type="containsText" dxfId="36" priority="47" operator="containsText" text="CUMPLE">
      <formula>NOT(ISERROR(SEARCH("CUMPLE",I64)))</formula>
    </cfRule>
  </conditionalFormatting>
  <conditionalFormatting sqref="L64">
    <cfRule type="cellIs" dxfId="35" priority="44" operator="lessThanOrEqual">
      <formula>0</formula>
    </cfRule>
    <cfRule type="cellIs" dxfId="34" priority="45" operator="greaterThan">
      <formula>0</formula>
    </cfRule>
  </conditionalFormatting>
  <conditionalFormatting sqref="K13">
    <cfRule type="cellIs" dxfId="33" priority="42" operator="lessThanOrEqual">
      <formula>0</formula>
    </cfRule>
    <cfRule type="cellIs" dxfId="32" priority="43" operator="greaterThan">
      <formula>0</formula>
    </cfRule>
  </conditionalFormatting>
  <conditionalFormatting sqref="J38">
    <cfRule type="containsText" dxfId="31" priority="38" operator="containsText" text="NO CUMPLE">
      <formula>NOT(ISERROR(SEARCH("NO CUMPLE",J38)))</formula>
    </cfRule>
    <cfRule type="containsText" dxfId="30" priority="39" operator="containsText" text="CUMPLE">
      <formula>NOT(ISERROR(SEARCH("CUMPLE",J38)))</formula>
    </cfRule>
  </conditionalFormatting>
  <conditionalFormatting sqref="K38">
    <cfRule type="cellIs" dxfId="29" priority="36" operator="lessThanOrEqual">
      <formula>0</formula>
    </cfRule>
    <cfRule type="cellIs" dxfId="28" priority="37" operator="greaterThan">
      <formula>0</formula>
    </cfRule>
  </conditionalFormatting>
  <conditionalFormatting sqref="A12:H13">
    <cfRule type="cellIs" dxfId="27" priority="31" operator="equal">
      <formula>0</formula>
    </cfRule>
  </conditionalFormatting>
  <conditionalFormatting sqref="B16:B20">
    <cfRule type="cellIs" dxfId="26" priority="29" operator="equal">
      <formula>0</formula>
    </cfRule>
  </conditionalFormatting>
  <conditionalFormatting sqref="G16:G20">
    <cfRule type="cellIs" dxfId="25" priority="28" operator="equal">
      <formula>0</formula>
    </cfRule>
  </conditionalFormatting>
  <conditionalFormatting sqref="L16:L20">
    <cfRule type="cellIs" dxfId="24" priority="27" operator="equal">
      <formula>0</formula>
    </cfRule>
  </conditionalFormatting>
  <conditionalFormatting sqref="B66:B70">
    <cfRule type="cellIs" dxfId="23" priority="23" operator="equal">
      <formula>0</formula>
    </cfRule>
  </conditionalFormatting>
  <conditionalFormatting sqref="A62:H63">
    <cfRule type="cellIs" dxfId="22" priority="15" operator="equal">
      <formula>0</formula>
    </cfRule>
  </conditionalFormatting>
  <conditionalFormatting sqref="I68:I70">
    <cfRule type="cellIs" dxfId="21" priority="18" operator="equal">
      <formula>0</formula>
    </cfRule>
  </conditionalFormatting>
  <conditionalFormatting sqref="A37:H38">
    <cfRule type="cellIs" dxfId="20" priority="16" operator="equal">
      <formula>0</formula>
    </cfRule>
  </conditionalFormatting>
  <conditionalFormatting sqref="H9">
    <cfRule type="cellIs" dxfId="19" priority="13" operator="greaterThan">
      <formula>0</formula>
    </cfRule>
  </conditionalFormatting>
  <conditionalFormatting sqref="I9">
    <cfRule type="containsText" dxfId="18" priority="11" operator="containsText" text="NO HABILITADO">
      <formula>NOT(ISERROR(SEARCH("NO HABILITADO",I9)))</formula>
    </cfRule>
    <cfRule type="containsText" dxfId="17" priority="12" operator="containsText" text="HABILITADO">
      <formula>NOT(ISERROR(SEARCH("HABILITADO",I9)))</formula>
    </cfRule>
  </conditionalFormatting>
  <conditionalFormatting sqref="J63">
    <cfRule type="cellIs" dxfId="16" priority="9" operator="lessThanOrEqual">
      <formula>0</formula>
    </cfRule>
    <cfRule type="cellIs" dxfId="15" priority="10" operator="greaterThan">
      <formula>0</formula>
    </cfRule>
  </conditionalFormatting>
  <conditionalFormatting sqref="B34">
    <cfRule type="cellIs" dxfId="14" priority="8" operator="equal">
      <formula>0</formula>
    </cfRule>
  </conditionalFormatting>
  <conditionalFormatting sqref="G34">
    <cfRule type="cellIs" dxfId="13" priority="7" operator="equal">
      <formula>0</formula>
    </cfRule>
  </conditionalFormatting>
  <conditionalFormatting sqref="L34">
    <cfRule type="cellIs" dxfId="12" priority="6" operator="equal">
      <formula>0</formula>
    </cfRule>
  </conditionalFormatting>
  <conditionalFormatting sqref="I41:I45">
    <cfRule type="cellIs" dxfId="11" priority="4" operator="equal">
      <formula>0</formula>
    </cfRule>
  </conditionalFormatting>
  <conditionalFormatting sqref="H41:H45">
    <cfRule type="cellIs" dxfId="10" priority="3" operator="equal">
      <formula>0</formula>
    </cfRule>
  </conditionalFormatting>
  <pageMargins left="0" right="0" top="0.55118110236220474" bottom="0.35433070866141736" header="0.31496062992125984" footer="0.31496062992125984"/>
  <pageSetup paperSize="5" scale="45" fitToWidth="0" fitToHeight="0" orientation="landscape"/>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AF23"/>
  <sheetViews>
    <sheetView view="pageBreakPreview" topLeftCell="A4" zoomScaleSheetLayoutView="100" workbookViewId="0">
      <selection activeCell="H32" sqref="H32"/>
    </sheetView>
  </sheetViews>
  <sheetFormatPr baseColWidth="10" defaultColWidth="11.42578125" defaultRowHeight="15" x14ac:dyDescent="0.25"/>
  <cols>
    <col min="1" max="1" width="3.42578125" style="119" bestFit="1" customWidth="1"/>
    <col min="2" max="2" width="21.85546875" style="119" customWidth="1"/>
    <col min="3" max="3" width="12.28515625" style="109" customWidth="1"/>
    <col min="4" max="4" width="46.42578125" style="109" customWidth="1"/>
    <col min="5" max="5" width="8.140625" style="119" customWidth="1"/>
    <col min="6" max="6" width="17.42578125" style="109" customWidth="1"/>
    <col min="7" max="7" width="25.7109375" style="119" customWidth="1"/>
    <col min="8" max="8" width="10.7109375" style="119" customWidth="1"/>
    <col min="9" max="9" width="15.140625" style="119" customWidth="1"/>
    <col min="10" max="10" width="8.42578125" style="119" customWidth="1"/>
    <col min="11" max="16384" width="11.42578125" style="119"/>
  </cols>
  <sheetData>
    <row r="1" spans="1:32" s="147" customFormat="1" ht="19.5" x14ac:dyDescent="0.25">
      <c r="C1" s="618" t="s">
        <v>542</v>
      </c>
      <c r="D1" s="618"/>
      <c r="E1" s="618"/>
      <c r="F1" s="618"/>
      <c r="G1" s="618"/>
      <c r="H1" s="618"/>
      <c r="I1" s="618"/>
      <c r="J1" s="618"/>
      <c r="K1" s="161"/>
      <c r="L1" s="161"/>
      <c r="M1" s="161"/>
      <c r="N1" s="161"/>
      <c r="O1" s="161"/>
      <c r="P1" s="161"/>
      <c r="Q1" s="161"/>
      <c r="R1" s="148"/>
      <c r="S1" s="148"/>
      <c r="T1" s="148"/>
    </row>
    <row r="2" spans="1:32" s="147" customFormat="1" ht="19.5" x14ac:dyDescent="0.25">
      <c r="C2" s="618" t="s">
        <v>518</v>
      </c>
      <c r="D2" s="618"/>
      <c r="E2" s="618"/>
      <c r="F2" s="618"/>
      <c r="G2" s="618"/>
      <c r="H2" s="618"/>
      <c r="I2" s="618"/>
      <c r="J2" s="618"/>
      <c r="K2" s="161"/>
      <c r="L2" s="161"/>
      <c r="M2" s="161"/>
      <c r="N2" s="161"/>
      <c r="O2" s="161"/>
      <c r="P2" s="161"/>
      <c r="Q2" s="161"/>
      <c r="R2" s="148"/>
      <c r="S2" s="148"/>
      <c r="T2" s="148"/>
    </row>
    <row r="3" spans="1:32" s="147" customFormat="1" ht="19.5" x14ac:dyDescent="0.25">
      <c r="C3" s="618" t="s">
        <v>543</v>
      </c>
      <c r="D3" s="618"/>
      <c r="E3" s="618"/>
      <c r="F3" s="618"/>
      <c r="G3" s="618"/>
      <c r="H3" s="618"/>
      <c r="I3" s="618"/>
      <c r="J3" s="618"/>
      <c r="K3" s="161"/>
      <c r="L3" s="161"/>
      <c r="M3" s="161"/>
      <c r="N3" s="161"/>
      <c r="O3" s="161"/>
      <c r="P3" s="161"/>
      <c r="Q3" s="161"/>
      <c r="R3" s="148"/>
      <c r="S3" s="148"/>
      <c r="T3" s="148"/>
    </row>
    <row r="4" spans="1:32" s="147" customFormat="1" ht="19.5" x14ac:dyDescent="0.25">
      <c r="C4" s="618" t="s">
        <v>606</v>
      </c>
      <c r="D4" s="618"/>
      <c r="E4" s="618"/>
      <c r="F4" s="618"/>
      <c r="G4" s="618"/>
      <c r="H4" s="618"/>
      <c r="I4" s="618"/>
      <c r="J4" s="618"/>
      <c r="K4" s="161"/>
      <c r="L4" s="161"/>
      <c r="M4" s="161"/>
      <c r="N4" s="161"/>
      <c r="O4" s="161"/>
      <c r="P4" s="161"/>
      <c r="Q4" s="161"/>
      <c r="R4" s="148"/>
      <c r="S4" s="148"/>
      <c r="T4" s="148"/>
    </row>
    <row r="5" spans="1:32" s="147" customFormat="1" ht="19.5" x14ac:dyDescent="0.25">
      <c r="C5" s="618" t="s">
        <v>567</v>
      </c>
      <c r="D5" s="618"/>
      <c r="E5" s="618"/>
      <c r="F5" s="618"/>
      <c r="G5" s="618"/>
      <c r="H5" s="618"/>
      <c r="I5" s="618"/>
      <c r="J5" s="618"/>
      <c r="K5" s="161"/>
      <c r="L5" s="161"/>
      <c r="M5" s="161"/>
      <c r="N5" s="161"/>
      <c r="O5" s="161"/>
      <c r="P5" s="161"/>
      <c r="Q5" s="161"/>
      <c r="R5" s="148"/>
      <c r="S5" s="148"/>
      <c r="T5" s="148"/>
    </row>
    <row r="6" spans="1:32" s="181" customFormat="1" ht="12.75" x14ac:dyDescent="0.25">
      <c r="C6" s="137"/>
      <c r="D6" s="137"/>
      <c r="E6" s="152"/>
      <c r="F6" s="137"/>
      <c r="G6" s="152"/>
      <c r="H6" s="152"/>
      <c r="I6" s="152"/>
      <c r="J6" s="152"/>
      <c r="K6" s="152"/>
      <c r="L6" s="152"/>
      <c r="M6" s="152"/>
      <c r="N6" s="152"/>
      <c r="O6" s="152"/>
      <c r="P6" s="152"/>
      <c r="Q6" s="152"/>
      <c r="R6" s="137"/>
      <c r="S6" s="137"/>
      <c r="T6" s="137"/>
    </row>
    <row r="7" spans="1:32" s="109" customFormat="1" ht="15.75" thickBot="1" x14ac:dyDescent="0.3">
      <c r="A7" s="182"/>
      <c r="B7" s="182"/>
      <c r="C7" s="182"/>
      <c r="D7" s="182"/>
      <c r="E7" s="182"/>
      <c r="F7" s="182"/>
      <c r="G7" s="182"/>
      <c r="H7" s="182"/>
      <c r="I7" s="182"/>
      <c r="J7" s="182"/>
      <c r="K7" s="182"/>
      <c r="L7" s="182"/>
      <c r="M7" s="182"/>
      <c r="N7" s="182"/>
    </row>
    <row r="8" spans="1:32" s="135" customFormat="1" ht="17.25" x14ac:dyDescent="0.25">
      <c r="A8" s="670" t="s">
        <v>519</v>
      </c>
      <c r="B8" s="671"/>
      <c r="C8" s="671"/>
      <c r="D8" s="672"/>
      <c r="E8" s="679" t="s">
        <v>578</v>
      </c>
      <c r="F8" s="680"/>
      <c r="G8" s="178"/>
      <c r="H8" s="178"/>
      <c r="I8" s="140"/>
      <c r="J8" s="140"/>
      <c r="K8" s="140"/>
      <c r="L8" s="685"/>
      <c r="M8" s="685"/>
      <c r="N8" s="685"/>
      <c r="O8" s="685"/>
      <c r="P8" s="685"/>
      <c r="Q8" s="685"/>
      <c r="R8" s="178"/>
      <c r="S8" s="178"/>
      <c r="T8" s="178"/>
      <c r="U8" s="178"/>
      <c r="V8" s="178"/>
      <c r="W8" s="178"/>
      <c r="X8" s="178"/>
      <c r="Y8" s="178"/>
      <c r="Z8" s="178"/>
      <c r="AA8" s="178"/>
      <c r="AB8" s="178"/>
      <c r="AC8" s="178"/>
      <c r="AD8" s="178"/>
      <c r="AE8" s="178"/>
      <c r="AF8" s="178"/>
    </row>
    <row r="9" spans="1:32" s="136" customFormat="1" x14ac:dyDescent="0.25">
      <c r="A9" s="673" t="s">
        <v>613</v>
      </c>
      <c r="B9" s="674"/>
      <c r="C9" s="674"/>
      <c r="D9" s="675"/>
      <c r="E9" s="681"/>
      <c r="F9" s="682"/>
      <c r="G9" s="138"/>
      <c r="H9" s="139"/>
      <c r="I9" s="138"/>
      <c r="J9" s="138"/>
      <c r="K9" s="139"/>
      <c r="L9" s="138"/>
      <c r="M9" s="138"/>
      <c r="N9" s="139"/>
      <c r="O9" s="138"/>
      <c r="P9" s="138"/>
      <c r="Q9" s="139"/>
      <c r="R9" s="138"/>
      <c r="S9" s="138"/>
      <c r="T9" s="139"/>
      <c r="U9" s="138"/>
      <c r="V9" s="138"/>
      <c r="W9" s="139"/>
      <c r="X9" s="138"/>
      <c r="Y9" s="138"/>
      <c r="Z9" s="139"/>
      <c r="AA9" s="138"/>
      <c r="AB9" s="138"/>
      <c r="AC9" s="139"/>
      <c r="AD9" s="138"/>
      <c r="AE9" s="138"/>
      <c r="AF9" s="139"/>
    </row>
    <row r="10" spans="1:32" s="181" customFormat="1" ht="33" customHeight="1" thickBot="1" x14ac:dyDescent="0.3">
      <c r="A10" s="676"/>
      <c r="B10" s="677"/>
      <c r="C10" s="677"/>
      <c r="D10" s="678"/>
      <c r="E10" s="683" t="e">
        <f>IF(A9=X!I2,X!H2,IF(A9=X!I3,X!H3,IF(A9=X!I4,X!H4,IF(A9=X!I5,X!H5,IF(A9=X!I6,X!H6,O)))))</f>
        <v>#NAME?</v>
      </c>
      <c r="F10" s="684"/>
      <c r="G10" s="137"/>
      <c r="H10" s="137"/>
      <c r="I10" s="137"/>
      <c r="J10" s="137"/>
      <c r="K10" s="137"/>
      <c r="L10" s="137"/>
      <c r="M10" s="137"/>
      <c r="N10" s="137"/>
      <c r="O10" s="137"/>
      <c r="P10" s="137"/>
      <c r="Q10" s="137"/>
      <c r="R10" s="137"/>
      <c r="S10" s="137"/>
      <c r="T10" s="137"/>
      <c r="U10" s="137"/>
      <c r="V10" s="137"/>
      <c r="W10" s="137"/>
      <c r="X10" s="137"/>
      <c r="Y10" s="137"/>
      <c r="Z10" s="137"/>
      <c r="AA10" s="137"/>
      <c r="AB10" s="137"/>
      <c r="AC10" s="137"/>
      <c r="AD10" s="137"/>
      <c r="AE10" s="137"/>
      <c r="AF10" s="137"/>
    </row>
    <row r="12" spans="1:32" ht="32.25" customHeight="1" x14ac:dyDescent="0.25">
      <c r="A12" s="669" t="s">
        <v>566</v>
      </c>
      <c r="B12" s="669" t="s">
        <v>513</v>
      </c>
      <c r="C12" s="669" t="s">
        <v>512</v>
      </c>
      <c r="D12" s="669" t="s">
        <v>514</v>
      </c>
      <c r="E12" s="669" t="s">
        <v>516</v>
      </c>
      <c r="F12" s="669" t="s">
        <v>563</v>
      </c>
      <c r="G12" s="669"/>
      <c r="H12" s="669" t="s">
        <v>515</v>
      </c>
      <c r="I12" s="669" t="s">
        <v>517</v>
      </c>
      <c r="J12" s="669" t="s">
        <v>104</v>
      </c>
    </row>
    <row r="13" spans="1:32" ht="17.25" customHeight="1" x14ac:dyDescent="0.25">
      <c r="A13" s="669"/>
      <c r="B13" s="669"/>
      <c r="C13" s="669"/>
      <c r="D13" s="669"/>
      <c r="E13" s="669"/>
      <c r="F13" s="170" t="s">
        <v>564</v>
      </c>
      <c r="G13" s="149" t="s">
        <v>565</v>
      </c>
      <c r="H13" s="669"/>
      <c r="I13" s="669"/>
      <c r="J13" s="669"/>
    </row>
    <row r="14" spans="1:32" ht="105" customHeight="1" x14ac:dyDescent="0.25">
      <c r="A14" s="183">
        <v>1</v>
      </c>
      <c r="B14" s="179" t="s">
        <v>234</v>
      </c>
      <c r="C14" s="179" t="s">
        <v>619</v>
      </c>
      <c r="D14" s="180" t="s">
        <v>614</v>
      </c>
      <c r="E14" s="183" t="s">
        <v>620</v>
      </c>
      <c r="F14" s="179">
        <v>13</v>
      </c>
      <c r="G14" s="180" t="s">
        <v>617</v>
      </c>
      <c r="H14" s="184">
        <v>41390</v>
      </c>
      <c r="I14" s="184">
        <v>41729</v>
      </c>
      <c r="J14" s="169" t="s">
        <v>538</v>
      </c>
    </row>
    <row r="15" spans="1:32" ht="105" customHeight="1" x14ac:dyDescent="0.25">
      <c r="A15" s="183">
        <v>2</v>
      </c>
      <c r="B15" s="179" t="s">
        <v>234</v>
      </c>
      <c r="C15" s="179" t="s">
        <v>616</v>
      </c>
      <c r="D15" s="180" t="s">
        <v>623</v>
      </c>
      <c r="E15" s="183" t="s">
        <v>621</v>
      </c>
      <c r="F15" s="179">
        <v>8</v>
      </c>
      <c r="G15" s="179" t="s">
        <v>618</v>
      </c>
      <c r="H15" s="184">
        <v>41393</v>
      </c>
      <c r="I15" s="184">
        <v>41729</v>
      </c>
      <c r="J15" s="169" t="s">
        <v>538</v>
      </c>
    </row>
    <row r="16" spans="1:32" ht="105" customHeight="1" x14ac:dyDescent="0.25">
      <c r="A16" s="183">
        <v>3</v>
      </c>
      <c r="B16" s="179" t="s">
        <v>615</v>
      </c>
      <c r="C16" s="179" t="s">
        <v>622</v>
      </c>
      <c r="D16" s="180" t="s">
        <v>624</v>
      </c>
      <c r="E16" s="183" t="s">
        <v>625</v>
      </c>
      <c r="F16" s="179">
        <v>12</v>
      </c>
      <c r="G16" s="96" t="s">
        <v>626</v>
      </c>
      <c r="H16" s="184">
        <v>41200</v>
      </c>
      <c r="I16" s="184">
        <v>41257</v>
      </c>
      <c r="J16" s="169" t="s">
        <v>538</v>
      </c>
    </row>
    <row r="17" spans="1:10" ht="29.25" customHeight="1" x14ac:dyDescent="0.25">
      <c r="A17" s="662" t="s">
        <v>627</v>
      </c>
      <c r="B17" s="662"/>
      <c r="C17" s="662"/>
      <c r="D17" s="662"/>
      <c r="E17" s="662"/>
      <c r="F17" s="662"/>
      <c r="G17" s="662"/>
      <c r="H17" s="662"/>
      <c r="I17" s="662"/>
      <c r="J17" s="662"/>
    </row>
    <row r="18" spans="1:10" ht="15.75" thickBot="1" x14ac:dyDescent="0.3"/>
    <row r="19" spans="1:10" ht="18.75" customHeight="1" thickBot="1" x14ac:dyDescent="0.3">
      <c r="A19" s="656" t="s">
        <v>572</v>
      </c>
      <c r="B19" s="657"/>
      <c r="C19" s="657"/>
      <c r="D19" s="658"/>
    </row>
    <row r="20" spans="1:10" ht="15.75" hidden="1" x14ac:dyDescent="0.25">
      <c r="A20" s="663"/>
      <c r="B20" s="664"/>
      <c r="C20" s="664"/>
      <c r="D20" s="153"/>
    </row>
    <row r="21" spans="1:10" ht="15.75" hidden="1" x14ac:dyDescent="0.25">
      <c r="A21" s="665"/>
      <c r="B21" s="666"/>
      <c r="C21" s="666"/>
      <c r="D21" s="153"/>
    </row>
    <row r="22" spans="1:10" ht="16.5" hidden="1" thickBot="1" x14ac:dyDescent="0.3">
      <c r="A22" s="667"/>
      <c r="B22" s="668"/>
      <c r="C22" s="668"/>
      <c r="D22" s="153"/>
    </row>
    <row r="23" spans="1:10" ht="18.75" customHeight="1" thickBot="1" x14ac:dyDescent="0.3">
      <c r="A23" s="659" t="s">
        <v>568</v>
      </c>
      <c r="B23" s="660"/>
      <c r="C23" s="661"/>
      <c r="D23" s="154" t="str">
        <f>IF(COUNTIF(J14:J16,"SI")=3,"HABILITADO","NO HABILITADO")</f>
        <v>HABILITADO</v>
      </c>
    </row>
  </sheetData>
  <mergeCells count="26">
    <mergeCell ref="O8:Q8"/>
    <mergeCell ref="C1:J1"/>
    <mergeCell ref="C2:J2"/>
    <mergeCell ref="C3:J3"/>
    <mergeCell ref="C4:J4"/>
    <mergeCell ref="C12:C13"/>
    <mergeCell ref="D12:D13"/>
    <mergeCell ref="E12:E13"/>
    <mergeCell ref="H12:H13"/>
    <mergeCell ref="L8:N8"/>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I21"/>
  <sheetViews>
    <sheetView view="pageBreakPreview" zoomScaleSheetLayoutView="100" workbookViewId="0">
      <selection activeCell="F29" sqref="F29"/>
    </sheetView>
  </sheetViews>
  <sheetFormatPr baseColWidth="10" defaultColWidth="10.85546875" defaultRowHeight="15" x14ac:dyDescent="0.25"/>
  <cols>
    <col min="1" max="1" width="1.85546875" style="127" customWidth="1"/>
    <col min="2" max="2" width="29.85546875" style="127" customWidth="1"/>
    <col min="3" max="3" width="23.7109375" style="127" customWidth="1"/>
    <col min="4" max="4" width="25.7109375" style="127" bestFit="1" customWidth="1"/>
    <col min="5" max="5" width="22.7109375" style="127" customWidth="1"/>
    <col min="6" max="6" width="16.42578125" style="127" customWidth="1"/>
    <col min="7" max="7" width="7.42578125" style="127" customWidth="1"/>
    <col min="8" max="8" width="5" style="127" customWidth="1"/>
    <col min="9" max="16384" width="10.85546875" style="127"/>
  </cols>
  <sheetData>
    <row r="1" spans="2:9" ht="12" customHeight="1" x14ac:dyDescent="0.25">
      <c r="C1" s="687" t="s">
        <v>542</v>
      </c>
      <c r="D1" s="687"/>
      <c r="E1" s="687"/>
      <c r="F1" s="687"/>
      <c r="G1" s="687"/>
      <c r="H1" s="146"/>
      <c r="I1" s="146"/>
    </row>
    <row r="2" spans="2:9" ht="12" customHeight="1" x14ac:dyDescent="0.25">
      <c r="C2" s="687" t="s">
        <v>518</v>
      </c>
      <c r="D2" s="687"/>
      <c r="E2" s="687"/>
      <c r="F2" s="687"/>
      <c r="G2" s="687"/>
      <c r="H2" s="146"/>
      <c r="I2" s="146"/>
    </row>
    <row r="3" spans="2:9" ht="12" customHeight="1" x14ac:dyDescent="0.25">
      <c r="C3" s="687" t="s">
        <v>543</v>
      </c>
      <c r="D3" s="687"/>
      <c r="E3" s="687"/>
      <c r="F3" s="687"/>
      <c r="G3" s="687"/>
      <c r="H3" s="146"/>
      <c r="I3" s="146"/>
    </row>
    <row r="4" spans="2:9" ht="12" customHeight="1" x14ac:dyDescent="0.25">
      <c r="C4" s="687" t="s">
        <v>641</v>
      </c>
      <c r="D4" s="687"/>
      <c r="E4" s="687"/>
      <c r="F4" s="687"/>
      <c r="G4" s="687"/>
      <c r="H4" s="146"/>
      <c r="I4" s="146"/>
    </row>
    <row r="5" spans="2:9" ht="12" customHeight="1" x14ac:dyDescent="0.25">
      <c r="C5" s="687" t="s">
        <v>605</v>
      </c>
      <c r="D5" s="687"/>
      <c r="E5" s="687"/>
      <c r="F5" s="687"/>
      <c r="G5" s="687"/>
      <c r="H5" s="146"/>
      <c r="I5" s="146"/>
    </row>
    <row r="7" spans="2:9" ht="15.75" thickBot="1" x14ac:dyDescent="0.3">
      <c r="B7" s="286"/>
      <c r="C7" s="286"/>
    </row>
    <row r="8" spans="2:9" ht="15.75" customHeight="1" x14ac:dyDescent="0.25">
      <c r="B8" s="692" t="s">
        <v>519</v>
      </c>
      <c r="C8" s="693"/>
      <c r="D8" s="690" t="s">
        <v>578</v>
      </c>
      <c r="G8" s="119"/>
    </row>
    <row r="9" spans="2:9" ht="15" customHeight="1" x14ac:dyDescent="0.25">
      <c r="B9" s="694" t="str">
        <f>+'EXPERIENCIA PROPONENTE'!$A$9</f>
        <v xml:space="preserve"> C &amp;M CONSULTORES S.A.</v>
      </c>
      <c r="C9" s="695"/>
      <c r="D9" s="691"/>
      <c r="G9" s="119"/>
    </row>
    <row r="10" spans="2:9" ht="19.5" thickBot="1" x14ac:dyDescent="0.3">
      <c r="B10" s="696"/>
      <c r="C10" s="697"/>
      <c r="D10" s="224">
        <f>+'EXPERIENCIA PROPONENTE'!$B$9</f>
        <v>2</v>
      </c>
      <c r="G10" s="119"/>
    </row>
    <row r="12" spans="2:9" ht="15.75" thickBot="1" x14ac:dyDescent="0.3"/>
    <row r="13" spans="2:9" ht="60.75" customHeight="1" thickBot="1" x14ac:dyDescent="0.3">
      <c r="B13" s="217" t="s">
        <v>607</v>
      </c>
      <c r="C13" s="217" t="s">
        <v>608</v>
      </c>
      <c r="D13" s="217" t="s">
        <v>104</v>
      </c>
      <c r="E13" s="217" t="s">
        <v>610</v>
      </c>
      <c r="F13" s="622" t="s">
        <v>571</v>
      </c>
      <c r="G13" s="622"/>
    </row>
    <row r="14" spans="2:9" ht="15.75" thickBot="1" x14ac:dyDescent="0.3">
      <c r="B14" s="225">
        <v>175</v>
      </c>
      <c r="C14" s="225">
        <v>18</v>
      </c>
      <c r="D14" s="226" t="s">
        <v>538</v>
      </c>
      <c r="E14" s="227" t="s">
        <v>538</v>
      </c>
      <c r="F14" s="686">
        <v>288</v>
      </c>
      <c r="G14" s="686"/>
    </row>
    <row r="15" spans="2:9" x14ac:dyDescent="0.25">
      <c r="B15" s="127" t="s">
        <v>609</v>
      </c>
    </row>
    <row r="16" spans="2:9" ht="15.75" thickBot="1" x14ac:dyDescent="0.3"/>
    <row r="17" spans="2:5" ht="19.5" thickBot="1" x14ac:dyDescent="0.3">
      <c r="B17" s="656" t="s">
        <v>611</v>
      </c>
      <c r="C17" s="657"/>
      <c r="D17" s="657"/>
      <c r="E17" s="658"/>
    </row>
    <row r="18" spans="2:5" ht="16.5" thickBot="1" x14ac:dyDescent="0.3">
      <c r="B18" s="688" t="s">
        <v>605</v>
      </c>
      <c r="C18" s="689"/>
      <c r="D18" s="689"/>
      <c r="E18" s="153">
        <f>IF(COUNTIF(D14:E14,"SI")=2,1,0)</f>
        <v>1</v>
      </c>
    </row>
    <row r="19" spans="2:5" ht="19.5" thickBot="1" x14ac:dyDescent="0.3">
      <c r="B19" s="659" t="s">
        <v>504</v>
      </c>
      <c r="C19" s="660"/>
      <c r="D19" s="661"/>
      <c r="E19" s="154">
        <f>+E18</f>
        <v>1</v>
      </c>
    </row>
    <row r="21" spans="2:5" x14ac:dyDescent="0.25">
      <c r="B21" s="189" t="s">
        <v>636</v>
      </c>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J18"/>
  <sheetViews>
    <sheetView view="pageBreakPreview" zoomScale="90" zoomScaleSheetLayoutView="90" workbookViewId="0">
      <selection activeCell="J14" sqref="J14"/>
    </sheetView>
  </sheetViews>
  <sheetFormatPr baseColWidth="10" defaultColWidth="10.85546875" defaultRowHeight="15" x14ac:dyDescent="0.25"/>
  <cols>
    <col min="1" max="8" width="10.85546875" style="127"/>
    <col min="9" max="9" width="13.28515625" style="127" customWidth="1"/>
    <col min="10" max="16384" width="10.85546875" style="127"/>
  </cols>
  <sheetData>
    <row r="1" spans="1:10" ht="19.5" x14ac:dyDescent="0.25">
      <c r="C1" s="618" t="s">
        <v>542</v>
      </c>
      <c r="D1" s="618"/>
      <c r="E1" s="618"/>
      <c r="F1" s="618"/>
      <c r="G1" s="618"/>
      <c r="H1" s="618"/>
      <c r="I1" s="618"/>
      <c r="J1" s="146"/>
    </row>
    <row r="2" spans="1:10" ht="19.5" x14ac:dyDescent="0.25">
      <c r="C2" s="618" t="s">
        <v>518</v>
      </c>
      <c r="D2" s="618"/>
      <c r="E2" s="618"/>
      <c r="F2" s="618"/>
      <c r="G2" s="618"/>
      <c r="H2" s="618"/>
      <c r="I2" s="618"/>
      <c r="J2" s="146"/>
    </row>
    <row r="3" spans="1:10" ht="19.5" x14ac:dyDescent="0.25">
      <c r="C3" s="618" t="s">
        <v>543</v>
      </c>
      <c r="D3" s="618"/>
      <c r="E3" s="618"/>
      <c r="F3" s="618"/>
      <c r="G3" s="618"/>
      <c r="H3" s="618"/>
      <c r="I3" s="618"/>
      <c r="J3" s="146"/>
    </row>
    <row r="4" spans="1:10" ht="19.5" x14ac:dyDescent="0.25">
      <c r="C4" s="618" t="s">
        <v>630</v>
      </c>
      <c r="D4" s="618"/>
      <c r="E4" s="618"/>
      <c r="F4" s="618"/>
      <c r="G4" s="618"/>
      <c r="H4" s="618"/>
      <c r="I4" s="618"/>
      <c r="J4" s="146"/>
    </row>
    <row r="5" spans="1:10" ht="19.5" x14ac:dyDescent="0.25">
      <c r="C5" s="618" t="s">
        <v>569</v>
      </c>
      <c r="D5" s="618"/>
      <c r="E5" s="618"/>
      <c r="F5" s="618"/>
      <c r="G5" s="618"/>
      <c r="H5" s="618"/>
      <c r="I5" s="618"/>
      <c r="J5" s="146"/>
    </row>
    <row r="7" spans="1:10" ht="15.75" thickBot="1" x14ac:dyDescent="0.3"/>
    <row r="8" spans="1:10" ht="15.75" customHeight="1" x14ac:dyDescent="0.25">
      <c r="A8" s="692" t="s">
        <v>519</v>
      </c>
      <c r="B8" s="699"/>
      <c r="C8" s="699"/>
      <c r="D8" s="693"/>
      <c r="E8" s="700" t="s">
        <v>578</v>
      </c>
      <c r="F8" s="701"/>
    </row>
    <row r="9" spans="1:10" ht="15" customHeight="1" thickBot="1" x14ac:dyDescent="0.3">
      <c r="A9" s="673" t="str">
        <f>+'EXPERIENCIA PROPONENTE'!$A$9</f>
        <v xml:space="preserve"> C &amp;M CONSULTORES S.A.</v>
      </c>
      <c r="B9" s="674"/>
      <c r="C9" s="674"/>
      <c r="D9" s="675"/>
      <c r="E9" s="702"/>
      <c r="F9" s="703"/>
    </row>
    <row r="10" spans="1:10" ht="19.5" thickBot="1" x14ac:dyDescent="0.3">
      <c r="A10" s="676"/>
      <c r="B10" s="677"/>
      <c r="C10" s="677"/>
      <c r="D10" s="678"/>
      <c r="E10" s="683">
        <f>+'EXPERIENCIA PROPONENTE'!$B$9</f>
        <v>2</v>
      </c>
      <c r="F10" s="684"/>
    </row>
    <row r="11" spans="1:10" ht="15.75" thickBot="1" x14ac:dyDescent="0.3"/>
    <row r="12" spans="1:10" ht="15.75" customHeight="1" thickBot="1" x14ac:dyDescent="0.3">
      <c r="B12" s="704" t="s">
        <v>577</v>
      </c>
      <c r="C12" s="704"/>
      <c r="D12" s="704"/>
      <c r="E12" s="704"/>
      <c r="F12" s="218" t="s">
        <v>104</v>
      </c>
    </row>
    <row r="13" spans="1:10" ht="75.75" customHeight="1" thickBot="1" x14ac:dyDescent="0.3">
      <c r="B13" s="698" t="s">
        <v>574</v>
      </c>
      <c r="C13" s="698"/>
      <c r="D13" s="698"/>
      <c r="E13" s="698"/>
      <c r="F13" s="228" t="s">
        <v>538</v>
      </c>
    </row>
    <row r="14" spans="1:10" ht="98.25" customHeight="1" thickBot="1" x14ac:dyDescent="0.3">
      <c r="B14" s="698" t="s">
        <v>575</v>
      </c>
      <c r="C14" s="698"/>
      <c r="D14" s="698"/>
      <c r="E14" s="698"/>
      <c r="F14" s="228" t="s">
        <v>539</v>
      </c>
    </row>
    <row r="16" spans="1:10" ht="15.75" thickBot="1" x14ac:dyDescent="0.3"/>
    <row r="17" spans="2:5" ht="19.5" thickBot="1" x14ac:dyDescent="0.3">
      <c r="B17" s="656" t="s">
        <v>576</v>
      </c>
      <c r="C17" s="657"/>
      <c r="D17" s="657"/>
      <c r="E17" s="658"/>
    </row>
    <row r="18" spans="2:5" ht="19.5" thickBot="1" x14ac:dyDescent="0.3">
      <c r="B18" s="659" t="s">
        <v>504</v>
      </c>
      <c r="C18" s="660"/>
      <c r="D18" s="661"/>
      <c r="E18" s="154">
        <f>IF(AND(F13="SI",F14="SI"),10,IF(AND(F13="SI",F14="NO"),10,IF(AND(F13="NO",F14="SI"),5,0)))</f>
        <v>10</v>
      </c>
    </row>
  </sheetData>
  <mergeCells count="14">
    <mergeCell ref="C1:I1"/>
    <mergeCell ref="C2:I2"/>
    <mergeCell ref="C3:I3"/>
    <mergeCell ref="C4:I4"/>
    <mergeCell ref="C5:I5"/>
    <mergeCell ref="B18:D18"/>
    <mergeCell ref="B13:E13"/>
    <mergeCell ref="B14:E14"/>
    <mergeCell ref="A8:D8"/>
    <mergeCell ref="E8:F9"/>
    <mergeCell ref="A9:D10"/>
    <mergeCell ref="E10:F10"/>
    <mergeCell ref="B17:E17"/>
    <mergeCell ref="B12:E12"/>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B3:L24"/>
  <sheetViews>
    <sheetView tabSelected="1" view="pageBreakPreview" topLeftCell="A13" zoomScale="80" zoomScaleSheetLayoutView="80" workbookViewId="0">
      <selection activeCell="I22" sqref="I22"/>
    </sheetView>
  </sheetViews>
  <sheetFormatPr baseColWidth="10" defaultColWidth="10.85546875" defaultRowHeight="15" x14ac:dyDescent="0.25"/>
  <cols>
    <col min="1" max="1" width="3.42578125" style="119" customWidth="1"/>
    <col min="2" max="2" width="25" style="119" customWidth="1"/>
    <col min="3" max="3" width="25.42578125" style="119" customWidth="1"/>
    <col min="4" max="4" width="8" style="119" customWidth="1"/>
    <col min="5" max="5" width="59.140625" style="119" customWidth="1"/>
    <col min="6" max="6" width="20.140625" style="119" bestFit="1" customWidth="1"/>
    <col min="7" max="7" width="15.85546875" style="119" customWidth="1"/>
    <col min="8" max="8" width="15.42578125" style="119" customWidth="1"/>
    <col min="9" max="9" width="18" style="119" customWidth="1"/>
    <col min="10" max="10" width="15.7109375" style="119" customWidth="1"/>
    <col min="11" max="11" width="10.85546875" style="119"/>
    <col min="12" max="12" width="7.42578125" style="119" customWidth="1"/>
    <col min="13" max="16384" width="10.85546875" style="119"/>
  </cols>
  <sheetData>
    <row r="3" spans="2:12" ht="19.5" x14ac:dyDescent="0.25">
      <c r="E3" s="618" t="s">
        <v>542</v>
      </c>
      <c r="F3" s="618"/>
      <c r="G3" s="618"/>
      <c r="H3" s="618"/>
      <c r="I3" s="618"/>
      <c r="J3" s="618"/>
      <c r="K3" s="618"/>
      <c r="L3" s="161"/>
    </row>
    <row r="4" spans="2:12" ht="19.5" x14ac:dyDescent="0.25">
      <c r="E4" s="618" t="s">
        <v>518</v>
      </c>
      <c r="F4" s="618"/>
      <c r="G4" s="618"/>
      <c r="H4" s="618"/>
      <c r="I4" s="618"/>
      <c r="J4" s="618"/>
      <c r="K4" s="618"/>
      <c r="L4" s="161"/>
    </row>
    <row r="5" spans="2:12" ht="19.5" x14ac:dyDescent="0.25">
      <c r="E5" s="618" t="s">
        <v>543</v>
      </c>
      <c r="F5" s="618"/>
      <c r="G5" s="618"/>
      <c r="H5" s="618"/>
      <c r="I5" s="618"/>
      <c r="J5" s="618"/>
      <c r="K5" s="618"/>
      <c r="L5" s="161"/>
    </row>
    <row r="6" spans="2:12" ht="19.5" x14ac:dyDescent="0.25">
      <c r="E6" s="618" t="s">
        <v>641</v>
      </c>
      <c r="F6" s="618"/>
      <c r="G6" s="618"/>
      <c r="H6" s="618"/>
      <c r="I6" s="618"/>
      <c r="J6" s="618"/>
      <c r="K6" s="618"/>
      <c r="L6" s="161"/>
    </row>
    <row r="7" spans="2:12" ht="19.5" x14ac:dyDescent="0.25">
      <c r="E7" s="618" t="s">
        <v>582</v>
      </c>
      <c r="F7" s="618"/>
      <c r="G7" s="618"/>
      <c r="H7" s="618"/>
      <c r="I7" s="618"/>
      <c r="J7" s="618"/>
      <c r="K7" s="618"/>
      <c r="L7" s="161"/>
    </row>
    <row r="9" spans="2:12" ht="15.75" thickBot="1" x14ac:dyDescent="0.3"/>
    <row r="10" spans="2:12" ht="40.5" customHeight="1" thickBot="1" x14ac:dyDescent="0.3">
      <c r="B10" s="709" t="s">
        <v>519</v>
      </c>
      <c r="C10" s="710"/>
      <c r="D10" s="710"/>
      <c r="E10" s="711"/>
      <c r="F10" s="705" t="s">
        <v>578</v>
      </c>
      <c r="G10" s="706"/>
      <c r="H10" s="705" t="s">
        <v>568</v>
      </c>
      <c r="I10" s="706"/>
      <c r="J10" s="705" t="s">
        <v>583</v>
      </c>
      <c r="K10" s="706"/>
    </row>
    <row r="11" spans="2:12" ht="15" customHeight="1" thickBot="1" x14ac:dyDescent="0.3">
      <c r="B11" s="712" t="str">
        <f>+'EXPERIENCIA PROPONENTE'!$A$9</f>
        <v xml:space="preserve"> C &amp;M CONSULTORES S.A.</v>
      </c>
      <c r="C11" s="713"/>
      <c r="D11" s="713"/>
      <c r="E11" s="714"/>
      <c r="F11" s="707"/>
      <c r="G11" s="708"/>
      <c r="H11" s="707"/>
      <c r="I11" s="708"/>
      <c r="J11" s="707"/>
      <c r="K11" s="708"/>
    </row>
    <row r="12" spans="2:12" ht="22.5" customHeight="1" thickBot="1" x14ac:dyDescent="0.3">
      <c r="B12" s="715"/>
      <c r="C12" s="716"/>
      <c r="D12" s="716"/>
      <c r="E12" s="717"/>
      <c r="F12" s="718">
        <f>+'EXPERIENCIA PROPONENTE'!$B$9</f>
        <v>2</v>
      </c>
      <c r="G12" s="719"/>
      <c r="H12" s="720" t="str">
        <f>IF(COUNTIF(F17:F18,"HABILITADO")=2,"HABILITADO","NO HABILITADO")</f>
        <v>HABILITADO</v>
      </c>
      <c r="I12" s="721"/>
      <c r="J12" s="722">
        <f>SUM(K15:K18)</f>
        <v>100</v>
      </c>
      <c r="K12" s="723"/>
    </row>
    <row r="13" spans="2:12" ht="15.75" thickBot="1" x14ac:dyDescent="0.3"/>
    <row r="14" spans="2:12" ht="23.25" customHeight="1" thickBot="1" x14ac:dyDescent="0.3">
      <c r="H14" s="733" t="s">
        <v>583</v>
      </c>
      <c r="I14" s="734"/>
      <c r="J14" s="734"/>
      <c r="K14" s="735"/>
    </row>
    <row r="15" spans="2:12" ht="21" customHeight="1" thickBot="1" x14ac:dyDescent="0.3">
      <c r="B15" s="724" t="s">
        <v>580</v>
      </c>
      <c r="C15" s="725"/>
      <c r="D15" s="725"/>
      <c r="E15" s="725"/>
      <c r="F15" s="726"/>
      <c r="H15" s="736" t="s">
        <v>584</v>
      </c>
      <c r="I15" s="737"/>
      <c r="J15" s="737"/>
      <c r="K15" s="290">
        <f>+IF('EXPERIENCIA PROPONENTE'!$C$45="HABILITADO",'EXPERIENCIA PROPONENTE'!C54,0)</f>
        <v>29</v>
      </c>
    </row>
    <row r="16" spans="2:12" ht="29.25" customHeight="1" thickBot="1" x14ac:dyDescent="0.3">
      <c r="B16" s="727" t="s">
        <v>579</v>
      </c>
      <c r="C16" s="728"/>
      <c r="D16" s="729"/>
      <c r="E16" s="288" t="s">
        <v>191</v>
      </c>
      <c r="F16" s="289" t="s">
        <v>104</v>
      </c>
      <c r="H16" s="738" t="s">
        <v>585</v>
      </c>
      <c r="I16" s="739"/>
      <c r="J16" s="739"/>
      <c r="K16" s="291">
        <f>+'EXPERIENCIA EQUIPO DE TRABA'!H9</f>
        <v>60</v>
      </c>
    </row>
    <row r="17" spans="2:11" ht="46.5" customHeight="1" x14ac:dyDescent="0.25">
      <c r="B17" s="730" t="s">
        <v>588</v>
      </c>
      <c r="C17" s="731"/>
      <c r="D17" s="732"/>
      <c r="E17" s="287" t="e">
        <f>+CONCATENATE('EXPERIENCIA PROPONENTE'!C40:E40," ",'EXPERIENCIA PROPONENTE'!F40:H40," ",'EXPERIENCIA PROPONENTE'!I40:K40," ",'EXPERIENCIA PROPONENTE'!L40:N40 )</f>
        <v>#VALUE!</v>
      </c>
      <c r="F17" s="290" t="str">
        <f>+'EXPERIENCIA PROPONENTE'!C44</f>
        <v>HABILITADO</v>
      </c>
      <c r="H17" s="740" t="s">
        <v>605</v>
      </c>
      <c r="I17" s="741"/>
      <c r="J17" s="742"/>
      <c r="K17" s="291">
        <f>+'PERSONAL CON DISCAPAC'!E19</f>
        <v>1</v>
      </c>
    </row>
    <row r="18" spans="2:11" ht="51.75" customHeight="1" thickBot="1" x14ac:dyDescent="0.3">
      <c r="B18" s="743" t="s">
        <v>581</v>
      </c>
      <c r="C18" s="744"/>
      <c r="D18" s="745"/>
      <c r="E18" s="323"/>
      <c r="F18" s="324" t="str">
        <f>+'EXPERIENCIA EQUIPO DE TRABA'!D9</f>
        <v>HABILITADO</v>
      </c>
      <c r="H18" s="738" t="s">
        <v>586</v>
      </c>
      <c r="I18" s="739"/>
      <c r="J18" s="739"/>
      <c r="K18" s="291">
        <f>+'PROTECCIÓN A LA INDUSTRIA'!E18</f>
        <v>10</v>
      </c>
    </row>
    <row r="19" spans="2:11" ht="15.75" thickBot="1" x14ac:dyDescent="0.3">
      <c r="H19" s="746" t="s">
        <v>666</v>
      </c>
      <c r="I19" s="747"/>
      <c r="J19" s="747"/>
      <c r="K19" s="748"/>
    </row>
    <row r="20" spans="2:11" ht="29.25" customHeight="1" thickBot="1" x14ac:dyDescent="0.3">
      <c r="B20" s="753" t="s">
        <v>587</v>
      </c>
      <c r="C20" s="754"/>
      <c r="D20" s="754"/>
      <c r="E20" s="754"/>
      <c r="F20" s="755"/>
      <c r="H20" s="749"/>
      <c r="I20" s="750"/>
      <c r="J20" s="750"/>
      <c r="K20" s="751"/>
    </row>
    <row r="21" spans="2:11" ht="27.75" customHeight="1" thickBot="1" x14ac:dyDescent="0.3">
      <c r="B21" s="756" t="s">
        <v>570</v>
      </c>
      <c r="C21" s="757"/>
      <c r="D21" s="758"/>
      <c r="E21" s="328" t="s">
        <v>191</v>
      </c>
      <c r="F21" s="327" t="s">
        <v>568</v>
      </c>
      <c r="H21" s="752" t="s">
        <v>763</v>
      </c>
      <c r="I21" s="752"/>
      <c r="J21" s="752"/>
      <c r="K21" s="752"/>
    </row>
    <row r="22" spans="2:11" ht="72.75" customHeight="1" x14ac:dyDescent="0.25">
      <c r="B22" s="759" t="s">
        <v>668</v>
      </c>
      <c r="C22" s="760"/>
      <c r="D22" s="760"/>
      <c r="E22" s="326" t="str">
        <f>+CONCATENATE('EXPERIENCIA EQUIPO DE TRABA'!B34," ",'EXPERIENCIA EQUIPO DE TRABA'!C34," ",'EXPERIENCIA EQUIPO DE TRABA'!D34," ",'EXPERIENCIA EQUIPO DE TRABA'!E34)</f>
        <v xml:space="preserve">   </v>
      </c>
      <c r="F22" s="329" t="str">
        <f>+'EXPERIENCIA EQUIPO DE TRABA'!E9</f>
        <v>HABILITADO</v>
      </c>
    </row>
    <row r="23" spans="2:11" ht="72.75" customHeight="1" x14ac:dyDescent="0.25">
      <c r="B23" s="673" t="s">
        <v>655</v>
      </c>
      <c r="C23" s="674"/>
      <c r="D23" s="674"/>
      <c r="E23" s="172" t="str">
        <f>+CONCATENATE('EXPERIENCIA EQUIPO DE TRABA'!B59," ",'EXPERIENCIA EQUIPO DE TRABA'!C59," ", 'EXPERIENCIA EQUIPO DE TRABA'!D59," ",'EXPERIENCIA EQUIPO DE TRABA'!E59," ",'EXPERIENCIA EQUIPO DE TRABA'!F59)</f>
        <v xml:space="preserve">NO SE TIENE EN CUENTA EL PERIODO DEL 01/08/2013 AL 04/09/2013 POR TRASLAPO    </v>
      </c>
      <c r="F23" s="330" t="str">
        <f>+'EXPERIENCIA EQUIPO DE TRABA'!F9</f>
        <v>HABILITADO</v>
      </c>
    </row>
    <row r="24" spans="2:11" ht="72.75" customHeight="1" thickBot="1" x14ac:dyDescent="0.3">
      <c r="B24" s="676" t="s">
        <v>656</v>
      </c>
      <c r="C24" s="677"/>
      <c r="D24" s="677"/>
      <c r="E24" s="325" t="str">
        <f>+CONCATENATE('EXPERIENCIA EQUIPO DE TRABA'!B84," ",'EXPERIENCIA EQUIPO DE TRABA'!C84," ",'EXPERIENCIA EQUIPO DE TRABA'!D84," ",'EXPERIENCIA EQUIPO DE TRABA'!E84," ",'EXPERIENCIA EQUIPO DE TRABA'!F84)</f>
        <v xml:space="preserve">    </v>
      </c>
      <c r="F24" s="331" t="str">
        <f>+'EXPERIENCIA EQUIPO DE TRABA'!G9</f>
        <v>HABILITADO</v>
      </c>
    </row>
  </sheetData>
  <mergeCells count="29">
    <mergeCell ref="B24:D24"/>
    <mergeCell ref="B18:D18"/>
    <mergeCell ref="H19:K20"/>
    <mergeCell ref="H21:K21"/>
    <mergeCell ref="H18:J18"/>
    <mergeCell ref="B20:F20"/>
    <mergeCell ref="B21:D21"/>
    <mergeCell ref="B22:D22"/>
    <mergeCell ref="B23:D23"/>
    <mergeCell ref="B15:F15"/>
    <mergeCell ref="B16:D16"/>
    <mergeCell ref="B17:D17"/>
    <mergeCell ref="H14:K14"/>
    <mergeCell ref="H15:J15"/>
    <mergeCell ref="H16:J16"/>
    <mergeCell ref="H17:J17"/>
    <mergeCell ref="J10:K11"/>
    <mergeCell ref="E3:K3"/>
    <mergeCell ref="E4:K4"/>
    <mergeCell ref="E5:K5"/>
    <mergeCell ref="E6:K6"/>
    <mergeCell ref="E7:K7"/>
    <mergeCell ref="B10:E10"/>
    <mergeCell ref="B11:E12"/>
    <mergeCell ref="F10:G11"/>
    <mergeCell ref="F12:G12"/>
    <mergeCell ref="H10:I11"/>
    <mergeCell ref="H12:I12"/>
    <mergeCell ref="J12:K12"/>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 right="0.7" top="0.75" bottom="0.75" header="0.3" footer="0.3"/>
  <pageSetup scale="54" fitToHeight="0" orientation="landscape" r:id="rId1"/>
  <rowBreaks count="1" manualBreakCount="1">
    <brk id="26" max="16383" man="1"/>
  </rowBreaks>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MARTHA LORENA GALVIS</cp:lastModifiedBy>
  <cp:lastPrinted>2019-02-12T20:29:57Z</cp:lastPrinted>
  <dcterms:created xsi:type="dcterms:W3CDTF">2014-01-23T13:35:42Z</dcterms:created>
  <dcterms:modified xsi:type="dcterms:W3CDTF">2019-03-22T19:05:41Z</dcterms:modified>
</cp:coreProperties>
</file>