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4. MURINDO 2019\1. Contratacion Vigencia 2019\3. Sec. de Planeacion y OOPP\7. Minima Cuantía\8. Proceso No. PLA-MC-OP-008-2019 _ Puente Iglesia\"/>
    </mc:Choice>
  </mc:AlternateContent>
  <bookViews>
    <workbookView xWindow="0" yWindow="0" windowWidth="28800" windowHeight="12435" tabRatio="982" firstSheet="1" activeTab="12"/>
  </bookViews>
  <sheets>
    <sheet name="PRES. PUENTES PALAFITICOS   (2" sheetId="24" state="hidden" r:id="rId1"/>
    <sheet name="Presupuesto" sheetId="2" r:id="rId2"/>
    <sheet name="PRESUPUESTO DEFINITIVO 2" sheetId="29" state="hidden" r:id="rId3"/>
    <sheet name="200.1" sheetId="5" r:id="rId4"/>
    <sheet name="200.2" sheetId="6" r:id="rId5"/>
    <sheet name="200.6" sheetId="27" r:id="rId6"/>
    <sheet name="200.7" sheetId="28" r:id="rId7"/>
    <sheet name="400.1" sheetId="9" r:id="rId8"/>
    <sheet name="500.6" sheetId="10" r:id="rId9"/>
    <sheet name="500.9" sheetId="19" r:id="rId10"/>
    <sheet name="700.2" sheetId="8" r:id="rId11"/>
    <sheet name="900.1" sheetId="30" r:id="rId12"/>
    <sheet name="Discriminacion del AIU" sheetId="34" r:id="rId13"/>
    <sheet name="Factor Prestacional" sheetId="35" r:id="rId14"/>
    <sheet name="Historia salarial" sheetId="36" r:id="rId15"/>
  </sheets>
  <definedNames>
    <definedName name="_xlnm.Print_Area" localSheetId="3">'200.1'!$B$2:$I$49</definedName>
    <definedName name="_xlnm.Print_Area" localSheetId="4">'200.2'!$B$2:$I$49</definedName>
    <definedName name="_xlnm.Print_Area" localSheetId="5">'200.6'!$B$2:$I$49</definedName>
    <definedName name="_xlnm.Print_Area" localSheetId="6">'200.7'!$B$2:$I$49</definedName>
    <definedName name="_xlnm.Print_Area" localSheetId="7">'400.1'!$B$2:$I$49</definedName>
    <definedName name="_xlnm.Print_Area" localSheetId="8">'500.6'!$B$2:$I$49</definedName>
    <definedName name="_xlnm.Print_Area" localSheetId="9">'500.9'!$B$2:$I$49</definedName>
    <definedName name="_xlnm.Print_Area" localSheetId="10">'700.2'!$B$2:$I$49</definedName>
    <definedName name="_xlnm.Print_Area" localSheetId="11">'900.1'!$B$2:$I$49</definedName>
    <definedName name="_xlnm.Print_Area" localSheetId="12">'Discriminacion del AIU'!$B$2:$K$25</definedName>
    <definedName name="_xlnm.Print_Area" localSheetId="13">'Factor Prestacional'!$B$2:$O$54</definedName>
    <definedName name="_xlnm.Print_Area" localSheetId="14">'Historia salarial'!$B$2:$D$35</definedName>
    <definedName name="_xlnm.Print_Area" localSheetId="0">'PRES. PUENTES PALAFITICOS   (2'!$B$2:$K$212</definedName>
    <definedName name="_xlnm.Print_Area" localSheetId="1">Presupuesto!$B$2:$I$24</definedName>
    <definedName name="_xlnm.Print_Area" localSheetId="2">'PRESUPUESTO DEFINITIVO 2'!$B$2:$J$43</definedName>
    <definedName name="Summar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0" l="1"/>
  <c r="G12" i="2" l="1"/>
  <c r="G15" i="2"/>
  <c r="H16" i="8" l="1"/>
  <c r="I16" i="8" s="1"/>
  <c r="H26" i="8"/>
  <c r="H27" i="8"/>
  <c r="H28" i="8"/>
  <c r="H25" i="8"/>
  <c r="H25" i="19"/>
  <c r="H20" i="30"/>
  <c r="I20" i="30" s="1"/>
  <c r="I21" i="30" s="1"/>
  <c r="H20" i="8"/>
  <c r="I20" i="8" s="1"/>
  <c r="H17" i="8"/>
  <c r="I17" i="8" s="1"/>
  <c r="H18" i="8"/>
  <c r="H19" i="8"/>
  <c r="I18" i="8"/>
  <c r="I19" i="8"/>
  <c r="H26" i="19"/>
  <c r="H27" i="19"/>
  <c r="I27" i="19" s="1"/>
  <c r="H28" i="19"/>
  <c r="I28" i="19" s="1"/>
  <c r="I26" i="19"/>
  <c r="I25" i="19"/>
  <c r="I19" i="19"/>
  <c r="I20" i="19"/>
  <c r="H26" i="10"/>
  <c r="H27" i="10"/>
  <c r="H28" i="10"/>
  <c r="I28" i="10" s="1"/>
  <c r="I26" i="10"/>
  <c r="I27" i="10"/>
  <c r="I36" i="30"/>
  <c r="I28" i="30"/>
  <c r="H28" i="30"/>
  <c r="I27" i="30"/>
  <c r="H27" i="30"/>
  <c r="I26" i="30"/>
  <c r="H26" i="30"/>
  <c r="I25" i="30"/>
  <c r="I29" i="30" s="1"/>
  <c r="H25" i="30"/>
  <c r="I19" i="30"/>
  <c r="H19" i="30"/>
  <c r="I18" i="30"/>
  <c r="H18" i="30"/>
  <c r="I17" i="30"/>
  <c r="H17" i="30"/>
  <c r="H16" i="30"/>
  <c r="I16" i="30" s="1"/>
  <c r="I12" i="30"/>
  <c r="I12" i="8"/>
  <c r="I11" i="8"/>
  <c r="I12" i="19"/>
  <c r="I11" i="19"/>
  <c r="I12" i="10"/>
  <c r="I11" i="10"/>
  <c r="I17" i="9"/>
  <c r="I18" i="9"/>
  <c r="I19" i="9"/>
  <c r="I20" i="9"/>
  <c r="H20" i="9"/>
  <c r="H18" i="9"/>
  <c r="H19" i="9"/>
  <c r="I28" i="9"/>
  <c r="H28" i="9"/>
  <c r="I27" i="9"/>
  <c r="H27" i="9"/>
  <c r="I26" i="9"/>
  <c r="H26" i="9"/>
  <c r="H25" i="9"/>
  <c r="I25" i="9" s="1"/>
  <c r="I29" i="9" s="1"/>
  <c r="I12" i="9"/>
  <c r="I11" i="9"/>
  <c r="I26" i="28"/>
  <c r="I27" i="28"/>
  <c r="I28" i="28"/>
  <c r="I25" i="28"/>
  <c r="H26" i="28"/>
  <c r="H27" i="28"/>
  <c r="H28" i="28"/>
  <c r="H26" i="27"/>
  <c r="H27" i="27"/>
  <c r="H28" i="27"/>
  <c r="H20" i="28"/>
  <c r="I20" i="28" s="1"/>
  <c r="I19" i="28"/>
  <c r="I12" i="28"/>
  <c r="I11" i="28"/>
  <c r="I35" i="27"/>
  <c r="I34" i="27"/>
  <c r="I33" i="27"/>
  <c r="I21" i="5"/>
  <c r="I21" i="6"/>
  <c r="H20" i="27"/>
  <c r="I20" i="27" s="1"/>
  <c r="I12" i="27"/>
  <c r="I11" i="27"/>
  <c r="I18" i="27"/>
  <c r="I19" i="27"/>
  <c r="I28" i="27"/>
  <c r="I27" i="27"/>
  <c r="I26" i="27"/>
  <c r="I25" i="27"/>
  <c r="H25" i="27"/>
  <c r="I28" i="6"/>
  <c r="I27" i="6"/>
  <c r="I26" i="6"/>
  <c r="H25" i="6"/>
  <c r="I25" i="6" s="1"/>
  <c r="I29" i="6" s="1"/>
  <c r="H20" i="6"/>
  <c r="I20" i="6" s="1"/>
  <c r="H19" i="6"/>
  <c r="I19" i="6" s="1"/>
  <c r="H18" i="6"/>
  <c r="I18" i="6" s="1"/>
  <c r="H17" i="6"/>
  <c r="I17" i="6" s="1"/>
  <c r="H16" i="6"/>
  <c r="I16" i="6" s="1"/>
  <c r="I12" i="6"/>
  <c r="I11" i="6"/>
  <c r="I35" i="6"/>
  <c r="I34" i="6"/>
  <c r="I33" i="6"/>
  <c r="I36" i="5"/>
  <c r="I29" i="5"/>
  <c r="I33" i="5"/>
  <c r="I34" i="5"/>
  <c r="I35" i="5"/>
  <c r="H17" i="5"/>
  <c r="H18" i="5"/>
  <c r="H19" i="5"/>
  <c r="H20" i="5"/>
  <c r="H16" i="5"/>
  <c r="I26" i="5"/>
  <c r="I27" i="5"/>
  <c r="I28" i="5"/>
  <c r="I25" i="5"/>
  <c r="I11" i="5"/>
  <c r="I12" i="5"/>
  <c r="I21" i="8" l="1"/>
  <c r="I36" i="8"/>
  <c r="I22" i="30"/>
  <c r="I29" i="27"/>
  <c r="I22" i="6"/>
  <c r="G10" i="2" l="1"/>
  <c r="I10" i="8" l="1"/>
  <c r="H44" i="30"/>
  <c r="D51" i="35" l="1"/>
  <c r="D50" i="35"/>
  <c r="D49" i="35"/>
  <c r="G37" i="35"/>
  <c r="F37" i="35"/>
  <c r="F36" i="35"/>
  <c r="G36" i="35" s="1"/>
  <c r="G35" i="35"/>
  <c r="G38" i="35" s="1"/>
  <c r="F35" i="35"/>
  <c r="J17" i="35"/>
  <c r="H17" i="35"/>
  <c r="F17" i="35"/>
  <c r="H7" i="35"/>
  <c r="C5" i="35"/>
  <c r="D10" i="35" s="1"/>
  <c r="C4" i="35"/>
  <c r="D9" i="35" s="1"/>
  <c r="D26" i="35" l="1"/>
  <c r="E26" i="35" s="1"/>
  <c r="J9" i="35"/>
  <c r="H9" i="35"/>
  <c r="D23" i="35"/>
  <c r="E23" i="35" s="1"/>
  <c r="D21" i="35"/>
  <c r="E21" i="35" s="1"/>
  <c r="D20" i="35"/>
  <c r="E20" i="35" s="1"/>
  <c r="D19" i="35"/>
  <c r="E19" i="35" s="1"/>
  <c r="F9" i="35"/>
  <c r="G17" i="35" s="1"/>
  <c r="D15" i="35"/>
  <c r="E15" i="35" s="1"/>
  <c r="L9" i="35"/>
  <c r="D14" i="35"/>
  <c r="E14" i="35" s="1"/>
  <c r="E17" i="35"/>
  <c r="D12" i="35"/>
  <c r="E10" i="35"/>
  <c r="H10" i="35"/>
  <c r="I10" i="35" s="1"/>
  <c r="F10" i="35"/>
  <c r="G10" i="35" s="1"/>
  <c r="J10" i="35"/>
  <c r="K10" i="35" s="1"/>
  <c r="N7" i="35"/>
  <c r="F7" i="35"/>
  <c r="L7" i="35"/>
  <c r="D7" i="35"/>
  <c r="J7" i="35"/>
  <c r="F38" i="35"/>
  <c r="G7" i="2"/>
  <c r="G6" i="2" s="1"/>
  <c r="L26" i="35" l="1"/>
  <c r="M26" i="35" s="1"/>
  <c r="M17" i="35"/>
  <c r="M10" i="35"/>
  <c r="L23" i="35"/>
  <c r="M23" i="35" s="1"/>
  <c r="L21" i="35"/>
  <c r="M21" i="35" s="1"/>
  <c r="L20" i="35"/>
  <c r="M20" i="35" s="1"/>
  <c r="L19" i="35"/>
  <c r="M19" i="35" s="1"/>
  <c r="L14" i="35"/>
  <c r="M14" i="35" s="1"/>
  <c r="L15" i="35"/>
  <c r="M15" i="35" s="1"/>
  <c r="L12" i="35"/>
  <c r="H26" i="35"/>
  <c r="I26" i="35" s="1"/>
  <c r="H23" i="35"/>
  <c r="I23" i="35" s="1"/>
  <c r="H21" i="35"/>
  <c r="I21" i="35" s="1"/>
  <c r="H20" i="35"/>
  <c r="I20" i="35" s="1"/>
  <c r="H19" i="35"/>
  <c r="I19" i="35" s="1"/>
  <c r="H12" i="35"/>
  <c r="I17" i="35"/>
  <c r="H14" i="35"/>
  <c r="I14" i="35" s="1"/>
  <c r="H15" i="35"/>
  <c r="I15" i="35" s="1"/>
  <c r="J23" i="35"/>
  <c r="K23" i="35" s="1"/>
  <c r="J21" i="35"/>
  <c r="K21" i="35" s="1"/>
  <c r="J20" i="35"/>
  <c r="K20" i="35" s="1"/>
  <c r="J19" i="35"/>
  <c r="K19" i="35" s="1"/>
  <c r="J15" i="35"/>
  <c r="K15" i="35" s="1"/>
  <c r="J14" i="35"/>
  <c r="K14" i="35" s="1"/>
  <c r="J12" i="35"/>
  <c r="J26" i="35"/>
  <c r="K26" i="35" s="1"/>
  <c r="K17" i="35"/>
  <c r="E12" i="35"/>
  <c r="D13" i="35"/>
  <c r="E13" i="35" s="1"/>
  <c r="E28" i="35" s="1"/>
  <c r="F23" i="35"/>
  <c r="G23" i="35" s="1"/>
  <c r="F21" i="35"/>
  <c r="G21" i="35" s="1"/>
  <c r="F20" i="35"/>
  <c r="G20" i="35" s="1"/>
  <c r="F19" i="35"/>
  <c r="G19" i="35" s="1"/>
  <c r="F15" i="35"/>
  <c r="G15" i="35" s="1"/>
  <c r="F14" i="35"/>
  <c r="G14" i="35" s="1"/>
  <c r="F12" i="35"/>
  <c r="F26" i="35"/>
  <c r="G26" i="35" s="1"/>
  <c r="N9" i="35"/>
  <c r="C45" i="35" l="1"/>
  <c r="D45" i="35" s="1"/>
  <c r="C46" i="35"/>
  <c r="D46" i="35" s="1"/>
  <c r="M12" i="35"/>
  <c r="L13" i="35"/>
  <c r="M13" i="35" s="1"/>
  <c r="D28" i="35"/>
  <c r="K12" i="35"/>
  <c r="J13" i="35"/>
  <c r="I12" i="35"/>
  <c r="I28" i="35" s="1"/>
  <c r="C48" i="35" s="1"/>
  <c r="D48" i="35" s="1"/>
  <c r="H13" i="35"/>
  <c r="I13" i="35" s="1"/>
  <c r="N24" i="35"/>
  <c r="O24" i="35" s="1"/>
  <c r="N21" i="35"/>
  <c r="O21" i="35" s="1"/>
  <c r="N20" i="35"/>
  <c r="O20" i="35" s="1"/>
  <c r="N19" i="35"/>
  <c r="O19" i="35" s="1"/>
  <c r="O10" i="35"/>
  <c r="N15" i="35"/>
  <c r="O15" i="35" s="1"/>
  <c r="N14" i="35"/>
  <c r="O14" i="35" s="1"/>
  <c r="N12" i="35"/>
  <c r="N26" i="35"/>
  <c r="O26" i="35" s="1"/>
  <c r="N25" i="35"/>
  <c r="O25" i="35" s="1"/>
  <c r="O17" i="35"/>
  <c r="G12" i="35"/>
  <c r="F13" i="35"/>
  <c r="H28" i="35"/>
  <c r="M28" i="35" l="1"/>
  <c r="K13" i="35"/>
  <c r="K28" i="35" s="1"/>
  <c r="J28" i="35"/>
  <c r="L28" i="35"/>
  <c r="G13" i="35"/>
  <c r="G28" i="35" s="1"/>
  <c r="C47" i="35" s="1"/>
  <c r="D47" i="35" s="1"/>
  <c r="F28" i="35"/>
  <c r="O12" i="35"/>
  <c r="O28" i="35" s="1"/>
  <c r="N13" i="35"/>
  <c r="O13" i="35" s="1"/>
  <c r="G13" i="2" l="1"/>
  <c r="N28" i="35"/>
  <c r="H18" i="19"/>
  <c r="I18" i="19" s="1"/>
  <c r="H17" i="19"/>
  <c r="I17" i="19" s="1"/>
  <c r="H16" i="19"/>
  <c r="I16" i="19" s="1"/>
  <c r="I21" i="19" l="1"/>
  <c r="I22" i="19" s="1"/>
  <c r="I36" i="9"/>
  <c r="I10" i="9" s="1"/>
  <c r="I36" i="27"/>
  <c r="I10" i="27" s="1"/>
  <c r="I17" i="27"/>
  <c r="H16" i="28"/>
  <c r="I16" i="28" s="1"/>
  <c r="H17" i="28"/>
  <c r="I17" i="28" s="1"/>
  <c r="H18" i="28"/>
  <c r="I18" i="28" s="1"/>
  <c r="H11" i="30"/>
  <c r="I11" i="30" s="1"/>
  <c r="I16" i="27"/>
  <c r="I6" i="30"/>
  <c r="C6" i="30"/>
  <c r="D6" i="30"/>
  <c r="C6" i="28"/>
  <c r="C6" i="27"/>
  <c r="I6" i="19"/>
  <c r="C6" i="19"/>
  <c r="D6" i="19"/>
  <c r="I6" i="10"/>
  <c r="C6" i="10"/>
  <c r="D6" i="10"/>
  <c r="I6" i="9"/>
  <c r="C6" i="9"/>
  <c r="D6" i="9"/>
  <c r="I6" i="8"/>
  <c r="C6" i="8"/>
  <c r="D6" i="8"/>
  <c r="I6" i="6"/>
  <c r="C6" i="6"/>
  <c r="D6" i="6"/>
  <c r="I6" i="5"/>
  <c r="C6" i="5"/>
  <c r="D6" i="5"/>
  <c r="M37" i="29"/>
  <c r="J39" i="29"/>
  <c r="J38" i="29"/>
  <c r="H36" i="29"/>
  <c r="H35" i="29"/>
  <c r="H33" i="29"/>
  <c r="H30" i="29"/>
  <c r="H29" i="29"/>
  <c r="H27" i="29"/>
  <c r="H25" i="29"/>
  <c r="H24" i="29"/>
  <c r="H23" i="29"/>
  <c r="H21" i="29"/>
  <c r="H20" i="29"/>
  <c r="H19" i="29"/>
  <c r="H13" i="29"/>
  <c r="H17" i="29"/>
  <c r="J11" i="29"/>
  <c r="H10" i="29"/>
  <c r="J10" i="29"/>
  <c r="J9" i="29"/>
  <c r="H7" i="29"/>
  <c r="H6" i="29"/>
  <c r="H8" i="29"/>
  <c r="I6" i="28"/>
  <c r="D6" i="28"/>
  <c r="I36" i="28"/>
  <c r="I10" i="28" s="1"/>
  <c r="I29" i="28"/>
  <c r="I6" i="27"/>
  <c r="D6" i="27"/>
  <c r="H107" i="24"/>
  <c r="H135" i="24"/>
  <c r="H198" i="24"/>
  <c r="H196" i="24"/>
  <c r="H195" i="24"/>
  <c r="H194" i="24"/>
  <c r="H192" i="24"/>
  <c r="H191" i="24"/>
  <c r="H190" i="24"/>
  <c r="H186" i="24"/>
  <c r="H188" i="24"/>
  <c r="H182" i="24"/>
  <c r="H184" i="24"/>
  <c r="H167" i="24"/>
  <c r="H165" i="24"/>
  <c r="H163" i="24"/>
  <c r="H162" i="24"/>
  <c r="H158" i="24"/>
  <c r="H160" i="24"/>
  <c r="H154" i="24"/>
  <c r="H156" i="24"/>
  <c r="H139" i="24"/>
  <c r="H137" i="24"/>
  <c r="H134" i="24"/>
  <c r="H130" i="24"/>
  <c r="H132" i="24"/>
  <c r="H126" i="24"/>
  <c r="H128" i="24"/>
  <c r="H111" i="24"/>
  <c r="H109" i="24"/>
  <c r="H106" i="24"/>
  <c r="H102" i="24"/>
  <c r="H104" i="24"/>
  <c r="H98" i="24"/>
  <c r="H100" i="24"/>
  <c r="H83" i="24"/>
  <c r="H81" i="24"/>
  <c r="H79" i="24"/>
  <c r="H78" i="24"/>
  <c r="H74" i="24"/>
  <c r="H76" i="24"/>
  <c r="H70" i="24"/>
  <c r="H72" i="24"/>
  <c r="H55" i="24"/>
  <c r="H53" i="24"/>
  <c r="H51" i="24"/>
  <c r="H46" i="24"/>
  <c r="H48" i="24"/>
  <c r="H44" i="24"/>
  <c r="H42" i="24"/>
  <c r="H27" i="24"/>
  <c r="H25" i="24"/>
  <c r="H23" i="24"/>
  <c r="H18" i="24"/>
  <c r="H14" i="24"/>
  <c r="H16" i="24"/>
  <c r="H20" i="24"/>
  <c r="I36" i="19"/>
  <c r="I10" i="19" s="1"/>
  <c r="I29" i="19"/>
  <c r="H20" i="19"/>
  <c r="H19" i="19"/>
  <c r="I20" i="10"/>
  <c r="I25" i="10"/>
  <c r="I17" i="10"/>
  <c r="I18" i="10"/>
  <c r="I19" i="10"/>
  <c r="I16" i="10"/>
  <c r="H16" i="9"/>
  <c r="I16" i="9" s="1"/>
  <c r="H17" i="9"/>
  <c r="I25" i="8"/>
  <c r="I29" i="8"/>
  <c r="I22" i="8"/>
  <c r="H25" i="5"/>
  <c r="I20" i="5"/>
  <c r="I19" i="5"/>
  <c r="I18" i="5"/>
  <c r="I17" i="5"/>
  <c r="I16" i="5"/>
  <c r="I36" i="6"/>
  <c r="I10" i="6" s="1"/>
  <c r="I13" i="6" s="1"/>
  <c r="I21" i="28" l="1"/>
  <c r="I22" i="28" s="1"/>
  <c r="I21" i="27"/>
  <c r="I22" i="27" s="1"/>
  <c r="I21" i="10"/>
  <c r="I22" i="10" s="1"/>
  <c r="I21" i="9"/>
  <c r="I22" i="9" s="1"/>
  <c r="I13" i="8"/>
  <c r="I38" i="8" s="1"/>
  <c r="I13" i="19"/>
  <c r="I38" i="19" s="1"/>
  <c r="I29" i="10"/>
  <c r="I13" i="9"/>
  <c r="I13" i="28"/>
  <c r="I13" i="27"/>
  <c r="I10" i="5"/>
  <c r="I13" i="5" s="1"/>
  <c r="I22" i="5"/>
  <c r="I38" i="6"/>
  <c r="I158" i="24" s="1"/>
  <c r="J158" i="24" s="1"/>
  <c r="J157" i="24" s="1"/>
  <c r="I36" i="10"/>
  <c r="I36" i="29"/>
  <c r="J36" i="29" s="1"/>
  <c r="I198" i="24"/>
  <c r="J198" i="24" s="1"/>
  <c r="J197" i="24" s="1"/>
  <c r="I27" i="29"/>
  <c r="J27" i="29" s="1"/>
  <c r="J26" i="29" s="1"/>
  <c r="I196" i="24"/>
  <c r="J196" i="24" s="1"/>
  <c r="I25" i="29"/>
  <c r="J25" i="29" s="1"/>
  <c r="I24" i="29"/>
  <c r="J24" i="29" s="1"/>
  <c r="I195" i="24"/>
  <c r="J195" i="24" s="1"/>
  <c r="I23" i="29"/>
  <c r="J23" i="29" s="1"/>
  <c r="J22" i="29" s="1"/>
  <c r="I194" i="24"/>
  <c r="J194" i="24" s="1"/>
  <c r="J193" i="24" s="1"/>
  <c r="I21" i="29"/>
  <c r="J21" i="29" s="1"/>
  <c r="I192" i="24"/>
  <c r="J192" i="24" s="1"/>
  <c r="I191" i="24"/>
  <c r="J191" i="24" s="1"/>
  <c r="I20" i="29"/>
  <c r="J20" i="29" s="1"/>
  <c r="I190" i="24"/>
  <c r="J190" i="24" s="1"/>
  <c r="J189" i="24" s="1"/>
  <c r="I19" i="29"/>
  <c r="J19" i="29" s="1"/>
  <c r="J18" i="29" s="1"/>
  <c r="I83" i="24"/>
  <c r="J83" i="24" s="1"/>
  <c r="J82" i="24" s="1"/>
  <c r="I27" i="24"/>
  <c r="J27" i="24" s="1"/>
  <c r="J26" i="24" s="1"/>
  <c r="I55" i="24"/>
  <c r="J55" i="24" s="1"/>
  <c r="J54" i="24" s="1"/>
  <c r="I35" i="29"/>
  <c r="J35" i="29" s="1"/>
  <c r="I167" i="24"/>
  <c r="J167" i="24" s="1"/>
  <c r="J166" i="24" s="1"/>
  <c r="I32" i="29"/>
  <c r="J32" i="29" s="1"/>
  <c r="J31" i="29" s="1"/>
  <c r="I165" i="24"/>
  <c r="J165" i="24" s="1"/>
  <c r="J164" i="24" s="1"/>
  <c r="I17" i="29"/>
  <c r="J17" i="29" s="1"/>
  <c r="J16" i="29" s="1"/>
  <c r="I15" i="29"/>
  <c r="J15" i="29" s="1"/>
  <c r="J14" i="29" s="1"/>
  <c r="I160" i="24"/>
  <c r="J160" i="24" s="1"/>
  <c r="J159" i="24" s="1"/>
  <c r="I76" i="24"/>
  <c r="J76" i="24" s="1"/>
  <c r="J75" i="24" s="1"/>
  <c r="I104" i="24"/>
  <c r="J104" i="24" s="1"/>
  <c r="J103" i="24" s="1"/>
  <c r="I188" i="24"/>
  <c r="J188" i="24" s="1"/>
  <c r="J187" i="24" s="1"/>
  <c r="I132" i="24"/>
  <c r="J132" i="24" s="1"/>
  <c r="J131" i="24" s="1"/>
  <c r="I48" i="24"/>
  <c r="J48" i="24" s="1"/>
  <c r="J47" i="24" s="1"/>
  <c r="I20" i="24"/>
  <c r="J20" i="24" s="1"/>
  <c r="J19" i="24" s="1"/>
  <c r="I127" i="24"/>
  <c r="J127" i="24" s="1"/>
  <c r="I71" i="24"/>
  <c r="J71" i="24" s="1"/>
  <c r="I43" i="24"/>
  <c r="J43" i="24" s="1"/>
  <c r="I7" i="29"/>
  <c r="J7" i="29" s="1"/>
  <c r="I155" i="24"/>
  <c r="J155" i="24" s="1"/>
  <c r="I99" i="24"/>
  <c r="J99" i="24" s="1"/>
  <c r="I15" i="24"/>
  <c r="J15" i="24" s="1"/>
  <c r="I183" i="24"/>
  <c r="J183" i="24" s="1"/>
  <c r="I98" i="24"/>
  <c r="J98" i="24" s="1"/>
  <c r="I42" i="24"/>
  <c r="J42" i="24" s="1"/>
  <c r="I182" i="24"/>
  <c r="J182" i="24" s="1"/>
  <c r="I70" i="24"/>
  <c r="J70" i="24" s="1"/>
  <c r="I6" i="29"/>
  <c r="J6" i="29" s="1"/>
  <c r="I14" i="24"/>
  <c r="J14" i="24" s="1"/>
  <c r="I154" i="24"/>
  <c r="J154" i="24" s="1"/>
  <c r="I126" i="24"/>
  <c r="J126" i="24" s="1"/>
  <c r="I38" i="9" l="1"/>
  <c r="I45" i="9" s="1"/>
  <c r="I38" i="28"/>
  <c r="H8" i="2" s="1"/>
  <c r="I8" i="2" s="1"/>
  <c r="I38" i="27"/>
  <c r="I44" i="27" s="1"/>
  <c r="I13" i="29"/>
  <c r="J13" i="29" s="1"/>
  <c r="J12" i="29" s="1"/>
  <c r="I134" i="24"/>
  <c r="J134" i="24" s="1"/>
  <c r="I43" i="19"/>
  <c r="I10" i="10"/>
  <c r="I13" i="10" s="1"/>
  <c r="I29" i="29"/>
  <c r="J29" i="29" s="1"/>
  <c r="I45" i="8"/>
  <c r="I106" i="24"/>
  <c r="J106" i="24" s="1"/>
  <c r="I50" i="24"/>
  <c r="J50" i="24" s="1"/>
  <c r="I38" i="5"/>
  <c r="H6" i="2" s="1"/>
  <c r="I6" i="2" s="1"/>
  <c r="I43" i="27"/>
  <c r="H7" i="2"/>
  <c r="I7" i="2" s="1"/>
  <c r="I44" i="6"/>
  <c r="I45" i="6"/>
  <c r="I46" i="24"/>
  <c r="J46" i="24" s="1"/>
  <c r="J45" i="24" s="1"/>
  <c r="I18" i="24"/>
  <c r="J18" i="24" s="1"/>
  <c r="J17" i="24" s="1"/>
  <c r="I102" i="24"/>
  <c r="J102" i="24" s="1"/>
  <c r="J101" i="24" s="1"/>
  <c r="I43" i="6"/>
  <c r="I74" i="24"/>
  <c r="J74" i="24" s="1"/>
  <c r="J73" i="24" s="1"/>
  <c r="I130" i="24"/>
  <c r="J130" i="24" s="1"/>
  <c r="J129" i="24" s="1"/>
  <c r="I186" i="24"/>
  <c r="J186" i="24" s="1"/>
  <c r="J185" i="24" s="1"/>
  <c r="H10" i="2"/>
  <c r="I10" i="2" s="1"/>
  <c r="I9" i="2" s="1"/>
  <c r="J69" i="24"/>
  <c r="I111" i="24"/>
  <c r="J111" i="24" s="1"/>
  <c r="J110" i="24" s="1"/>
  <c r="J34" i="29"/>
  <c r="J125" i="24"/>
  <c r="J97" i="24"/>
  <c r="J181" i="24"/>
  <c r="J5" i="29"/>
  <c r="J13" i="24"/>
  <c r="J41" i="24"/>
  <c r="J153" i="24"/>
  <c r="I107" i="24" l="1"/>
  <c r="J107" i="24" s="1"/>
  <c r="I30" i="29"/>
  <c r="J30" i="29" s="1"/>
  <c r="I44" i="9"/>
  <c r="I79" i="24"/>
  <c r="J79" i="24" s="1"/>
  <c r="I43" i="9"/>
  <c r="I23" i="24"/>
  <c r="J23" i="24" s="1"/>
  <c r="I51" i="24"/>
  <c r="J51" i="24" s="1"/>
  <c r="J49" i="24" s="1"/>
  <c r="I135" i="24"/>
  <c r="J135" i="24" s="1"/>
  <c r="J133" i="24" s="1"/>
  <c r="H13" i="2"/>
  <c r="I13" i="2" s="1"/>
  <c r="I163" i="24"/>
  <c r="J163" i="24" s="1"/>
  <c r="I44" i="28"/>
  <c r="I45" i="28"/>
  <c r="I43" i="28"/>
  <c r="I46" i="28" s="1"/>
  <c r="I49" i="28" s="1"/>
  <c r="I45" i="27"/>
  <c r="I46" i="27" s="1"/>
  <c r="I49" i="27" s="1"/>
  <c r="I44" i="5"/>
  <c r="I8" i="29"/>
  <c r="J8" i="29" s="1"/>
  <c r="I156" i="24"/>
  <c r="J156" i="24" s="1"/>
  <c r="I16" i="24"/>
  <c r="J16" i="24" s="1"/>
  <c r="I45" i="5"/>
  <c r="I128" i="24"/>
  <c r="J128" i="24" s="1"/>
  <c r="I184" i="24"/>
  <c r="J184" i="24" s="1"/>
  <c r="I44" i="24"/>
  <c r="J44" i="24" s="1"/>
  <c r="I5" i="2"/>
  <c r="I46" i="6"/>
  <c r="I49" i="6" s="1"/>
  <c r="I38" i="10"/>
  <c r="I53" i="24" s="1"/>
  <c r="J53" i="24" s="1"/>
  <c r="J52" i="24" s="1"/>
  <c r="I43" i="5"/>
  <c r="I100" i="24"/>
  <c r="J100" i="24" s="1"/>
  <c r="I22" i="24"/>
  <c r="J22" i="24" s="1"/>
  <c r="J21" i="24" s="1"/>
  <c r="I43" i="8"/>
  <c r="H12" i="2"/>
  <c r="I12" i="2" s="1"/>
  <c r="I11" i="2" s="1"/>
  <c r="I162" i="24"/>
  <c r="J162" i="24" s="1"/>
  <c r="J161" i="24" s="1"/>
  <c r="J168" i="24" s="1"/>
  <c r="J169" i="24" s="1"/>
  <c r="I44" i="8"/>
  <c r="I78" i="24"/>
  <c r="J78" i="24" s="1"/>
  <c r="J28" i="29"/>
  <c r="J40" i="29" s="1"/>
  <c r="J42" i="29" s="1"/>
  <c r="I139" i="24"/>
  <c r="J139" i="24" s="1"/>
  <c r="J138" i="24" s="1"/>
  <c r="I45" i="19"/>
  <c r="H17" i="2"/>
  <c r="I17" i="2" s="1"/>
  <c r="I16" i="2" s="1"/>
  <c r="I37" i="29"/>
  <c r="J37" i="29" s="1"/>
  <c r="I44" i="19"/>
  <c r="J105" i="24"/>
  <c r="I46" i="9"/>
  <c r="I49" i="9" s="1"/>
  <c r="J199" i="24"/>
  <c r="J200" i="24" s="1"/>
  <c r="I72" i="24"/>
  <c r="J72" i="24" s="1"/>
  <c r="I137" i="24" l="1"/>
  <c r="J137" i="24" s="1"/>
  <c r="J136" i="24" s="1"/>
  <c r="I25" i="24"/>
  <c r="J25" i="24" s="1"/>
  <c r="J24" i="24" s="1"/>
  <c r="J28" i="24" s="1"/>
  <c r="J29" i="24" s="1"/>
  <c r="J77" i="24"/>
  <c r="I46" i="5"/>
  <c r="I49" i="5" s="1"/>
  <c r="I81" i="24"/>
  <c r="J81" i="24" s="1"/>
  <c r="J80" i="24" s="1"/>
  <c r="I45" i="10"/>
  <c r="I109" i="24"/>
  <c r="J109" i="24" s="1"/>
  <c r="J108" i="24" s="1"/>
  <c r="J112" i="24" s="1"/>
  <c r="J114" i="24" s="1"/>
  <c r="I44" i="10"/>
  <c r="I43" i="10"/>
  <c r="J56" i="24"/>
  <c r="J57" i="24" s="1"/>
  <c r="H15" i="2"/>
  <c r="I15" i="2" s="1"/>
  <c r="I33" i="29"/>
  <c r="J33" i="29" s="1"/>
  <c r="J201" i="24"/>
  <c r="J202" i="24" s="1"/>
  <c r="J210" i="24" s="1"/>
  <c r="J140" i="24"/>
  <c r="J141" i="24" s="1"/>
  <c r="I46" i="8"/>
  <c r="I49" i="8" s="1"/>
  <c r="I46" i="19"/>
  <c r="I49" i="19" s="1"/>
  <c r="J170" i="24"/>
  <c r="J171" i="24" s="1"/>
  <c r="L171" i="24" s="1"/>
  <c r="J41" i="29"/>
  <c r="J43" i="29" s="1"/>
  <c r="J84" i="24" l="1"/>
  <c r="J85" i="24" s="1"/>
  <c r="I14" i="2"/>
  <c r="L202" i="24"/>
  <c r="L203" i="24" s="1"/>
  <c r="I46" i="10"/>
  <c r="I49" i="10" s="1"/>
  <c r="J58" i="24"/>
  <c r="J59" i="24" s="1"/>
  <c r="J205" i="24" s="1"/>
  <c r="J30" i="24"/>
  <c r="J31" i="24" s="1"/>
  <c r="J204" i="24" s="1"/>
  <c r="J211" i="24" s="1"/>
  <c r="J212" i="24" s="1"/>
  <c r="J142" i="24"/>
  <c r="J143" i="24" s="1"/>
  <c r="J208" i="24" s="1"/>
  <c r="J113" i="24"/>
  <c r="J115" i="24" s="1"/>
  <c r="J207" i="24" s="1"/>
  <c r="J209" i="24"/>
  <c r="H10" i="30"/>
  <c r="J86" i="24" l="1"/>
  <c r="J87" i="24" s="1"/>
  <c r="J206" i="24" s="1"/>
  <c r="K211" i="24"/>
  <c r="I10" i="30"/>
  <c r="I13" i="30" s="1"/>
  <c r="I38" i="30" s="1"/>
  <c r="I44" i="30" l="1"/>
  <c r="I45" i="30"/>
  <c r="H19" i="2"/>
  <c r="I19" i="2" s="1"/>
  <c r="I43" i="30"/>
  <c r="I46" i="30" l="1"/>
  <c r="I49" i="30" s="1"/>
  <c r="I18" i="2"/>
  <c r="I20" i="2" l="1"/>
  <c r="I22" i="2" s="1"/>
  <c r="I21" i="2" l="1"/>
  <c r="I23" i="2"/>
  <c r="I22" i="34"/>
  <c r="I24" i="2" l="1"/>
  <c r="G11" i="34" s="1"/>
  <c r="I11" i="34" s="1"/>
  <c r="J11" i="34" s="1"/>
  <c r="G13" i="34" l="1"/>
  <c r="I13" i="34" s="1"/>
  <c r="J13" i="34" s="1"/>
  <c r="G14" i="34"/>
  <c r="I14" i="34" s="1"/>
  <c r="J14" i="34" s="1"/>
  <c r="G10" i="34"/>
  <c r="I10" i="34" s="1"/>
  <c r="J10" i="34" s="1"/>
  <c r="G15" i="34"/>
  <c r="I15" i="34" s="1"/>
  <c r="J15" i="34" s="1"/>
  <c r="G12" i="34"/>
  <c r="I12" i="34" s="1"/>
  <c r="J12" i="34" s="1"/>
  <c r="J16" i="34" l="1"/>
  <c r="H18" i="34" s="1"/>
  <c r="I18" i="34" s="1"/>
  <c r="J18" i="34" s="1"/>
  <c r="J20" i="34" s="1"/>
  <c r="I16" i="34"/>
  <c r="I20" i="34" l="1"/>
  <c r="I24" i="34" s="1"/>
</calcChain>
</file>

<file path=xl/sharedStrings.xml><?xml version="1.0" encoding="utf-8"?>
<sst xmlns="http://schemas.openxmlformats.org/spreadsheetml/2006/main" count="1399" uniqueCount="327">
  <si>
    <t>ITEM</t>
  </si>
  <si>
    <t>DESCRIPCIÓN</t>
  </si>
  <si>
    <t>PRELIMINARES</t>
  </si>
  <si>
    <t>M2</t>
  </si>
  <si>
    <t xml:space="preserve">CURADO E IMPERMEABILIZACION </t>
  </si>
  <si>
    <t>KG</t>
  </si>
  <si>
    <t>ML</t>
  </si>
  <si>
    <t>M3</t>
  </si>
  <si>
    <t xml:space="preserve">ESTRUCTURA EN MADERA NATURAL </t>
  </si>
  <si>
    <t>ESTRUCTURAS EN MADERA SINTETICA</t>
  </si>
  <si>
    <t>PRESUPUESTO GENERAL DEL PROYECTO</t>
  </si>
  <si>
    <t>UND.</t>
  </si>
  <si>
    <t>CANT.</t>
  </si>
  <si>
    <t>Nro. DE ORDEN</t>
  </si>
  <si>
    <t>ITEM DE PAGO</t>
  </si>
  <si>
    <t>ESPECIFICACIÓN</t>
  </si>
  <si>
    <t>GR.</t>
  </si>
  <si>
    <t>PART.</t>
  </si>
  <si>
    <t>Localización, trazado y replanteo del proyecto.</t>
  </si>
  <si>
    <t>Km0+000  -  Km0+049</t>
  </si>
  <si>
    <t>1.20</t>
  </si>
  <si>
    <t>49.0</t>
  </si>
  <si>
    <t>Ancho Promedio (Mts)</t>
  </si>
  <si>
    <t>1.0</t>
  </si>
  <si>
    <t>1.1.</t>
  </si>
  <si>
    <t>Retiro puente existente</t>
  </si>
  <si>
    <t>1.2.</t>
  </si>
  <si>
    <t>1.3.</t>
  </si>
  <si>
    <t>2.0</t>
  </si>
  <si>
    <t xml:space="preserve">Excavación de terreno de 0 a 1,20 mts. </t>
  </si>
  <si>
    <t>2.1.</t>
  </si>
  <si>
    <t xml:space="preserve">EXCAVACIÓN </t>
  </si>
  <si>
    <t>LLENO</t>
  </si>
  <si>
    <t>3.0</t>
  </si>
  <si>
    <t>3.1.</t>
  </si>
  <si>
    <t>Lleno compactado manualmente con material Proveniente de la excavación</t>
  </si>
  <si>
    <t>4.0</t>
  </si>
  <si>
    <t>Longitud Aprox. De la Vía (Mts)</t>
  </si>
  <si>
    <t>Abscisa</t>
  </si>
  <si>
    <t xml:space="preserve"> V/UNIT </t>
  </si>
  <si>
    <t xml:space="preserve"> V/TOTAL </t>
  </si>
  <si>
    <t xml:space="preserve">Curado e impermeabilización de madera con pintura bituminosa tipo vareta color negro </t>
  </si>
  <si>
    <t xml:space="preserve">Suministro y aplicación de manto en las vigas superiores durmientes longitudinales de 4" x 4" donde se atornilla la madera sintética </t>
  </si>
  <si>
    <t>Costos Directos</t>
  </si>
  <si>
    <t xml:space="preserve">Administración </t>
  </si>
  <si>
    <t>Utilidad</t>
  </si>
  <si>
    <t>4.1.</t>
  </si>
  <si>
    <t>4.2.</t>
  </si>
  <si>
    <t>5.1.</t>
  </si>
  <si>
    <t>6.1.</t>
  </si>
  <si>
    <t>5.0</t>
  </si>
  <si>
    <t>6.0</t>
  </si>
  <si>
    <t>Datos Generales:</t>
  </si>
  <si>
    <t>Tramo: Nro. 1</t>
  </si>
  <si>
    <t>Sub Total Tramo Nro. 1</t>
  </si>
  <si>
    <t>100P</t>
  </si>
  <si>
    <t>Descapote</t>
  </si>
  <si>
    <t>101P</t>
  </si>
  <si>
    <t>200.1</t>
  </si>
  <si>
    <t>N.A.</t>
  </si>
  <si>
    <t>200.2</t>
  </si>
  <si>
    <t>200.3</t>
  </si>
  <si>
    <t>700.2</t>
  </si>
  <si>
    <t>400.1</t>
  </si>
  <si>
    <t>500.6</t>
  </si>
  <si>
    <t>500.8</t>
  </si>
  <si>
    <t>ANALISIS DE PRECIOS UNITARIOS</t>
  </si>
  <si>
    <t>UNIDAD:</t>
  </si>
  <si>
    <t>I. EQUIPO</t>
  </si>
  <si>
    <t>Descripción</t>
  </si>
  <si>
    <t>Tipo</t>
  </si>
  <si>
    <t>Tarifa/hora</t>
  </si>
  <si>
    <t>Rendimiento</t>
  </si>
  <si>
    <t>Valor-Unit.</t>
  </si>
  <si>
    <t>Valor-Total</t>
  </si>
  <si>
    <t>Sub-Total</t>
  </si>
  <si>
    <t>II. MATERIALES EN OBRA</t>
  </si>
  <si>
    <t>Unidad</t>
  </si>
  <si>
    <t>Precio-Unit.</t>
  </si>
  <si>
    <t>Cantidad</t>
  </si>
  <si>
    <t>III. TRANSPORTE</t>
  </si>
  <si>
    <t>Material</t>
  </si>
  <si>
    <t>Vol. Peso ó Cant.</t>
  </si>
  <si>
    <t>Tarifa</t>
  </si>
  <si>
    <t>IV. MANO DE OBRA</t>
  </si>
  <si>
    <t>Trabajador</t>
  </si>
  <si>
    <t>Prestaciones</t>
  </si>
  <si>
    <t>Jornal Total</t>
  </si>
  <si>
    <t>Total Costos Directos</t>
  </si>
  <si>
    <t>V. COSTOS INDIRECTOS</t>
  </si>
  <si>
    <t>Porcentaje</t>
  </si>
  <si>
    <t>ADMINISTRACION</t>
  </si>
  <si>
    <t>IMPREVISTO</t>
  </si>
  <si>
    <t>UTILIDAD</t>
  </si>
  <si>
    <t>Precio Unitario Total aproximado al peso</t>
  </si>
  <si>
    <t>%</t>
  </si>
  <si>
    <t>Jornal/Mes</t>
  </si>
  <si>
    <t>Distancia (Km)</t>
  </si>
  <si>
    <t>Vol. Peso ó Cant.-Km</t>
  </si>
  <si>
    <t>Oficial</t>
  </si>
  <si>
    <t>Tramo: Nro. 2</t>
  </si>
  <si>
    <t>Puente Palafitico En Madera Localizado En La Carrera 15 Entre Las Calles Quinta Y Sexta En La Zona Urbana Del Municipio De Murindó – Antioquia</t>
  </si>
  <si>
    <t>32.0</t>
  </si>
  <si>
    <t>Sub Total Tramo Nro. 2</t>
  </si>
  <si>
    <t>Km0+000  -  Km0+032</t>
  </si>
  <si>
    <t>Gran Total</t>
  </si>
  <si>
    <t>Puente Palafitico En Madera para el Acceso al Centro de Desarrollo Infantil "CDI" Localizado En La Zona Urbana Del Municipio De Murindó – Antioquia</t>
  </si>
  <si>
    <t>Sub Total Tramo Nro. 3</t>
  </si>
  <si>
    <t>Tramo: Nro. 3</t>
  </si>
  <si>
    <t>13.0</t>
  </si>
  <si>
    <t>Tramo: Nro. 4</t>
  </si>
  <si>
    <t>Km0+000  -  Km0+013</t>
  </si>
  <si>
    <t>Sub Total Tramo Nro. 4</t>
  </si>
  <si>
    <t>Sub Total Tramo Nro. 5</t>
  </si>
  <si>
    <t>Tramo: Nro. 5</t>
  </si>
  <si>
    <t>47.0</t>
  </si>
  <si>
    <t>Km0+000  -  Km0+047</t>
  </si>
  <si>
    <t xml:space="preserve">CONSTRUCCIÓN DE PUENTES PALAFÍTICOS EN LA ZONA URBANA DEL MUNICIPIO DE MURINDÓ – ANTIOQUIA. </t>
  </si>
  <si>
    <t xml:space="preserve">CONSTRUCCIÓN DE PUENTES PALAFÍTICOS EN LA ZONA URBANA DEL MUNICIPIO DE MURINDÓ – ANTIOQUIA </t>
  </si>
  <si>
    <t>CIMENTACIÓN</t>
  </si>
  <si>
    <t>Pilotes de madera hincados</t>
  </si>
  <si>
    <t>Concreto Clase F (Solado)</t>
  </si>
  <si>
    <t>Concreto Clase D (Zapatas)</t>
  </si>
  <si>
    <t>4.3.</t>
  </si>
  <si>
    <t>ESTRUCTURA</t>
  </si>
  <si>
    <t xml:space="preserve">Concreto Clase D (Columnas) </t>
  </si>
  <si>
    <t>Concreto Clase D (Viga aerea)</t>
  </si>
  <si>
    <t>Concreto Clase D (Losa superior)</t>
  </si>
  <si>
    <t>ACERO DE REFUERZO</t>
  </si>
  <si>
    <t>Acero de refuerzo fy=420 Mpa</t>
  </si>
  <si>
    <t>5.2.</t>
  </si>
  <si>
    <t>5.3.</t>
  </si>
  <si>
    <t>600.1</t>
  </si>
  <si>
    <t>620.1</t>
  </si>
  <si>
    <t>Desperdicio</t>
  </si>
  <si>
    <t>620.2</t>
  </si>
  <si>
    <t>620.3</t>
  </si>
  <si>
    <t>620.4</t>
  </si>
  <si>
    <t>620.5</t>
  </si>
  <si>
    <t>800.1</t>
  </si>
  <si>
    <t>Puente Palafitico En Concreto Reforzado Localizado En La Carrera 15 Entre Las Calles Cuarta Y Quinta En La Zona Urbana Del Municipio De Murindó – Antioquia</t>
  </si>
  <si>
    <t>2.50</t>
  </si>
  <si>
    <t>Puente Palafitico En Madera Localizado En La Carrera 21 Entre Las Calles Segunda Y Tercera En La Zona Urbana Del Municipio De Murindó – Antioquia</t>
  </si>
  <si>
    <t>Interventoria</t>
  </si>
  <si>
    <t>500.9</t>
  </si>
  <si>
    <t>Km0+000  -  Km0+060</t>
  </si>
  <si>
    <t>Tramo: Nro. 6</t>
  </si>
  <si>
    <t>Sub Total Tramo Nro. 6</t>
  </si>
  <si>
    <t>Tramo: Nro. 7</t>
  </si>
  <si>
    <t>Sub Total Tramo Nro. 7</t>
  </si>
  <si>
    <t>11.1.</t>
  </si>
  <si>
    <t>11.2.</t>
  </si>
  <si>
    <t>11.3.</t>
  </si>
  <si>
    <t>11.0</t>
  </si>
  <si>
    <t>12.0</t>
  </si>
  <si>
    <t>12.1.</t>
  </si>
  <si>
    <t>13.1.</t>
  </si>
  <si>
    <t>14.0</t>
  </si>
  <si>
    <t>14.1.</t>
  </si>
  <si>
    <t>14.2.</t>
  </si>
  <si>
    <t>15.0</t>
  </si>
  <si>
    <t>15.1.</t>
  </si>
  <si>
    <t>16.0</t>
  </si>
  <si>
    <t>16.1.</t>
  </si>
  <si>
    <t xml:space="preserve">Suministro, transporte e instalación de madera natural en truncado, Níspero o similar para la conformación de un tramo  de puente con  puntales de 5" x 5" x 3,00 mts., vientos diagonales de 2,0" x 5" x 2,50 mts., vigas riostras superiores de 5" x 3" x 1,10 mts., vigas durmientes longitudinales de 4" x 4" x 3,00 mts. </t>
  </si>
  <si>
    <t>Km0+000  -  Km0+018</t>
  </si>
  <si>
    <t>18.00</t>
  </si>
  <si>
    <t>83.00</t>
  </si>
  <si>
    <t>38.0</t>
  </si>
  <si>
    <t xml:space="preserve">Suministro, transporte e instalación de madera natural en truncado, Níspero o similar para la conformación de un tramo  de puente con  puntales de 5" x 5" x 3,00 mts., vientos diagonales de 2" x 5" x 2,50 mts., vigas riostras superiores de 5" x 3" x 1,10 mts., vigas durmientes longitudinales de 4" x 4" x 3,00 mts. </t>
  </si>
  <si>
    <t>SAITAMO</t>
  </si>
  <si>
    <t>IGLESIA</t>
  </si>
  <si>
    <t>CHEILA</t>
  </si>
  <si>
    <t>HACIA CDI</t>
  </si>
  <si>
    <t>CDI</t>
  </si>
  <si>
    <t>UBER</t>
  </si>
  <si>
    <t>SIETE</t>
  </si>
  <si>
    <t>Km0+000  -  Km0+083</t>
  </si>
  <si>
    <t>Suministro, Transporte e Instalación de Madera Sintética en Tablillas de 120cm x 14cm x 5cm, sujetos a las vigas durmientes longitudinales con tornillos de 6,5" X D= 3/8"</t>
  </si>
  <si>
    <t xml:space="preserve">Suministro, transporte e instalación de madera natural en Truncado, Níspero o similar para la conformación de un tramo  de puente con  puntales de 5" x 5" x 3,00 mts., vientos diagonales de 2,0" x 5" x 2,50 mts., vigas riostras superiores de 5" x 3" x 1,10 mts., vigas durmientes longitudinales de 4" x 4" x 3,00 mts. </t>
  </si>
  <si>
    <t>Instalación de madera sintética en tablillas de 120cm x 12cm x 4cm, sujetos a las vigas durmientes longitudinales con tornillos de 6,5" X D= 3/8"</t>
  </si>
  <si>
    <t>Puente Palafitico En Madera Localizado En La Carrera 14 Entre Las Calles Quinta Y Sexta En La Zona Urbana Del Municipio De Murindó – Antioquia</t>
  </si>
  <si>
    <t>Puente Palafitico En Madera Localizado En La Carrera 16 Entre Las Calles Cuarta Y Quinta En La Zona Urbana Del Municipio De Murindó – Antioquia</t>
  </si>
  <si>
    <t>Puente Palafitico En Madera Localizado En La Carrera 19 Entre Las Calles Segunda Y Tercera En La Zona Urbana Del Municipio De Murindó – Antioquia</t>
  </si>
  <si>
    <t>500.5</t>
  </si>
  <si>
    <t xml:space="preserve">Suministro, transporte e instalación de madera natural en truncado, Níspero o similar para la conformación de un tramo  de puente con  puntales de 5" x 5" x 3,00 mts., vientos diagonales de 2" x 5" x 3,50 mts., vigas riostras superiores de 5" x 3" x 2,30 mts., vigas durmientes longitudinales de 4" x 4" x 3,00 mts. </t>
  </si>
  <si>
    <t>Suministro, Transporte e Instalación de Madera Sintética en Tablillas de 240cm x 14cm x 5cm, sujetos a las vigas durmientes longitudinales con tornillos de 6,5" X D= 3/8"</t>
  </si>
  <si>
    <t>500.7</t>
  </si>
  <si>
    <t>Total Tramo</t>
  </si>
  <si>
    <t xml:space="preserve">Suministro, transporte e instalación de madera natural en Truncado, Níspero o similar para la conformación de un tramo  de puente con  puntales de 5" x 5" x 3,00 mts., vientos diagonales de 2" x 5" x 2,50 mts., vigas riostras superiores de 5" x 3" x 1,10 mts., vigas durmientes longitudinales de 4" x 4" x 3,00 mts. </t>
  </si>
  <si>
    <t>Suministro, Transporte e Instalación de Madera Sintética en Tablillas de 120cm x 14cm x 5cm, doble sujetos a las vigas durmientes longitudinales con tornillos de 6,5" X D= 3/8"</t>
  </si>
  <si>
    <t>CONSTRUCCIÓN Y MANTENIMIENTO DE PUENTES PALAFÍTICOS PEATONALES EN LA ZONA URBANA DE MUNICIPIO DE MURINDÓ  ANTIOQUIA</t>
  </si>
  <si>
    <t xml:space="preserve">Excavación de terreno de 0 a 2,0 mts. </t>
  </si>
  <si>
    <t>6.2.</t>
  </si>
  <si>
    <t>6.3.</t>
  </si>
  <si>
    <t>7.0</t>
  </si>
  <si>
    <t>7.1.</t>
  </si>
  <si>
    <t>8.0</t>
  </si>
  <si>
    <t>9.0</t>
  </si>
  <si>
    <t>10.0</t>
  </si>
  <si>
    <t>LIMPIEZA GENERAL</t>
  </si>
  <si>
    <t>Limpieza general de la obra</t>
  </si>
  <si>
    <t>Gbl</t>
  </si>
  <si>
    <t>Localización, trazado y replanteo</t>
  </si>
  <si>
    <t>Retiro de puente existente</t>
  </si>
  <si>
    <t>Campamento</t>
  </si>
  <si>
    <t>1.4.</t>
  </si>
  <si>
    <t>Cerramiento</t>
  </si>
  <si>
    <t>Acceso provisional de viviendas</t>
  </si>
  <si>
    <t>Lleno compactado con material Seleccionado</t>
  </si>
  <si>
    <t>Retiro y Bote de Sobrantes</t>
  </si>
  <si>
    <t>RETIRO DE MATERIAL SOBRANTE</t>
  </si>
  <si>
    <t>900.1</t>
  </si>
  <si>
    <t>Nuevo</t>
  </si>
  <si>
    <t>200.4</t>
  </si>
  <si>
    <t>200.5</t>
  </si>
  <si>
    <t>1.5.</t>
  </si>
  <si>
    <t>200.6</t>
  </si>
  <si>
    <t>1.6.</t>
  </si>
  <si>
    <t>200.7</t>
  </si>
  <si>
    <t xml:space="preserve">Longitud </t>
  </si>
  <si>
    <t xml:space="preserve">Dedicación </t>
  </si>
  <si>
    <t xml:space="preserve">Sueldo/Valor </t>
  </si>
  <si>
    <t xml:space="preserve">Subtotal </t>
  </si>
  <si>
    <t>% calculado sobre el valor del contrato en Costos Directos</t>
  </si>
  <si>
    <t>1.</t>
  </si>
  <si>
    <t>ADMINISTRACIÓN</t>
  </si>
  <si>
    <t xml:space="preserve">Impuestos </t>
  </si>
  <si>
    <t>VALOR CONTRATO EN COSTOS DIRECTOS</t>
  </si>
  <si>
    <t>Estampilla Pro Hospital</t>
  </si>
  <si>
    <t>Estampilla Pro Cultura</t>
  </si>
  <si>
    <t>VALOR CONTRATO EN COSTOS TOTALES  (sumatoria A.U. + COSTOS DIRECTOS)</t>
  </si>
  <si>
    <t xml:space="preserve"> VALOR. UNIT </t>
  </si>
  <si>
    <t xml:space="preserve"> VALOR. TOTAL </t>
  </si>
  <si>
    <t>Imprevistos</t>
  </si>
  <si>
    <t>Total</t>
  </si>
  <si>
    <t xml:space="preserve">% </t>
  </si>
  <si>
    <t>1.2</t>
  </si>
  <si>
    <t>1.2.1.</t>
  </si>
  <si>
    <t>-</t>
  </si>
  <si>
    <t>1.2.2.</t>
  </si>
  <si>
    <t>1.2.3</t>
  </si>
  <si>
    <t>Estampilla Pro Bienestar Adulto Mayor</t>
  </si>
  <si>
    <t>1.2.4.</t>
  </si>
  <si>
    <t>Contrato de Construccion</t>
  </si>
  <si>
    <t>1.2.5.</t>
  </si>
  <si>
    <t xml:space="preserve">Fondo de Seguridad </t>
  </si>
  <si>
    <t>1.2.6</t>
  </si>
  <si>
    <t>Reteica</t>
  </si>
  <si>
    <t xml:space="preserve">                          VALOR  TOTAL AIU</t>
  </si>
  <si>
    <t>DISCRIMINACION DEL AIU</t>
  </si>
  <si>
    <t>Instalación de madera sintética en tablillas de 120cm x 12cm x 4cm, sujetos a las vigas durmientes longitudinales con tornillos de 6,5" X D= 3/8" (Incluye la recuperacion de la tablillas existente)</t>
  </si>
  <si>
    <t>CALCULO DEL FACTOR DE PRESTACIONES SOCIALES</t>
  </si>
  <si>
    <t>SALARIO MINIMO MENSUAL LEGAL VIGENTE A PARTIR DE 1/01/2019</t>
  </si>
  <si>
    <t>1.00 SMMLV</t>
  </si>
  <si>
    <t>1.50 SMMLV</t>
  </si>
  <si>
    <t>1.75 SMMLV</t>
  </si>
  <si>
    <t>2.00 SMMLV</t>
  </si>
  <si>
    <t>3.00 - 10 SMMLV</t>
  </si>
  <si>
    <t>10 SMMLV EN ADELANTE</t>
  </si>
  <si>
    <t>SUBSIDIO DE TRANSPORTE</t>
  </si>
  <si>
    <t>Ayudante</t>
  </si>
  <si>
    <t>Plomero - Electricista</t>
  </si>
  <si>
    <t>Operario</t>
  </si>
  <si>
    <t>Personal Técnico y Profesional</t>
  </si>
  <si>
    <t>Personal Profesional</t>
  </si>
  <si>
    <t>CONCEPTO</t>
  </si>
  <si>
    <t>FORMULA</t>
  </si>
  <si>
    <t>SALARIO ANUAL</t>
  </si>
  <si>
    <t>A</t>
  </si>
  <si>
    <t>SUBSIDIO DE TRANSPORTE ANUAL</t>
  </si>
  <si>
    <t>B</t>
  </si>
  <si>
    <t>PRESTACIONES</t>
  </si>
  <si>
    <t>CESANTIA</t>
  </si>
  <si>
    <t>C=36*(A+B)/365</t>
  </si>
  <si>
    <t>INTERESES CESANTIA</t>
  </si>
  <si>
    <t>D=12.00%C</t>
  </si>
  <si>
    <t>VACACIONES</t>
  </si>
  <si>
    <t>E=A/24</t>
  </si>
  <si>
    <t>PRIMAS</t>
  </si>
  <si>
    <t>F=A/12</t>
  </si>
  <si>
    <t>CALZADO Y VESTIDO DE LABOR</t>
  </si>
  <si>
    <t>BOTAS Y OVEROL (3 VECES POR AÑO)</t>
  </si>
  <si>
    <t>G=GBL</t>
  </si>
  <si>
    <t>SEGURIDAD SOCIAL</t>
  </si>
  <si>
    <t>PENSION</t>
  </si>
  <si>
    <t>H=12,00%A</t>
  </si>
  <si>
    <t>SALUD</t>
  </si>
  <si>
    <t>I=8.50%A</t>
  </si>
  <si>
    <t>RIESGOS PROFESIONALES (Riesgo V)</t>
  </si>
  <si>
    <t>J=6,96%A</t>
  </si>
  <si>
    <t>APORTES PARAFISCALES</t>
  </si>
  <si>
    <t>CREE</t>
  </si>
  <si>
    <t>K=0.60%A</t>
  </si>
  <si>
    <t>SENA</t>
  </si>
  <si>
    <t>ICBF</t>
  </si>
  <si>
    <t>CAJA DE COMPENSACION</t>
  </si>
  <si>
    <t>M=4.00%A</t>
  </si>
  <si>
    <t>TOTAL ANUAL</t>
  </si>
  <si>
    <t xml:space="preserve"> </t>
  </si>
  <si>
    <t>Notas:</t>
  </si>
  <si>
    <t>1 - Porcentaje de Horas Extras aprobado en Mesa de Trabajo para estimación del Factor de AIU (*)</t>
  </si>
  <si>
    <t>HORAS/MES TRABAJADAS</t>
  </si>
  <si>
    <t>U.M.</t>
  </si>
  <si>
    <t>H.EXTR. / MES</t>
  </si>
  <si>
    <t>F. H.EXTR.</t>
  </si>
  <si>
    <t>H.EQUIV.</t>
  </si>
  <si>
    <t>HORA EXTRA DIURNA</t>
  </si>
  <si>
    <t>HORA</t>
  </si>
  <si>
    <t>HORA EXTRA NOCTURNA</t>
  </si>
  <si>
    <t>HORA EXTRA FESTIVA DIURNA</t>
  </si>
  <si>
    <t>Tarife/hora</t>
  </si>
  <si>
    <t>Jornal/dia</t>
  </si>
  <si>
    <t>(*)</t>
  </si>
  <si>
    <t>Inspector</t>
  </si>
  <si>
    <t>Maestro de Obra, Oficial y Ayudante</t>
  </si>
  <si>
    <t>Topógrafo, Cadenero 1 y Cadenero 2</t>
  </si>
  <si>
    <t>Almacenista</t>
  </si>
  <si>
    <t>Conductor o Motorista</t>
  </si>
  <si>
    <t>2 - El cálculo del Factor Prestacional no considera Elementos de Protección Personal ni Exámenes Médicos Ocupacionales.</t>
  </si>
  <si>
    <t>Histórico del salario mínimo en Colombia desde 1.990</t>
  </si>
  <si>
    <t>Año</t>
  </si>
  <si>
    <t>Salario mínimo</t>
  </si>
  <si>
    <t>Auxilio de transporte</t>
  </si>
  <si>
    <t xml:space="preserve">Suministro, transporte e instalación de madera natural en Truncado, Níspero o similar para la conformación de un tramo  de puente con  puntales de 5" x 5" x 3,00 mts., vientos diagonales de 2" x 4" x 2,50 mts., vigas riostras superiores de 5" x 3" x 1,00 mts., vigas durmientes longitudinales de 4" x 4" x 3,00 mts. </t>
  </si>
  <si>
    <t>“CONSTRUCCIÓN Y MANTENIMIENTO DEL PUENTE PALAFÍTICO PEATONAL EN MADERA EN LA CALLE 3ra ENTRE CARRERAS 17 Y 19 EN LA ZONA URBANA DE MUNICIPIO DE MURINDÓ - ANTIOQUIA”</t>
  </si>
  <si>
    <t>CONSTRUCCIÓN Y MANTENIMIENTO DEL PUENTE PALAFÍTICO PEATONAL EN MADERA EN LA CALLE 3ra ENTRE CARRERAS 17 Y 19 EN LA ZONA URBANA DE MUNICIPIO DE MURINDÓ -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</si>
</sst>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* #,##0_-;\-&quot;$&quot;* #,##0_-;_-&quot;$&quot;* &quot;-&quot;_-;_-@_-"/>
    <numFmt numFmtId="43" formatCode="_-* #,##0.00_-;\-* #,##0.00_-;_-* &quot;-&quot;??_-;_-@_-"/>
    <numFmt numFmtId="164" formatCode="0.0"/>
    <numFmt numFmtId="165" formatCode="_(&quot;$&quot;\ * #,##0_);_(&quot;$&quot;\ * \(#,##0\);_(&quot;$&quot;\ * &quot;-&quot;??_);_(@_)"/>
    <numFmt numFmtId="166" formatCode="0.0%"/>
    <numFmt numFmtId="167" formatCode="_-* #,##0.0_-;\-* #,##0.0_-;_-* &quot;-&quot;??_-;_-@_-"/>
    <numFmt numFmtId="168" formatCode="#,##0.000"/>
    <numFmt numFmtId="169" formatCode="&quot;$&quot;\ #,##0"/>
    <numFmt numFmtId="170" formatCode="#,##0.00;[Red]#,##0.00"/>
    <numFmt numFmtId="171" formatCode="_(&quot;$&quot;\ * #,##0.00_);_(&quot;$&quot;\ * \(#,##0.00\);_(&quot;$&quot;\ * &quot;-&quot;??_);_(@_)"/>
    <numFmt numFmtId="172" formatCode="#,##0.0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MS Sans Serif"/>
      <family val="2"/>
    </font>
    <font>
      <sz val="11"/>
      <name val="Arial"/>
      <family val="2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0"/>
      <name val="Arial"/>
      <family val="2"/>
      <charset val="1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</font>
    <font>
      <sz val="9"/>
      <name val="Arial"/>
      <family val="2"/>
      <charset val="1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ACB9C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8"/>
      </right>
      <top style="thin">
        <color indexed="64"/>
      </top>
      <bottom style="double">
        <color indexed="64"/>
      </bottom>
      <diagonal/>
    </border>
    <border>
      <left style="hair">
        <color indexed="8"/>
      </left>
      <right/>
      <top style="thin">
        <color indexed="64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medium">
        <color indexed="64"/>
      </right>
      <top style="hair">
        <color indexed="8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0" fontId="18" fillId="0" borderId="0"/>
    <xf numFmtId="9" fontId="19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707">
    <xf numFmtId="0" fontId="0" fillId="0" borderId="0" xfId="0"/>
    <xf numFmtId="165" fontId="0" fillId="0" borderId="0" xfId="0" applyNumberFormat="1"/>
    <xf numFmtId="4" fontId="14" fillId="2" borderId="22" xfId="0" applyNumberFormat="1" applyFont="1" applyFill="1" applyBorder="1" applyAlignment="1">
      <alignment horizontal="right" vertical="center"/>
    </xf>
    <xf numFmtId="0" fontId="0" fillId="0" borderId="22" xfId="0" applyBorder="1" applyAlignment="1">
      <alignment vertical="center" wrapText="1"/>
    </xf>
    <xf numFmtId="4" fontId="14" fillId="2" borderId="5" xfId="0" applyNumberFormat="1" applyFont="1" applyFill="1" applyBorder="1" applyAlignment="1">
      <alignment horizontal="right" vertical="center"/>
    </xf>
    <xf numFmtId="0" fontId="0" fillId="0" borderId="23" xfId="0" applyBorder="1" applyAlignment="1">
      <alignment vertical="center" wrapText="1"/>
    </xf>
    <xf numFmtId="4" fontId="11" fillId="0" borderId="5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4" fontId="11" fillId="0" borderId="3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" fontId="11" fillId="0" borderId="4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vertical="center" wrapText="1"/>
    </xf>
    <xf numFmtId="2" fontId="11" fillId="0" borderId="4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vertical="center" wrapText="1"/>
    </xf>
    <xf numFmtId="4" fontId="11" fillId="0" borderId="9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164" fontId="13" fillId="2" borderId="5" xfId="0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4" fontId="11" fillId="0" borderId="15" xfId="0" applyNumberFormat="1" applyFont="1" applyBorder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11" fillId="0" borderId="32" xfId="0" applyFont="1" applyBorder="1" applyAlignment="1">
      <alignment horizontal="center" vertical="center"/>
    </xf>
    <xf numFmtId="2" fontId="11" fillId="0" borderId="31" xfId="0" applyNumberFormat="1" applyFont="1" applyBorder="1" applyAlignment="1">
      <alignment horizontal="right" vertical="center"/>
    </xf>
    <xf numFmtId="4" fontId="11" fillId="0" borderId="31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0" xfId="0" applyBorder="1"/>
    <xf numFmtId="0" fontId="16" fillId="0" borderId="0" xfId="0" applyFont="1" applyBorder="1" applyAlignment="1">
      <alignment horizontal="center" wrapText="1"/>
    </xf>
    <xf numFmtId="0" fontId="12" fillId="0" borderId="5" xfId="0" applyFont="1" applyBorder="1" applyAlignment="1">
      <alignment horizontal="center" vertical="center"/>
    </xf>
    <xf numFmtId="0" fontId="16" fillId="0" borderId="0" xfId="0" applyFont="1"/>
    <xf numFmtId="0" fontId="12" fillId="0" borderId="0" xfId="0" applyFont="1"/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/>
    <xf numFmtId="43" fontId="16" fillId="0" borderId="5" xfId="0" applyNumberFormat="1" applyFont="1" applyBorder="1"/>
    <xf numFmtId="43" fontId="12" fillId="0" borderId="5" xfId="0" applyNumberFormat="1" applyFont="1" applyBorder="1"/>
    <xf numFmtId="0" fontId="12" fillId="0" borderId="7" xfId="0" applyFont="1" applyBorder="1" applyAlignment="1">
      <alignment horizontal="center" vertical="center"/>
    </xf>
    <xf numFmtId="164" fontId="16" fillId="0" borderId="7" xfId="0" applyNumberFormat="1" applyFont="1" applyBorder="1" applyAlignment="1"/>
    <xf numFmtId="0" fontId="16" fillId="0" borderId="7" xfId="0" applyFont="1" applyBorder="1" applyAlignment="1"/>
    <xf numFmtId="43" fontId="0" fillId="0" borderId="0" xfId="0" applyNumberFormat="1"/>
    <xf numFmtId="9" fontId="16" fillId="0" borderId="5" xfId="2" applyFont="1" applyBorder="1" applyAlignment="1">
      <alignment horizontal="center"/>
    </xf>
    <xf numFmtId="166" fontId="14" fillId="0" borderId="5" xfId="2" applyNumberFormat="1" applyFont="1" applyBorder="1" applyAlignment="1">
      <alignment vertical="center" wrapText="1"/>
    </xf>
    <xf numFmtId="166" fontId="16" fillId="0" borderId="5" xfId="2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16" fillId="0" borderId="5" xfId="0" applyFont="1" applyBorder="1" applyAlignment="1">
      <alignment horizontal="left"/>
    </xf>
    <xf numFmtId="0" fontId="16" fillId="0" borderId="13" xfId="0" applyFont="1" applyBorder="1" applyAlignment="1">
      <alignment horizontal="center" vertical="center"/>
    </xf>
    <xf numFmtId="4" fontId="9" fillId="0" borderId="5" xfId="4" applyNumberFormat="1" applyFont="1" applyBorder="1" applyAlignment="1">
      <alignment horizontal="left" indent="3"/>
    </xf>
    <xf numFmtId="166" fontId="16" fillId="0" borderId="5" xfId="2" applyNumberFormat="1" applyFont="1" applyBorder="1" applyAlignment="1">
      <alignment horizontal="center"/>
    </xf>
    <xf numFmtId="0" fontId="12" fillId="0" borderId="7" xfId="0" applyFont="1" applyBorder="1" applyAlignment="1">
      <alignment vertical="center"/>
    </xf>
    <xf numFmtId="167" fontId="16" fillId="0" borderId="5" xfId="0" applyNumberFormat="1" applyFont="1" applyBorder="1" applyAlignment="1">
      <alignment horizontal="center" vertical="center"/>
    </xf>
    <xf numFmtId="4" fontId="11" fillId="0" borderId="16" xfId="0" applyNumberFormat="1" applyFont="1" applyBorder="1" applyAlignment="1">
      <alignment horizontal="right" vertical="center"/>
    </xf>
    <xf numFmtId="4" fontId="11" fillId="0" borderId="19" xfId="0" applyNumberFormat="1" applyFont="1" applyBorder="1" applyAlignment="1">
      <alignment horizontal="right" vertical="center"/>
    </xf>
    <xf numFmtId="4" fontId="11" fillId="0" borderId="33" xfId="0" applyNumberFormat="1" applyFont="1" applyBorder="1" applyAlignment="1">
      <alignment horizontal="right" vertical="center"/>
    </xf>
    <xf numFmtId="4" fontId="11" fillId="0" borderId="34" xfId="0" applyNumberFormat="1" applyFont="1" applyBorder="1" applyAlignment="1">
      <alignment horizontal="right" vertical="center"/>
    </xf>
    <xf numFmtId="0" fontId="0" fillId="0" borderId="1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4" fontId="11" fillId="0" borderId="2" xfId="0" applyNumberFormat="1" applyFont="1" applyFill="1" applyBorder="1" applyAlignment="1">
      <alignment horizontal="right" vertical="center"/>
    </xf>
    <xf numFmtId="2" fontId="11" fillId="0" borderId="4" xfId="0" applyNumberFormat="1" applyFont="1" applyFill="1" applyBorder="1" applyAlignment="1">
      <alignment horizontal="right" vertical="center"/>
    </xf>
    <xf numFmtId="42" fontId="0" fillId="0" borderId="0" xfId="5" applyFont="1" applyAlignment="1">
      <alignment vertical="center"/>
    </xf>
    <xf numFmtId="4" fontId="0" fillId="0" borderId="0" xfId="0" applyNumberFormat="1" applyAlignment="1">
      <alignment vertical="center"/>
    </xf>
    <xf numFmtId="0" fontId="0" fillId="3" borderId="0" xfId="0" applyFill="1"/>
    <xf numFmtId="0" fontId="0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4" fontId="11" fillId="0" borderId="4" xfId="0" applyNumberFormat="1" applyFont="1" applyFill="1" applyBorder="1" applyAlignment="1">
      <alignment horizontal="right" vertical="center"/>
    </xf>
    <xf numFmtId="4" fontId="11" fillId="0" borderId="16" xfId="0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/>
    </xf>
    <xf numFmtId="2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horizontal="center" vertical="center"/>
    </xf>
    <xf numFmtId="164" fontId="13" fillId="2" borderId="35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0" fillId="0" borderId="3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vertical="center" wrapText="1"/>
    </xf>
    <xf numFmtId="0" fontId="11" fillId="0" borderId="32" xfId="0" applyFont="1" applyFill="1" applyBorder="1" applyAlignment="1">
      <alignment horizontal="center" vertical="center"/>
    </xf>
    <xf numFmtId="4" fontId="11" fillId="0" borderId="31" xfId="0" applyNumberFormat="1" applyFont="1" applyFill="1" applyBorder="1" applyAlignment="1">
      <alignment horizontal="right" vertical="center"/>
    </xf>
    <xf numFmtId="2" fontId="11" fillId="0" borderId="0" xfId="0" applyNumberFormat="1" applyFont="1" applyFill="1" applyBorder="1" applyAlignment="1">
      <alignment horizontal="right" vertical="center"/>
    </xf>
    <xf numFmtId="2" fontId="11" fillId="0" borderId="2" xfId="0" applyNumberFormat="1" applyFont="1" applyFill="1" applyBorder="1" applyAlignment="1">
      <alignment horizontal="right" vertical="center"/>
    </xf>
    <xf numFmtId="2" fontId="11" fillId="0" borderId="9" xfId="0" applyNumberFormat="1" applyFont="1" applyFill="1" applyBorder="1" applyAlignment="1">
      <alignment horizontal="right" vertical="center"/>
    </xf>
    <xf numFmtId="0" fontId="0" fillId="0" borderId="23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22" xfId="0" applyFill="1" applyBorder="1" applyAlignment="1">
      <alignment vertical="center" wrapText="1"/>
    </xf>
    <xf numFmtId="0" fontId="12" fillId="0" borderId="10" xfId="0" applyFont="1" applyFill="1" applyBorder="1" applyAlignment="1">
      <alignment horizontal="center" vertical="center" wrapText="1"/>
    </xf>
    <xf numFmtId="42" fontId="0" fillId="3" borderId="0" xfId="5" applyFont="1" applyFill="1"/>
    <xf numFmtId="0" fontId="0" fillId="4" borderId="0" xfId="0" applyFill="1"/>
    <xf numFmtId="0" fontId="0" fillId="4" borderId="5" xfId="0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0" fontId="0" fillId="0" borderId="0" xfId="0" applyFill="1"/>
    <xf numFmtId="42" fontId="0" fillId="0" borderId="0" xfId="5" applyFont="1" applyFill="1"/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4" fontId="11" fillId="0" borderId="34" xfId="0" applyNumberFormat="1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left" vertical="center" wrapText="1"/>
    </xf>
    <xf numFmtId="2" fontId="11" fillId="0" borderId="31" xfId="0" applyNumberFormat="1" applyFont="1" applyFill="1" applyBorder="1" applyAlignment="1">
      <alignment horizontal="right" vertical="center"/>
    </xf>
    <xf numFmtId="4" fontId="0" fillId="0" borderId="0" xfId="0" applyNumberFormat="1"/>
    <xf numFmtId="4" fontId="14" fillId="0" borderId="5" xfId="0" applyNumberFormat="1" applyFont="1" applyBorder="1" applyAlignment="1">
      <alignment horizontal="right" vertical="center"/>
    </xf>
    <xf numFmtId="0" fontId="7" fillId="4" borderId="17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horizontal="center" vertical="center"/>
    </xf>
    <xf numFmtId="2" fontId="11" fillId="4" borderId="4" xfId="0" applyNumberFormat="1" applyFont="1" applyFill="1" applyBorder="1" applyAlignment="1">
      <alignment horizontal="right" vertical="center"/>
    </xf>
    <xf numFmtId="4" fontId="11" fillId="4" borderId="4" xfId="0" applyNumberFormat="1" applyFont="1" applyFill="1" applyBorder="1" applyAlignment="1">
      <alignment horizontal="right" vertical="center"/>
    </xf>
    <xf numFmtId="4" fontId="11" fillId="4" borderId="16" xfId="0" applyNumberFormat="1" applyFont="1" applyFill="1" applyBorder="1" applyAlignment="1">
      <alignment horizontal="right" vertical="center"/>
    </xf>
    <xf numFmtId="0" fontId="0" fillId="4" borderId="0" xfId="0" applyFill="1" applyAlignment="1"/>
    <xf numFmtId="0" fontId="7" fillId="4" borderId="18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/>
    </xf>
    <xf numFmtId="2" fontId="11" fillId="4" borderId="3" xfId="0" applyNumberFormat="1" applyFont="1" applyFill="1" applyBorder="1" applyAlignment="1">
      <alignment horizontal="right" vertical="center"/>
    </xf>
    <xf numFmtId="4" fontId="11" fillId="4" borderId="3" xfId="0" applyNumberFormat="1" applyFont="1" applyFill="1" applyBorder="1" applyAlignment="1">
      <alignment horizontal="right" vertical="center"/>
    </xf>
    <xf numFmtId="4" fontId="11" fillId="4" borderId="15" xfId="0" applyNumberFormat="1" applyFont="1" applyFill="1" applyBorder="1" applyAlignment="1">
      <alignment horizontal="right" vertical="center"/>
    </xf>
    <xf numFmtId="0" fontId="7" fillId="4" borderId="28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horizontal="right" vertical="center"/>
    </xf>
    <xf numFmtId="4" fontId="11" fillId="4" borderId="2" xfId="0" applyNumberFormat="1" applyFont="1" applyFill="1" applyBorder="1" applyAlignment="1">
      <alignment horizontal="right" vertical="center"/>
    </xf>
    <xf numFmtId="4" fontId="11" fillId="4" borderId="19" xfId="0" applyNumberFormat="1" applyFont="1" applyFill="1" applyBorder="1" applyAlignment="1">
      <alignment horizontal="right" vertical="center"/>
    </xf>
    <xf numFmtId="0" fontId="13" fillId="4" borderId="5" xfId="0" applyFont="1" applyFill="1" applyBorder="1" applyAlignment="1">
      <alignment horizontal="center" vertical="center"/>
    </xf>
    <xf numFmtId="4" fontId="14" fillId="4" borderId="5" xfId="0" applyNumberFormat="1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vertical="center" wrapText="1"/>
    </xf>
    <xf numFmtId="164" fontId="13" fillId="4" borderId="5" xfId="0" applyNumberFormat="1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center" vertical="center"/>
    </xf>
    <xf numFmtId="2" fontId="11" fillId="4" borderId="9" xfId="0" applyNumberFormat="1" applyFont="1" applyFill="1" applyBorder="1" applyAlignment="1">
      <alignment horizontal="right" vertical="center"/>
    </xf>
    <xf numFmtId="4" fontId="11" fillId="4" borderId="9" xfId="0" applyNumberFormat="1" applyFont="1" applyFill="1" applyBorder="1" applyAlignment="1">
      <alignment horizontal="right" vertical="center"/>
    </xf>
    <xf numFmtId="0" fontId="7" fillId="4" borderId="30" xfId="0" applyFont="1" applyFill="1" applyBorder="1" applyAlignment="1">
      <alignment horizontal="center" vertical="center"/>
    </xf>
    <xf numFmtId="0" fontId="0" fillId="4" borderId="31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vertical="center" wrapText="1"/>
    </xf>
    <xf numFmtId="0" fontId="11" fillId="4" borderId="32" xfId="0" applyFont="1" applyFill="1" applyBorder="1" applyAlignment="1">
      <alignment horizontal="center" vertical="center"/>
    </xf>
    <xf numFmtId="2" fontId="11" fillId="4" borderId="31" xfId="0" applyNumberFormat="1" applyFont="1" applyFill="1" applyBorder="1" applyAlignment="1">
      <alignment horizontal="right" vertical="center"/>
    </xf>
    <xf numFmtId="4" fontId="11" fillId="4" borderId="31" xfId="0" applyNumberFormat="1" applyFont="1" applyFill="1" applyBorder="1" applyAlignment="1">
      <alignment horizontal="right" vertical="center"/>
    </xf>
    <xf numFmtId="4" fontId="11" fillId="4" borderId="34" xfId="0" applyNumberFormat="1" applyFont="1" applyFill="1" applyBorder="1" applyAlignment="1">
      <alignment horizontal="right" vertical="center"/>
    </xf>
    <xf numFmtId="0" fontId="7" fillId="4" borderId="14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 wrapText="1"/>
    </xf>
    <xf numFmtId="0" fontId="11" fillId="4" borderId="0" xfId="0" applyFont="1" applyFill="1" applyBorder="1" applyAlignment="1">
      <alignment horizontal="center" vertical="center"/>
    </xf>
    <xf numFmtId="2" fontId="11" fillId="4" borderId="0" xfId="0" applyNumberFormat="1" applyFont="1" applyFill="1" applyBorder="1" applyAlignment="1">
      <alignment horizontal="right" vertical="center"/>
    </xf>
    <xf numFmtId="4" fontId="11" fillId="4" borderId="0" xfId="0" applyNumberFormat="1" applyFont="1" applyFill="1" applyBorder="1" applyAlignment="1">
      <alignment horizontal="right" vertical="center"/>
    </xf>
    <xf numFmtId="4" fontId="11" fillId="4" borderId="10" xfId="0" applyNumberFormat="1" applyFont="1" applyFill="1" applyBorder="1" applyAlignment="1">
      <alignment horizontal="right" vertical="center"/>
    </xf>
    <xf numFmtId="0" fontId="8" fillId="4" borderId="9" xfId="0" applyFont="1" applyFill="1" applyBorder="1" applyAlignment="1">
      <alignment vertical="center" wrapText="1"/>
    </xf>
    <xf numFmtId="0" fontId="11" fillId="4" borderId="9" xfId="0" applyFont="1" applyFill="1" applyBorder="1" applyAlignment="1">
      <alignment horizontal="center" vertical="center"/>
    </xf>
    <xf numFmtId="4" fontId="11" fillId="4" borderId="33" xfId="0" applyNumberFormat="1" applyFont="1" applyFill="1" applyBorder="1" applyAlignment="1">
      <alignment horizontal="right" vertical="center"/>
    </xf>
    <xf numFmtId="42" fontId="0" fillId="4" borderId="0" xfId="5" applyFont="1" applyFill="1"/>
    <xf numFmtId="0" fontId="0" fillId="4" borderId="23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4" borderId="22" xfId="0" applyFill="1" applyBorder="1" applyAlignment="1">
      <alignment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6" fontId="14" fillId="4" borderId="5" xfId="2" applyNumberFormat="1" applyFont="1" applyFill="1" applyBorder="1" applyAlignment="1">
      <alignment vertical="center" wrapText="1"/>
    </xf>
    <xf numFmtId="4" fontId="11" fillId="4" borderId="5" xfId="0" applyNumberFormat="1" applyFont="1" applyFill="1" applyBorder="1" applyAlignment="1">
      <alignment horizontal="right" vertical="center"/>
    </xf>
    <xf numFmtId="4" fontId="14" fillId="4" borderId="22" xfId="0" applyNumberFormat="1" applyFont="1" applyFill="1" applyBorder="1" applyAlignment="1">
      <alignment horizontal="right" vertical="center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6" xfId="0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15" fillId="4" borderId="7" xfId="0" applyFont="1" applyFill="1" applyBorder="1" applyAlignment="1">
      <alignment horizontal="left" vertical="center" wrapText="1"/>
    </xf>
    <xf numFmtId="4" fontId="14" fillId="4" borderId="8" xfId="0" applyNumberFormat="1" applyFont="1" applyFill="1" applyBorder="1" applyAlignment="1">
      <alignment horizontal="right" vertical="center"/>
    </xf>
    <xf numFmtId="42" fontId="0" fillId="4" borderId="0" xfId="5" applyFont="1" applyFill="1" applyAlignment="1">
      <alignment vertical="center"/>
    </xf>
    <xf numFmtId="4" fontId="0" fillId="4" borderId="0" xfId="0" applyNumberFormat="1" applyFill="1" applyAlignment="1">
      <alignment vertical="center"/>
    </xf>
    <xf numFmtId="0" fontId="8" fillId="4" borderId="0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64" fontId="13" fillId="4" borderId="35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/>
    <xf numFmtId="4" fontId="0" fillId="4" borderId="0" xfId="0" applyNumberFormat="1" applyFill="1"/>
    <xf numFmtId="0" fontId="11" fillId="0" borderId="11" xfId="0" applyFont="1" applyFill="1" applyBorder="1" applyAlignment="1">
      <alignment horizontal="center" vertical="center"/>
    </xf>
    <xf numFmtId="4" fontId="11" fillId="0" borderId="9" xfId="0" applyNumberFormat="1" applyFont="1" applyFill="1" applyBorder="1" applyAlignment="1">
      <alignment horizontal="right" vertical="center"/>
    </xf>
    <xf numFmtId="0" fontId="0" fillId="4" borderId="14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4" fontId="11" fillId="0" borderId="19" xfId="0" applyNumberFormat="1" applyFont="1" applyFill="1" applyBorder="1" applyAlignment="1">
      <alignment horizontal="right" vertical="center"/>
    </xf>
    <xf numFmtId="0" fontId="13" fillId="0" borderId="5" xfId="0" applyFont="1" applyFill="1" applyBorder="1" applyAlignment="1">
      <alignment horizontal="center" vertical="center"/>
    </xf>
    <xf numFmtId="4" fontId="14" fillId="0" borderId="5" xfId="0" applyNumberFormat="1" applyFont="1" applyFill="1" applyBorder="1" applyAlignment="1">
      <alignment horizontal="right" vertical="center"/>
    </xf>
    <xf numFmtId="164" fontId="13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right" vertical="center"/>
    </xf>
    <xf numFmtId="4" fontId="11" fillId="0" borderId="10" xfId="0" applyNumberFormat="1" applyFont="1" applyFill="1" applyBorder="1" applyAlignment="1">
      <alignment horizontal="right" vertical="center"/>
    </xf>
    <xf numFmtId="0" fontId="8" fillId="0" borderId="9" xfId="0" applyFont="1" applyFill="1" applyBorder="1" applyAlignment="1">
      <alignment vertical="center" wrapText="1"/>
    </xf>
    <xf numFmtId="4" fontId="11" fillId="0" borderId="33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4" fontId="11" fillId="0" borderId="15" xfId="0" applyNumberFormat="1" applyFont="1" applyFill="1" applyBorder="1" applyAlignment="1">
      <alignment horizontal="right" vertical="center"/>
    </xf>
    <xf numFmtId="166" fontId="14" fillId="0" borderId="5" xfId="2" applyNumberFormat="1" applyFont="1" applyFill="1" applyBorder="1" applyAlignment="1">
      <alignment vertical="center" wrapText="1"/>
    </xf>
    <xf numFmtId="4" fontId="11" fillId="0" borderId="5" xfId="0" applyNumberFormat="1" applyFont="1" applyFill="1" applyBorder="1" applyAlignment="1">
      <alignment horizontal="right" vertical="center"/>
    </xf>
    <xf numFmtId="4" fontId="14" fillId="0" borderId="22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5" fillId="0" borderId="5" xfId="0" applyFont="1" applyFill="1" applyBorder="1"/>
    <xf numFmtId="43" fontId="1" fillId="0" borderId="0" xfId="1" applyFont="1" applyFill="1"/>
    <xf numFmtId="43" fontId="0" fillId="0" borderId="5" xfId="1" applyFont="1" applyFill="1" applyBorder="1" applyAlignment="1">
      <alignment horizontal="center" vertical="center"/>
    </xf>
    <xf numFmtId="2" fontId="0" fillId="4" borderId="0" xfId="0" applyNumberFormat="1" applyFill="1"/>
    <xf numFmtId="2" fontId="0" fillId="0" borderId="0" xfId="0" applyNumberFormat="1"/>
    <xf numFmtId="4" fontId="14" fillId="2" borderId="13" xfId="0" applyNumberFormat="1" applyFont="1" applyFill="1" applyBorder="1" applyAlignment="1">
      <alignment horizontal="right" vertical="center"/>
    </xf>
    <xf numFmtId="4" fontId="14" fillId="2" borderId="35" xfId="0" applyNumberFormat="1" applyFont="1" applyFill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0" xfId="0" applyFont="1" applyBorder="1"/>
    <xf numFmtId="43" fontId="16" fillId="0" borderId="0" xfId="0" applyNumberFormat="1" applyFont="1" applyBorder="1"/>
    <xf numFmtId="43" fontId="12" fillId="0" borderId="0" xfId="0" applyNumberFormat="1" applyFont="1" applyBorder="1"/>
    <xf numFmtId="0" fontId="16" fillId="0" borderId="0" xfId="0" applyFont="1" applyBorder="1" applyAlignment="1"/>
    <xf numFmtId="167" fontId="16" fillId="0" borderId="0" xfId="0" applyNumberFormat="1" applyFont="1" applyBorder="1" applyAlignment="1">
      <alignment horizontal="center" vertical="center"/>
    </xf>
    <xf numFmtId="166" fontId="16" fillId="0" borderId="0" xfId="2" applyNumberFormat="1" applyFont="1" applyBorder="1" applyAlignment="1">
      <alignment horizontal="center"/>
    </xf>
    <xf numFmtId="0" fontId="12" fillId="0" borderId="0" xfId="0" applyFont="1" applyBorder="1" applyAlignment="1"/>
    <xf numFmtId="0" fontId="0" fillId="0" borderId="0" xfId="0" applyBorder="1" applyAlignment="1"/>
    <xf numFmtId="0" fontId="20" fillId="0" borderId="3" xfId="6" applyFont="1" applyFill="1" applyBorder="1" applyAlignment="1">
      <alignment horizontal="center" vertical="center"/>
    </xf>
    <xf numFmtId="0" fontId="20" fillId="0" borderId="3" xfId="6" applyFont="1" applyFill="1" applyBorder="1" applyAlignment="1">
      <alignment horizontal="left" vertical="center"/>
    </xf>
    <xf numFmtId="0" fontId="20" fillId="0" borderId="3" xfId="6" applyFont="1" applyFill="1" applyBorder="1" applyAlignment="1">
      <alignment horizontal="justify" vertical="center" wrapText="1"/>
    </xf>
    <xf numFmtId="0" fontId="17" fillId="0" borderId="3" xfId="6" applyFont="1" applyFill="1" applyBorder="1" applyAlignment="1">
      <alignment horizontal="center" vertical="center"/>
    </xf>
    <xf numFmtId="2" fontId="17" fillId="0" borderId="3" xfId="6" applyNumberFormat="1" applyFont="1" applyFill="1" applyBorder="1" applyAlignment="1">
      <alignment horizontal="center" vertical="center"/>
    </xf>
    <xf numFmtId="3" fontId="17" fillId="0" borderId="3" xfId="6" applyNumberFormat="1" applyFont="1" applyFill="1" applyBorder="1" applyAlignment="1">
      <alignment horizontal="right" vertical="center"/>
    </xf>
    <xf numFmtId="0" fontId="17" fillId="0" borderId="3" xfId="6" applyFont="1" applyFill="1" applyBorder="1" applyAlignment="1">
      <alignment horizontal="justify" vertical="center" wrapText="1"/>
    </xf>
    <xf numFmtId="4" fontId="17" fillId="0" borderId="3" xfId="6" applyNumberFormat="1" applyFont="1" applyFill="1" applyBorder="1" applyAlignment="1">
      <alignment horizontal="right" vertical="center"/>
    </xf>
    <xf numFmtId="10" fontId="17" fillId="0" borderId="3" xfId="6" applyNumberFormat="1" applyFont="1" applyFill="1" applyBorder="1" applyAlignment="1">
      <alignment horizontal="center" vertical="center"/>
    </xf>
    <xf numFmtId="4" fontId="20" fillId="0" borderId="5" xfId="6" applyNumberFormat="1" applyFont="1" applyFill="1" applyBorder="1" applyAlignment="1">
      <alignment horizontal="right" vertical="center"/>
    </xf>
    <xf numFmtId="0" fontId="20" fillId="0" borderId="5" xfId="6" applyFont="1" applyFill="1" applyBorder="1" applyAlignment="1">
      <alignment horizontal="justify" vertical="center" wrapText="1"/>
    </xf>
    <xf numFmtId="169" fontId="0" fillId="0" borderId="0" xfId="0" applyNumberFormat="1"/>
    <xf numFmtId="42" fontId="0" fillId="0" borderId="0" xfId="5" applyFont="1"/>
    <xf numFmtId="0" fontId="21" fillId="0" borderId="10" xfId="0" applyFont="1" applyBorder="1" applyAlignment="1">
      <alignment horizontal="center" vertical="center" wrapText="1"/>
    </xf>
    <xf numFmtId="10" fontId="11" fillId="0" borderId="5" xfId="2" applyNumberFormat="1" applyFont="1" applyBorder="1" applyAlignment="1">
      <alignment vertical="center" wrapText="1"/>
    </xf>
    <xf numFmtId="0" fontId="20" fillId="0" borderId="36" xfId="6" applyFont="1" applyFill="1" applyBorder="1" applyAlignment="1">
      <alignment horizontal="center" vertical="center"/>
    </xf>
    <xf numFmtId="0" fontId="20" fillId="0" borderId="37" xfId="6" applyFont="1" applyFill="1" applyBorder="1" applyAlignment="1">
      <alignment horizontal="center" vertical="center"/>
    </xf>
    <xf numFmtId="0" fontId="20" fillId="0" borderId="37" xfId="6" applyFont="1" applyFill="1" applyBorder="1" applyAlignment="1">
      <alignment horizontal="center" vertical="center" wrapText="1"/>
    </xf>
    <xf numFmtId="0" fontId="20" fillId="0" borderId="38" xfId="6" applyFont="1" applyFill="1" applyBorder="1" applyAlignment="1">
      <alignment horizontal="center" vertical="center" wrapText="1"/>
    </xf>
    <xf numFmtId="0" fontId="20" fillId="0" borderId="18" xfId="6" applyFont="1" applyFill="1" applyBorder="1" applyAlignment="1">
      <alignment horizontal="left" vertical="center"/>
    </xf>
    <xf numFmtId="0" fontId="20" fillId="0" borderId="15" xfId="6" applyFont="1" applyFill="1" applyBorder="1" applyAlignment="1">
      <alignment horizontal="center" vertical="center"/>
    </xf>
    <xf numFmtId="4" fontId="17" fillId="0" borderId="15" xfId="6" applyNumberFormat="1" applyFont="1" applyFill="1" applyBorder="1" applyAlignment="1">
      <alignment horizontal="right" vertical="center"/>
    </xf>
    <xf numFmtId="0" fontId="17" fillId="0" borderId="18" xfId="6" applyFont="1" applyFill="1" applyBorder="1" applyAlignment="1">
      <alignment horizontal="left" vertical="center"/>
    </xf>
    <xf numFmtId="4" fontId="17" fillId="0" borderId="3" xfId="6" applyNumberFormat="1" applyFont="1" applyFill="1" applyBorder="1" applyAlignment="1">
      <alignment horizontal="center" vertical="center"/>
    </xf>
    <xf numFmtId="10" fontId="17" fillId="0" borderId="15" xfId="2" applyNumberFormat="1" applyFont="1" applyFill="1" applyBorder="1" applyAlignment="1">
      <alignment horizontal="right" vertical="center"/>
    </xf>
    <xf numFmtId="10" fontId="17" fillId="0" borderId="0" xfId="6" applyNumberFormat="1" applyFont="1" applyFill="1" applyBorder="1" applyAlignment="1">
      <alignment horizontal="center" vertical="center"/>
    </xf>
    <xf numFmtId="0" fontId="17" fillId="0" borderId="28" xfId="6" applyFont="1" applyFill="1" applyBorder="1" applyAlignment="1">
      <alignment horizontal="left" vertical="center"/>
    </xf>
    <xf numFmtId="0" fontId="17" fillId="0" borderId="2" xfId="6" applyFont="1" applyFill="1" applyBorder="1" applyAlignment="1">
      <alignment horizontal="justify" vertical="center" wrapText="1"/>
    </xf>
    <xf numFmtId="2" fontId="17" fillId="0" borderId="2" xfId="6" applyNumberFormat="1" applyFont="1" applyFill="1" applyBorder="1" applyAlignment="1">
      <alignment horizontal="center" vertical="center"/>
    </xf>
    <xf numFmtId="10" fontId="17" fillId="0" borderId="2" xfId="6" applyNumberFormat="1" applyFont="1" applyFill="1" applyBorder="1" applyAlignment="1">
      <alignment horizontal="center" vertical="center"/>
    </xf>
    <xf numFmtId="10" fontId="20" fillId="0" borderId="5" xfId="2" applyNumberFormat="1" applyFont="1" applyFill="1" applyBorder="1" applyAlignment="1">
      <alignment horizontal="right" vertical="center"/>
    </xf>
    <xf numFmtId="10" fontId="0" fillId="0" borderId="0" xfId="0" applyNumberFormat="1"/>
    <xf numFmtId="10" fontId="0" fillId="0" borderId="0" xfId="0" applyNumberFormat="1" applyBorder="1"/>
    <xf numFmtId="0" fontId="20" fillId="0" borderId="35" xfId="6" applyFont="1" applyFill="1" applyBorder="1" applyAlignment="1">
      <alignment horizontal="justify" vertical="center" wrapText="1"/>
    </xf>
    <xf numFmtId="10" fontId="17" fillId="0" borderId="5" xfId="7" applyNumberFormat="1" applyFont="1" applyFill="1" applyBorder="1" applyAlignment="1">
      <alignment horizontal="center" vertical="center"/>
    </xf>
    <xf numFmtId="4" fontId="20" fillId="0" borderId="35" xfId="6" applyNumberFormat="1" applyFont="1" applyFill="1" applyBorder="1" applyAlignment="1">
      <alignment horizontal="right" vertical="center"/>
    </xf>
    <xf numFmtId="10" fontId="17" fillId="0" borderId="7" xfId="7" applyNumberFormat="1" applyFont="1" applyFill="1" applyBorder="1" applyAlignment="1">
      <alignment horizontal="center" vertical="center"/>
    </xf>
    <xf numFmtId="9" fontId="0" fillId="0" borderId="0" xfId="2" applyFont="1"/>
    <xf numFmtId="0" fontId="20" fillId="0" borderId="5" xfId="6" applyFont="1" applyFill="1" applyBorder="1" applyAlignment="1">
      <alignment vertical="center"/>
    </xf>
    <xf numFmtId="0" fontId="17" fillId="0" borderId="5" xfId="6" applyFont="1" applyFill="1" applyBorder="1" applyAlignment="1">
      <alignment vertical="center"/>
    </xf>
    <xf numFmtId="0" fontId="20" fillId="0" borderId="5" xfId="6" applyFont="1" applyFill="1" applyBorder="1" applyAlignment="1">
      <alignment horizontal="center" vertical="center"/>
    </xf>
    <xf numFmtId="9" fontId="20" fillId="0" borderId="5" xfId="7" applyFont="1" applyFill="1" applyBorder="1" applyAlignment="1">
      <alignment horizontal="left" vertical="center"/>
    </xf>
    <xf numFmtId="0" fontId="17" fillId="0" borderId="5" xfId="6" applyFont="1" applyFill="1" applyBorder="1" applyAlignment="1">
      <alignment horizontal="center" vertical="center"/>
    </xf>
    <xf numFmtId="169" fontId="20" fillId="0" borderId="5" xfId="7" applyNumberFormat="1" applyFont="1" applyFill="1" applyBorder="1" applyAlignment="1">
      <alignment horizontal="center" vertical="center"/>
    </xf>
    <xf numFmtId="169" fontId="20" fillId="0" borderId="21" xfId="7" applyNumberFormat="1" applyFont="1" applyFill="1" applyBorder="1" applyAlignment="1">
      <alignment horizontal="center" vertical="center"/>
    </xf>
    <xf numFmtId="4" fontId="20" fillId="0" borderId="24" xfId="6" applyNumberFormat="1" applyFont="1" applyFill="1" applyBorder="1" applyAlignment="1">
      <alignment horizontal="right" vertical="center"/>
    </xf>
    <xf numFmtId="4" fontId="20" fillId="0" borderId="10" xfId="6" applyNumberFormat="1" applyFont="1" applyFill="1" applyBorder="1" applyAlignment="1">
      <alignment horizontal="right" vertical="center"/>
    </xf>
    <xf numFmtId="3" fontId="22" fillId="0" borderId="0" xfId="0" applyNumberFormat="1" applyFont="1"/>
    <xf numFmtId="4" fontId="17" fillId="0" borderId="0" xfId="6" applyNumberFormat="1" applyFont="1" applyFill="1" applyBorder="1" applyAlignment="1">
      <alignment horizontal="right" vertical="center"/>
    </xf>
    <xf numFmtId="10" fontId="16" fillId="0" borderId="5" xfId="0" applyNumberFormat="1" applyFont="1" applyBorder="1" applyAlignment="1">
      <alignment horizontal="center"/>
    </xf>
    <xf numFmtId="10" fontId="16" fillId="0" borderId="5" xfId="2" applyNumberFormat="1" applyFont="1" applyBorder="1" applyAlignment="1">
      <alignment horizontal="center"/>
    </xf>
    <xf numFmtId="0" fontId="24" fillId="0" borderId="14" xfId="0" applyFont="1" applyFill="1" applyBorder="1" applyAlignment="1">
      <alignment vertical="center" wrapText="1"/>
    </xf>
    <xf numFmtId="170" fontId="24" fillId="0" borderId="42" xfId="0" applyNumberFormat="1" applyFont="1" applyFill="1" applyBorder="1" applyAlignment="1">
      <alignment vertical="center"/>
    </xf>
    <xf numFmtId="0" fontId="24" fillId="0" borderId="14" xfId="0" applyFont="1" applyFill="1" applyBorder="1"/>
    <xf numFmtId="0" fontId="24" fillId="6" borderId="46" xfId="0" applyFont="1" applyFill="1" applyBorder="1"/>
    <xf numFmtId="4" fontId="25" fillId="6" borderId="47" xfId="0" applyNumberFormat="1" applyFont="1" applyFill="1" applyBorder="1"/>
    <xf numFmtId="0" fontId="25" fillId="0" borderId="0" xfId="0" applyFont="1" applyFill="1" applyBorder="1"/>
    <xf numFmtId="4" fontId="25" fillId="0" borderId="57" xfId="0" applyNumberFormat="1" applyFont="1" applyFill="1" applyBorder="1"/>
    <xf numFmtId="10" fontId="25" fillId="0" borderId="57" xfId="0" applyNumberFormat="1" applyFont="1" applyFill="1" applyBorder="1"/>
    <xf numFmtId="4" fontId="25" fillId="0" borderId="57" xfId="0" applyNumberFormat="1" applyFont="1" applyFill="1" applyBorder="1" applyAlignment="1">
      <alignment horizontal="right"/>
    </xf>
    <xf numFmtId="10" fontId="25" fillId="0" borderId="58" xfId="0" applyNumberFormat="1" applyFont="1" applyFill="1" applyBorder="1"/>
    <xf numFmtId="10" fontId="25" fillId="0" borderId="59" xfId="0" applyNumberFormat="1" applyFont="1" applyFill="1" applyBorder="1"/>
    <xf numFmtId="4" fontId="25" fillId="0" borderId="0" xfId="0" applyNumberFormat="1" applyFont="1" applyFill="1" applyBorder="1"/>
    <xf numFmtId="10" fontId="25" fillId="0" borderId="0" xfId="0" applyNumberFormat="1" applyFont="1" applyFill="1" applyBorder="1"/>
    <xf numFmtId="4" fontId="25" fillId="0" borderId="0" xfId="0" applyNumberFormat="1" applyFont="1" applyFill="1" applyBorder="1" applyAlignment="1">
      <alignment horizontal="right"/>
    </xf>
    <xf numFmtId="10" fontId="25" fillId="0" borderId="42" xfId="0" applyNumberFormat="1" applyFont="1" applyFill="1" applyBorder="1"/>
    <xf numFmtId="10" fontId="25" fillId="0" borderId="10" xfId="0" applyNumberFormat="1" applyFont="1" applyFill="1" applyBorder="1"/>
    <xf numFmtId="0" fontId="25" fillId="6" borderId="60" xfId="0" applyFont="1" applyFill="1" applyBorder="1"/>
    <xf numFmtId="4" fontId="25" fillId="6" borderId="60" xfId="0" applyNumberFormat="1" applyFont="1" applyFill="1" applyBorder="1"/>
    <xf numFmtId="10" fontId="25" fillId="6" borderId="60" xfId="0" applyNumberFormat="1" applyFont="1" applyFill="1" applyBorder="1"/>
    <xf numFmtId="4" fontId="25" fillId="6" borderId="60" xfId="0" applyNumberFormat="1" applyFont="1" applyFill="1" applyBorder="1" applyAlignment="1">
      <alignment horizontal="right"/>
    </xf>
    <xf numFmtId="10" fontId="25" fillId="6" borderId="47" xfId="0" applyNumberFormat="1" applyFont="1" applyFill="1" applyBorder="1"/>
    <xf numFmtId="10" fontId="25" fillId="6" borderId="61" xfId="0" applyNumberFormat="1" applyFont="1" applyFill="1" applyBorder="1"/>
    <xf numFmtId="0" fontId="25" fillId="0" borderId="14" xfId="0" applyFont="1" applyFill="1" applyBorder="1"/>
    <xf numFmtId="4" fontId="25" fillId="0" borderId="0" xfId="0" applyNumberFormat="1" applyFont="1" applyFill="1" applyBorder="1" applyAlignment="1">
      <alignment horizontal="left"/>
    </xf>
    <xf numFmtId="2" fontId="25" fillId="0" borderId="0" xfId="0" applyNumberFormat="1" applyFont="1" applyFill="1" applyBorder="1"/>
    <xf numFmtId="2" fontId="25" fillId="0" borderId="0" xfId="0" applyNumberFormat="1" applyFont="1" applyFill="1" applyBorder="1" applyAlignment="1">
      <alignment horizontal="right"/>
    </xf>
    <xf numFmtId="0" fontId="25" fillId="0" borderId="42" xfId="0" applyFont="1" applyFill="1" applyBorder="1"/>
    <xf numFmtId="0" fontId="25" fillId="0" borderId="10" xfId="0" applyFont="1" applyFill="1" applyBorder="1"/>
    <xf numFmtId="4" fontId="26" fillId="6" borderId="5" xfId="0" applyNumberFormat="1" applyFont="1" applyFill="1" applyBorder="1"/>
    <xf numFmtId="10" fontId="26" fillId="6" borderId="5" xfId="0" applyNumberFormat="1" applyFont="1" applyFill="1" applyBorder="1"/>
    <xf numFmtId="4" fontId="26" fillId="6" borderId="5" xfId="0" applyNumberFormat="1" applyFont="1" applyFill="1" applyBorder="1" applyAlignment="1">
      <alignment horizontal="right"/>
    </xf>
    <xf numFmtId="0" fontId="25" fillId="0" borderId="0" xfId="0" applyFont="1" applyFill="1"/>
    <xf numFmtId="4" fontId="25" fillId="0" borderId="0" xfId="0" applyNumberFormat="1" applyFont="1" applyFill="1"/>
    <xf numFmtId="4" fontId="25" fillId="0" borderId="0" xfId="0" applyNumberFormat="1" applyFont="1" applyFill="1" applyAlignment="1">
      <alignment horizontal="right"/>
    </xf>
    <xf numFmtId="0" fontId="24" fillId="0" borderId="0" xfId="0" applyFont="1" applyFill="1"/>
    <xf numFmtId="166" fontId="25" fillId="0" borderId="0" xfId="2" applyNumberFormat="1" applyFont="1" applyFill="1"/>
    <xf numFmtId="166" fontId="25" fillId="0" borderId="0" xfId="2" applyNumberFormat="1" applyFont="1" applyFill="1" applyAlignment="1">
      <alignment horizontal="right"/>
    </xf>
    <xf numFmtId="9" fontId="25" fillId="0" borderId="0" xfId="2" applyFont="1" applyFill="1"/>
    <xf numFmtId="0" fontId="25" fillId="6" borderId="5" xfId="0" applyFont="1" applyFill="1" applyBorder="1"/>
    <xf numFmtId="4" fontId="25" fillId="6" borderId="5" xfId="0" applyNumberFormat="1" applyFont="1" applyFill="1" applyBorder="1" applyAlignment="1">
      <alignment vertical="center"/>
    </xf>
    <xf numFmtId="10" fontId="25" fillId="6" borderId="5" xfId="0" applyNumberFormat="1" applyFont="1" applyFill="1" applyBorder="1"/>
    <xf numFmtId="0" fontId="24" fillId="0" borderId="36" xfId="0" applyFont="1" applyFill="1" applyBorder="1"/>
    <xf numFmtId="0" fontId="25" fillId="0" borderId="37" xfId="0" applyFont="1" applyFill="1" applyBorder="1" applyAlignment="1">
      <alignment horizontal="center"/>
    </xf>
    <xf numFmtId="0" fontId="25" fillId="0" borderId="38" xfId="0" applyFont="1" applyFill="1" applyBorder="1" applyAlignment="1">
      <alignment horizontal="center"/>
    </xf>
    <xf numFmtId="171" fontId="0" fillId="0" borderId="0" xfId="0" applyNumberFormat="1"/>
    <xf numFmtId="171" fontId="25" fillId="0" borderId="0" xfId="8" applyFont="1" applyFill="1"/>
    <xf numFmtId="0" fontId="25" fillId="0" borderId="18" xfId="0" applyFont="1" applyFill="1" applyBorder="1"/>
    <xf numFmtId="0" fontId="25" fillId="0" borderId="3" xfId="0" applyFont="1" applyFill="1" applyBorder="1" applyAlignment="1">
      <alignment horizontal="center"/>
    </xf>
    <xf numFmtId="4" fontId="25" fillId="0" borderId="3" xfId="0" applyNumberFormat="1" applyFont="1" applyFill="1" applyBorder="1" applyAlignment="1">
      <alignment horizontal="center"/>
    </xf>
    <xf numFmtId="4" fontId="25" fillId="0" borderId="3" xfId="0" applyNumberFormat="1" applyFont="1" applyFill="1" applyBorder="1"/>
    <xf numFmtId="10" fontId="25" fillId="0" borderId="15" xfId="0" applyNumberFormat="1" applyFont="1" applyFill="1" applyBorder="1"/>
    <xf numFmtId="0" fontId="25" fillId="0" borderId="62" xfId="0" applyFont="1" applyFill="1" applyBorder="1"/>
    <xf numFmtId="0" fontId="25" fillId="0" borderId="63" xfId="0" applyFont="1" applyFill="1" applyBorder="1" applyAlignment="1">
      <alignment horizontal="center"/>
    </xf>
    <xf numFmtId="4" fontId="25" fillId="0" borderId="63" xfId="0" applyNumberFormat="1" applyFont="1" applyFill="1" applyBorder="1" applyAlignment="1">
      <alignment horizontal="center"/>
    </xf>
    <xf numFmtId="4" fontId="25" fillId="0" borderId="63" xfId="0" applyNumberFormat="1" applyFont="1" applyFill="1" applyBorder="1"/>
    <xf numFmtId="10" fontId="25" fillId="0" borderId="64" xfId="0" applyNumberFormat="1" applyFont="1" applyFill="1" applyBorder="1"/>
    <xf numFmtId="4" fontId="25" fillId="6" borderId="5" xfId="0" applyNumberFormat="1" applyFont="1" applyFill="1" applyBorder="1"/>
    <xf numFmtId="10" fontId="24" fillId="6" borderId="5" xfId="0" applyNumberFormat="1" applyFont="1" applyFill="1" applyBorder="1"/>
    <xf numFmtId="0" fontId="24" fillId="0" borderId="0" xfId="0" applyFont="1" applyFill="1" applyBorder="1" applyAlignment="1">
      <alignment horizontal="center"/>
    </xf>
    <xf numFmtId="10" fontId="24" fillId="0" borderId="0" xfId="0" applyNumberFormat="1" applyFont="1" applyFill="1" applyBorder="1"/>
    <xf numFmtId="0" fontId="27" fillId="0" borderId="0" xfId="0" applyFont="1" applyFill="1" applyAlignment="1">
      <alignment horizontal="center" vertical="center"/>
    </xf>
    <xf numFmtId="10" fontId="24" fillId="0" borderId="0" xfId="0" applyNumberFormat="1" applyFont="1" applyFill="1"/>
    <xf numFmtId="3" fontId="29" fillId="8" borderId="65" xfId="4" applyNumberFormat="1" applyFont="1" applyFill="1" applyBorder="1" applyAlignment="1">
      <alignment wrapText="1"/>
    </xf>
    <xf numFmtId="4" fontId="29" fillId="8" borderId="66" xfId="4" applyNumberFormat="1" applyFont="1" applyFill="1" applyBorder="1" applyAlignment="1">
      <alignment wrapText="1"/>
    </xf>
    <xf numFmtId="4" fontId="29" fillId="8" borderId="67" xfId="4" applyNumberFormat="1" applyFont="1" applyFill="1" applyBorder="1" applyAlignment="1">
      <alignment wrapText="1"/>
    </xf>
    <xf numFmtId="3" fontId="29" fillId="8" borderId="68" xfId="4" applyNumberFormat="1" applyFont="1" applyFill="1" applyBorder="1" applyAlignment="1">
      <alignment wrapText="1"/>
    </xf>
    <xf numFmtId="4" fontId="29" fillId="8" borderId="69" xfId="4" applyNumberFormat="1" applyFont="1" applyFill="1" applyBorder="1" applyAlignment="1">
      <alignment wrapText="1"/>
    </xf>
    <xf numFmtId="4" fontId="29" fillId="8" borderId="70" xfId="4" applyNumberFormat="1" applyFont="1" applyFill="1" applyBorder="1" applyAlignment="1">
      <alignment wrapText="1"/>
    </xf>
    <xf numFmtId="3" fontId="29" fillId="8" borderId="71" xfId="4" applyNumberFormat="1" applyFont="1" applyFill="1" applyBorder="1" applyAlignment="1">
      <alignment wrapText="1"/>
    </xf>
    <xf numFmtId="4" fontId="29" fillId="8" borderId="72" xfId="4" applyNumberFormat="1" applyFont="1" applyFill="1" applyBorder="1" applyAlignment="1">
      <alignment wrapText="1"/>
    </xf>
    <xf numFmtId="4" fontId="29" fillId="8" borderId="73" xfId="4" applyNumberFormat="1" applyFont="1" applyFill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2" xfId="0" applyBorder="1" applyAlignment="1">
      <alignment wrapText="1"/>
    </xf>
    <xf numFmtId="167" fontId="16" fillId="0" borderId="5" xfId="0" applyNumberFormat="1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wrapText="1"/>
    </xf>
    <xf numFmtId="0" fontId="30" fillId="0" borderId="5" xfId="0" applyFont="1" applyBorder="1" applyAlignment="1">
      <alignment horizontal="center" vertical="center"/>
    </xf>
    <xf numFmtId="0" fontId="31" fillId="0" borderId="0" xfId="0" applyFont="1"/>
    <xf numFmtId="0" fontId="30" fillId="0" borderId="0" xfId="0" applyFont="1"/>
    <xf numFmtId="0" fontId="31" fillId="0" borderId="5" xfId="0" applyFont="1" applyBorder="1" applyAlignment="1">
      <alignment horizontal="center" vertical="center"/>
    </xf>
    <xf numFmtId="0" fontId="31" fillId="0" borderId="5" xfId="0" applyFont="1" applyBorder="1"/>
    <xf numFmtId="43" fontId="31" fillId="0" borderId="5" xfId="0" applyNumberFormat="1" applyFont="1" applyBorder="1"/>
    <xf numFmtId="0" fontId="31" fillId="0" borderId="5" xfId="0" applyFont="1" applyBorder="1" applyAlignment="1">
      <alignment horizontal="center"/>
    </xf>
    <xf numFmtId="166" fontId="31" fillId="0" borderId="5" xfId="2" applyNumberFormat="1" applyFont="1" applyBorder="1" applyAlignment="1">
      <alignment horizontal="center" vertical="center"/>
    </xf>
    <xf numFmtId="43" fontId="30" fillId="0" borderId="5" xfId="0" applyNumberFormat="1" applyFont="1" applyBorder="1"/>
    <xf numFmtId="0" fontId="31" fillId="0" borderId="13" xfId="0" applyFont="1" applyBorder="1" applyAlignment="1">
      <alignment horizontal="center" vertical="center"/>
    </xf>
    <xf numFmtId="0" fontId="31" fillId="0" borderId="5" xfId="0" applyFont="1" applyBorder="1" applyAlignment="1">
      <alignment horizontal="left"/>
    </xf>
    <xf numFmtId="4" fontId="32" fillId="0" borderId="5" xfId="4" applyNumberFormat="1" applyFont="1" applyBorder="1" applyAlignment="1">
      <alignment horizontal="left" indent="3"/>
    </xf>
    <xf numFmtId="0" fontId="30" fillId="0" borderId="7" xfId="0" applyFont="1" applyBorder="1" applyAlignment="1">
      <alignment horizontal="center" vertical="center"/>
    </xf>
    <xf numFmtId="164" fontId="31" fillId="0" borderId="7" xfId="0" applyNumberFormat="1" applyFont="1" applyBorder="1" applyAlignment="1"/>
    <xf numFmtId="0" fontId="31" fillId="0" borderId="7" xfId="0" applyFont="1" applyBorder="1" applyAlignment="1"/>
    <xf numFmtId="0" fontId="30" fillId="0" borderId="7" xfId="0" applyFont="1" applyBorder="1" applyAlignment="1">
      <alignment vertical="center"/>
    </xf>
    <xf numFmtId="167" fontId="31" fillId="0" borderId="5" xfId="0" applyNumberFormat="1" applyFont="1" applyFill="1" applyBorder="1" applyAlignment="1">
      <alignment horizontal="center" vertical="center"/>
    </xf>
    <xf numFmtId="166" fontId="31" fillId="0" borderId="5" xfId="2" applyNumberFormat="1" applyFont="1" applyBorder="1" applyAlignment="1">
      <alignment horizontal="center"/>
    </xf>
    <xf numFmtId="9" fontId="31" fillId="0" borderId="5" xfId="2" applyFont="1" applyBorder="1" applyAlignment="1">
      <alignment horizontal="center"/>
    </xf>
    <xf numFmtId="10" fontId="31" fillId="0" borderId="5" xfId="0" applyNumberFormat="1" applyFont="1" applyBorder="1" applyAlignment="1">
      <alignment horizontal="center"/>
    </xf>
    <xf numFmtId="10" fontId="31" fillId="0" borderId="5" xfId="2" applyNumberFormat="1" applyFont="1" applyBorder="1" applyAlignment="1">
      <alignment horizontal="center"/>
    </xf>
    <xf numFmtId="10" fontId="31" fillId="0" borderId="5" xfId="2" applyNumberFormat="1" applyFont="1" applyBorder="1"/>
    <xf numFmtId="43" fontId="31" fillId="0" borderId="8" xfId="0" applyNumberFormat="1" applyFont="1" applyBorder="1"/>
    <xf numFmtId="4" fontId="32" fillId="0" borderId="5" xfId="4" applyNumberFormat="1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43" fontId="31" fillId="0" borderId="5" xfId="0" applyNumberFormat="1" applyFont="1" applyFill="1" applyBorder="1"/>
    <xf numFmtId="4" fontId="32" fillId="0" borderId="5" xfId="4" applyNumberFormat="1" applyFont="1" applyFill="1" applyBorder="1" applyAlignment="1">
      <alignment horizontal="left" indent="3"/>
    </xf>
    <xf numFmtId="164" fontId="31" fillId="0" borderId="7" xfId="0" applyNumberFormat="1" applyFont="1" applyBorder="1" applyAlignment="1">
      <alignment horizontal="center" vertical="center"/>
    </xf>
    <xf numFmtId="43" fontId="31" fillId="0" borderId="5" xfId="0" applyNumberFormat="1" applyFont="1" applyBorder="1" applyAlignment="1">
      <alignment horizontal="center" vertical="center"/>
    </xf>
    <xf numFmtId="43" fontId="31" fillId="0" borderId="5" xfId="0" applyNumberFormat="1" applyFont="1" applyBorder="1" applyAlignment="1">
      <alignment vertical="center"/>
    </xf>
    <xf numFmtId="167" fontId="31" fillId="0" borderId="5" xfId="0" applyNumberFormat="1" applyFont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/>
    </xf>
    <xf numFmtId="4" fontId="32" fillId="0" borderId="5" xfId="4" applyNumberFormat="1" applyFont="1" applyBorder="1" applyAlignment="1">
      <alignment horizontal="left" vertical="center"/>
    </xf>
    <xf numFmtId="0" fontId="31" fillId="0" borderId="0" xfId="0" applyFont="1" applyBorder="1" applyAlignment="1">
      <alignment horizontal="left"/>
    </xf>
    <xf numFmtId="43" fontId="31" fillId="0" borderId="0" xfId="0" applyNumberFormat="1" applyFont="1" applyBorder="1"/>
    <xf numFmtId="164" fontId="31" fillId="0" borderId="5" xfId="0" applyNumberFormat="1" applyFont="1" applyBorder="1" applyAlignment="1">
      <alignment horizontal="center"/>
    </xf>
    <xf numFmtId="0" fontId="31" fillId="0" borderId="5" xfId="0" applyFont="1" applyFill="1" applyBorder="1" applyAlignment="1">
      <alignment horizontal="left"/>
    </xf>
    <xf numFmtId="168" fontId="32" fillId="0" borderId="5" xfId="4" applyNumberFormat="1" applyFont="1" applyBorder="1" applyAlignment="1">
      <alignment horizontal="left" indent="3"/>
    </xf>
    <xf numFmtId="43" fontId="31" fillId="0" borderId="5" xfId="0" applyNumberFormat="1" applyFont="1" applyFill="1" applyBorder="1" applyAlignment="1">
      <alignment horizontal="center" vertical="center"/>
    </xf>
    <xf numFmtId="43" fontId="31" fillId="0" borderId="5" xfId="0" applyNumberFormat="1" applyFont="1" applyFill="1" applyBorder="1" applyAlignment="1">
      <alignment vertical="center"/>
    </xf>
    <xf numFmtId="172" fontId="32" fillId="0" borderId="5" xfId="4" applyNumberFormat="1" applyFont="1" applyBorder="1" applyAlignment="1">
      <alignment horizontal="left" indent="3"/>
    </xf>
    <xf numFmtId="4" fontId="14" fillId="0" borderId="0" xfId="0" applyNumberFormat="1" applyFont="1" applyFill="1" applyBorder="1" applyAlignment="1">
      <alignment horizontal="right" vertical="center"/>
    </xf>
    <xf numFmtId="0" fontId="0" fillId="0" borderId="18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6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23" xfId="0" applyBorder="1" applyAlignment="1">
      <alignment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6" fillId="0" borderId="6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vertical="center" wrapText="1"/>
    </xf>
    <xf numFmtId="0" fontId="13" fillId="4" borderId="7" xfId="0" applyFont="1" applyFill="1" applyBorder="1" applyAlignment="1">
      <alignment vertical="center" wrapText="1"/>
    </xf>
    <xf numFmtId="0" fontId="13" fillId="4" borderId="8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16" fillId="0" borderId="6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16" fillId="0" borderId="8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0" fillId="0" borderId="6" xfId="0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vertical="center" wrapText="1"/>
    </xf>
    <xf numFmtId="0" fontId="0" fillId="0" borderId="26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vertical="center"/>
    </xf>
    <xf numFmtId="0" fontId="11" fillId="4" borderId="7" xfId="0" applyFont="1" applyFill="1" applyBorder="1" applyAlignment="1">
      <alignment vertical="center"/>
    </xf>
    <xf numFmtId="0" fontId="11" fillId="4" borderId="8" xfId="0" applyFont="1" applyFill="1" applyBorder="1" applyAlignment="1">
      <alignment vertical="center"/>
    </xf>
    <xf numFmtId="0" fontId="16" fillId="4" borderId="6" xfId="0" applyFont="1" applyFill="1" applyBorder="1" applyAlignment="1">
      <alignment vertical="center" wrapText="1"/>
    </xf>
    <xf numFmtId="0" fontId="16" fillId="4" borderId="7" xfId="0" applyFont="1" applyFill="1" applyBorder="1" applyAlignment="1">
      <alignment vertical="center" wrapText="1"/>
    </xf>
    <xf numFmtId="0" fontId="16" fillId="4" borderId="8" xfId="0" applyFont="1" applyFill="1" applyBorder="1" applyAlignment="1">
      <alignment vertical="center" wrapText="1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/>
    </xf>
    <xf numFmtId="0" fontId="11" fillId="4" borderId="8" xfId="0" applyFont="1" applyFill="1" applyBorder="1" applyAlignment="1">
      <alignment horizontal="left" vertical="center"/>
    </xf>
    <xf numFmtId="0" fontId="0" fillId="4" borderId="6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0" fillId="0" borderId="26" xfId="0" applyFill="1" applyBorder="1" applyAlignment="1">
      <alignment horizontal="center" wrapText="1"/>
    </xf>
    <xf numFmtId="0" fontId="0" fillId="0" borderId="25" xfId="0" applyFill="1" applyBorder="1" applyAlignment="1">
      <alignment horizontal="center" wrapText="1"/>
    </xf>
    <xf numFmtId="0" fontId="0" fillId="0" borderId="21" xfId="0" applyFill="1" applyBorder="1" applyAlignment="1">
      <alignment horizontal="center" wrapText="1"/>
    </xf>
    <xf numFmtId="0" fontId="0" fillId="0" borderId="14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23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22" xfId="0" applyFill="1" applyBorder="1" applyAlignment="1">
      <alignment horizont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wrapText="1"/>
    </xf>
    <xf numFmtId="0" fontId="0" fillId="4" borderId="25" xfId="0" applyFill="1" applyBorder="1" applyAlignment="1">
      <alignment horizontal="center" wrapText="1"/>
    </xf>
    <xf numFmtId="0" fontId="0" fillId="4" borderId="21" xfId="0" applyFill="1" applyBorder="1" applyAlignment="1">
      <alignment horizontal="center" wrapText="1"/>
    </xf>
    <xf numFmtId="0" fontId="0" fillId="4" borderId="14" xfId="0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0" fillId="4" borderId="10" xfId="0" applyFill="1" applyBorder="1" applyAlignment="1">
      <alignment horizontal="center" wrapText="1"/>
    </xf>
    <xf numFmtId="0" fontId="0" fillId="4" borderId="23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22" xfId="0" applyFill="1" applyBorder="1" applyAlignment="1">
      <alignment horizontal="center" wrapText="1"/>
    </xf>
    <xf numFmtId="0" fontId="15" fillId="4" borderId="6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left" vertical="center" wrapText="1"/>
    </xf>
    <xf numFmtId="0" fontId="15" fillId="4" borderId="8" xfId="0" applyFont="1" applyFill="1" applyBorder="1" applyAlignment="1">
      <alignment horizontal="left" vertical="center" wrapText="1"/>
    </xf>
    <xf numFmtId="0" fontId="12" fillId="4" borderId="35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vertical="center" wrapText="1"/>
    </xf>
    <xf numFmtId="0" fontId="0" fillId="4" borderId="25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2" fillId="4" borderId="6" xfId="0" applyFont="1" applyFill="1" applyBorder="1" applyAlignment="1">
      <alignment horizontal="left"/>
    </xf>
    <xf numFmtId="0" fontId="2" fillId="4" borderId="7" xfId="0" applyFont="1" applyFill="1" applyBorder="1" applyAlignment="1">
      <alignment horizontal="left"/>
    </xf>
    <xf numFmtId="0" fontId="2" fillId="4" borderId="8" xfId="0" applyFont="1" applyFill="1" applyBorder="1" applyAlignment="1">
      <alignment horizontal="left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vertical="center" wrapText="1"/>
    </xf>
    <xf numFmtId="0" fontId="13" fillId="2" borderId="25" xfId="0" applyFont="1" applyFill="1" applyBorder="1" applyAlignment="1">
      <alignment vertical="center" wrapText="1"/>
    </xf>
    <xf numFmtId="0" fontId="13" fillId="2" borderId="21" xfId="0" applyFont="1" applyFill="1" applyBorder="1" applyAlignment="1">
      <alignment vertical="center" wrapText="1"/>
    </xf>
    <xf numFmtId="0" fontId="10" fillId="2" borderId="2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3" fillId="2" borderId="22" xfId="0" applyFont="1" applyFill="1" applyBorder="1" applyAlignment="1">
      <alignment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6" fillId="0" borderId="6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2" fillId="0" borderId="26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26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2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6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31" fillId="0" borderId="6" xfId="0" applyFont="1" applyBorder="1" applyAlignment="1">
      <alignment horizontal="left"/>
    </xf>
    <xf numFmtId="0" fontId="31" fillId="0" borderId="7" xfId="0" applyFont="1" applyBorder="1" applyAlignment="1">
      <alignment horizontal="left"/>
    </xf>
    <xf numFmtId="0" fontId="30" fillId="0" borderId="26" xfId="0" applyFont="1" applyBorder="1" applyAlignment="1">
      <alignment horizontal="center"/>
    </xf>
    <xf numFmtId="0" fontId="30" fillId="0" borderId="25" xfId="0" applyFont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30" fillId="0" borderId="6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/>
    </xf>
    <xf numFmtId="0" fontId="31" fillId="0" borderId="7" xfId="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31" fillId="0" borderId="0" xfId="0" applyFont="1" applyBorder="1" applyAlignment="1">
      <alignment horizontal="left"/>
    </xf>
    <xf numFmtId="0" fontId="30" fillId="0" borderId="6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31" fillId="0" borderId="8" xfId="0" applyFont="1" applyBorder="1" applyAlignment="1">
      <alignment horizontal="center"/>
    </xf>
    <xf numFmtId="0" fontId="30" fillId="0" borderId="6" xfId="0" applyFont="1" applyBorder="1" applyAlignment="1">
      <alignment horizontal="left"/>
    </xf>
    <xf numFmtId="0" fontId="30" fillId="0" borderId="7" xfId="0" applyFont="1" applyBorder="1" applyAlignment="1">
      <alignment horizontal="left"/>
    </xf>
    <xf numFmtId="0" fontId="30" fillId="0" borderId="8" xfId="0" applyFont="1" applyBorder="1" applyAlignment="1">
      <alignment horizontal="left"/>
    </xf>
    <xf numFmtId="0" fontId="30" fillId="0" borderId="6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left"/>
    </xf>
    <xf numFmtId="0" fontId="31" fillId="0" borderId="7" xfId="0" applyFont="1" applyFill="1" applyBorder="1" applyAlignment="1">
      <alignment horizontal="left"/>
    </xf>
    <xf numFmtId="0" fontId="31" fillId="0" borderId="6" xfId="0" applyFont="1" applyBorder="1" applyAlignment="1">
      <alignment horizontal="left" wrapText="1"/>
    </xf>
    <xf numFmtId="0" fontId="31" fillId="0" borderId="8" xfId="0" applyFont="1" applyBorder="1" applyAlignment="1">
      <alignment horizontal="left" wrapText="1"/>
    </xf>
    <xf numFmtId="0" fontId="30" fillId="0" borderId="6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0" fillId="0" borderId="6" xfId="0" applyFont="1" applyFill="1" applyBorder="1" applyAlignment="1">
      <alignment horizontal="left" vertical="center" wrapText="1"/>
    </xf>
    <xf numFmtId="0" fontId="30" fillId="0" borderId="7" xfId="0" applyFont="1" applyFill="1" applyBorder="1" applyAlignment="1">
      <alignment horizontal="left" vertical="center" wrapText="1"/>
    </xf>
    <xf numFmtId="0" fontId="30" fillId="0" borderId="8" xfId="0" applyFont="1" applyFill="1" applyBorder="1" applyAlignment="1">
      <alignment horizontal="left" vertical="center" wrapText="1"/>
    </xf>
    <xf numFmtId="0" fontId="31" fillId="0" borderId="7" xfId="0" applyFont="1" applyBorder="1" applyAlignment="1">
      <alignment horizontal="left" wrapText="1"/>
    </xf>
    <xf numFmtId="0" fontId="17" fillId="0" borderId="26" xfId="6" applyFont="1" applyFill="1" applyBorder="1" applyAlignment="1">
      <alignment horizontal="center" vertical="center"/>
    </xf>
    <xf numFmtId="0" fontId="17" fillId="0" borderId="25" xfId="6" applyFont="1" applyFill="1" applyBorder="1" applyAlignment="1">
      <alignment horizontal="center" vertical="center"/>
    </xf>
    <xf numFmtId="0" fontId="17" fillId="0" borderId="21" xfId="6" applyFont="1" applyFill="1" applyBorder="1" applyAlignment="1">
      <alignment horizontal="center" vertical="center"/>
    </xf>
    <xf numFmtId="21" fontId="20" fillId="0" borderId="6" xfId="6" applyNumberFormat="1" applyFont="1" applyFill="1" applyBorder="1" applyAlignment="1">
      <alignment horizontal="right" vertical="center"/>
    </xf>
    <xf numFmtId="21" fontId="20" fillId="0" borderId="7" xfId="6" applyNumberFormat="1" applyFont="1" applyFill="1" applyBorder="1" applyAlignment="1">
      <alignment horizontal="right" vertical="center"/>
    </xf>
    <xf numFmtId="21" fontId="20" fillId="0" borderId="8" xfId="6" applyNumberFormat="1" applyFont="1" applyFill="1" applyBorder="1" applyAlignment="1">
      <alignment horizontal="right" vertical="center"/>
    </xf>
    <xf numFmtId="21" fontId="20" fillId="0" borderId="39" xfId="6" applyNumberFormat="1" applyFont="1" applyFill="1" applyBorder="1" applyAlignment="1">
      <alignment horizontal="right" vertical="center"/>
    </xf>
    <xf numFmtId="21" fontId="20" fillId="0" borderId="40" xfId="6" applyNumberFormat="1" applyFont="1" applyFill="1" applyBorder="1" applyAlignment="1">
      <alignment horizontal="right" vertical="center"/>
    </xf>
    <xf numFmtId="21" fontId="20" fillId="0" borderId="41" xfId="6" applyNumberFormat="1" applyFont="1" applyFill="1" applyBorder="1" applyAlignment="1">
      <alignment horizontal="right" vertical="center"/>
    </xf>
    <xf numFmtId="0" fontId="12" fillId="0" borderId="7" xfId="0" applyFont="1" applyBorder="1" applyAlignment="1">
      <alignment horizontal="center"/>
    </xf>
    <xf numFmtId="0" fontId="16" fillId="0" borderId="6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17" fillId="0" borderId="13" xfId="6" applyFont="1" applyFill="1" applyBorder="1" applyAlignment="1">
      <alignment horizontal="center" vertical="center"/>
    </xf>
    <xf numFmtId="0" fontId="17" fillId="0" borderId="24" xfId="6" applyFont="1" applyFill="1" applyBorder="1" applyAlignment="1">
      <alignment horizontal="center" vertical="center"/>
    </xf>
    <xf numFmtId="0" fontId="17" fillId="0" borderId="35" xfId="6" applyFont="1" applyFill="1" applyBorder="1" applyAlignment="1">
      <alignment horizontal="center" vertical="center"/>
    </xf>
    <xf numFmtId="2" fontId="17" fillId="0" borderId="6" xfId="6" applyNumberFormat="1" applyFont="1" applyFill="1" applyBorder="1" applyAlignment="1">
      <alignment horizontal="center" vertical="center"/>
    </xf>
    <xf numFmtId="2" fontId="17" fillId="0" borderId="7" xfId="6" applyNumberFormat="1" applyFont="1" applyFill="1" applyBorder="1" applyAlignment="1">
      <alignment horizontal="center" vertical="center"/>
    </xf>
    <xf numFmtId="2" fontId="17" fillId="0" borderId="8" xfId="6" applyNumberFormat="1" applyFont="1" applyFill="1" applyBorder="1" applyAlignment="1">
      <alignment horizontal="center" vertical="center"/>
    </xf>
    <xf numFmtId="2" fontId="20" fillId="0" borderId="6" xfId="6" applyNumberFormat="1" applyFont="1" applyFill="1" applyBorder="1" applyAlignment="1">
      <alignment horizontal="center" vertical="center"/>
    </xf>
    <xf numFmtId="2" fontId="20" fillId="0" borderId="7" xfId="6" applyNumberFormat="1" applyFont="1" applyFill="1" applyBorder="1" applyAlignment="1">
      <alignment horizontal="center" vertical="center"/>
    </xf>
    <xf numFmtId="2" fontId="20" fillId="0" borderId="8" xfId="6" applyNumberFormat="1" applyFont="1" applyFill="1" applyBorder="1" applyAlignment="1">
      <alignment horizontal="center" vertical="center"/>
    </xf>
    <xf numFmtId="0" fontId="25" fillId="6" borderId="49" xfId="0" applyFont="1" applyFill="1" applyBorder="1" applyAlignment="1">
      <alignment horizontal="center" vertical="center"/>
    </xf>
    <xf numFmtId="0" fontId="25" fillId="6" borderId="50" xfId="0" applyFont="1" applyFill="1" applyBorder="1" applyAlignment="1">
      <alignment horizontal="center" vertical="center"/>
    </xf>
    <xf numFmtId="0" fontId="23" fillId="5" borderId="26" xfId="0" applyFont="1" applyFill="1" applyBorder="1" applyAlignment="1">
      <alignment horizontal="center" vertical="center"/>
    </xf>
    <xf numFmtId="0" fontId="23" fillId="5" borderId="25" xfId="0" applyFont="1" applyFill="1" applyBorder="1" applyAlignment="1">
      <alignment horizontal="center" vertical="center"/>
    </xf>
    <xf numFmtId="0" fontId="23" fillId="5" borderId="21" xfId="0" applyFont="1" applyFill="1" applyBorder="1" applyAlignment="1">
      <alignment horizontal="center" vertical="center"/>
    </xf>
    <xf numFmtId="0" fontId="23" fillId="5" borderId="23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/>
    </xf>
    <xf numFmtId="0" fontId="24" fillId="0" borderId="45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5" fillId="6" borderId="48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left" vertical="center"/>
    </xf>
    <xf numFmtId="170" fontId="24" fillId="0" borderId="52" xfId="0" applyNumberFormat="1" applyFont="1" applyFill="1" applyBorder="1" applyAlignment="1">
      <alignment horizontal="center" vertical="center"/>
    </xf>
    <xf numFmtId="170" fontId="24" fillId="0" borderId="45" xfId="0" applyNumberFormat="1" applyFont="1" applyFill="1" applyBorder="1" applyAlignment="1">
      <alignment horizontal="center" vertical="center"/>
    </xf>
    <xf numFmtId="170" fontId="24" fillId="0" borderId="53" xfId="0" applyNumberFormat="1" applyFont="1" applyFill="1" applyBorder="1" applyAlignment="1">
      <alignment horizontal="center" vertical="center"/>
    </xf>
    <xf numFmtId="170" fontId="24" fillId="0" borderId="56" xfId="0" applyNumberFormat="1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left"/>
    </xf>
    <xf numFmtId="0" fontId="26" fillId="6" borderId="8" xfId="0" applyFont="1" applyFill="1" applyBorder="1" applyAlignment="1">
      <alignment horizontal="left"/>
    </xf>
    <xf numFmtId="0" fontId="24" fillId="0" borderId="1" xfId="0" applyFont="1" applyFill="1" applyBorder="1" applyAlignment="1">
      <alignment horizontal="left" vertical="center"/>
    </xf>
    <xf numFmtId="0" fontId="25" fillId="6" borderId="6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/>
    </xf>
    <xf numFmtId="0" fontId="24" fillId="6" borderId="7" xfId="0" applyFont="1" applyFill="1" applyBorder="1" applyAlignment="1">
      <alignment horizontal="center"/>
    </xf>
    <xf numFmtId="0" fontId="24" fillId="6" borderId="8" xfId="0" applyFont="1" applyFill="1" applyBorder="1" applyAlignment="1">
      <alignment horizontal="center"/>
    </xf>
    <xf numFmtId="0" fontId="24" fillId="0" borderId="51" xfId="0" applyFont="1" applyFill="1" applyBorder="1" applyAlignment="1">
      <alignment horizontal="center" vertical="center"/>
    </xf>
    <xf numFmtId="0" fontId="24" fillId="0" borderId="54" xfId="0" applyFont="1" applyFill="1" applyBorder="1" applyAlignment="1">
      <alignment horizontal="center" vertical="center"/>
    </xf>
    <xf numFmtId="0" fontId="24" fillId="0" borderId="55" xfId="0" applyFont="1" applyFill="1" applyBorder="1" applyAlignment="1">
      <alignment horizontal="center" vertical="center"/>
    </xf>
    <xf numFmtId="170" fontId="24" fillId="0" borderId="43" xfId="0" applyNumberFormat="1" applyFont="1" applyFill="1" applyBorder="1" applyAlignment="1">
      <alignment horizontal="center" vertical="center"/>
    </xf>
    <xf numFmtId="170" fontId="24" fillId="0" borderId="55" xfId="0" applyNumberFormat="1" applyFont="1" applyFill="1" applyBorder="1" applyAlignment="1">
      <alignment horizontal="center" vertical="center"/>
    </xf>
    <xf numFmtId="0" fontId="28" fillId="7" borderId="26" xfId="4" applyFont="1" applyFill="1" applyBorder="1" applyAlignment="1">
      <alignment horizontal="center" vertical="center" wrapText="1"/>
    </xf>
    <xf numFmtId="0" fontId="28" fillId="7" borderId="25" xfId="4" applyFont="1" applyFill="1" applyBorder="1" applyAlignment="1">
      <alignment horizontal="center" vertical="center" wrapText="1"/>
    </xf>
    <xf numFmtId="0" fontId="28" fillId="7" borderId="21" xfId="4" applyFont="1" applyFill="1" applyBorder="1" applyAlignment="1">
      <alignment horizontal="center" vertical="center" wrapText="1"/>
    </xf>
    <xf numFmtId="0" fontId="28" fillId="7" borderId="23" xfId="4" applyFont="1" applyFill="1" applyBorder="1" applyAlignment="1">
      <alignment horizontal="center" vertical="center" wrapText="1"/>
    </xf>
    <xf numFmtId="0" fontId="28" fillId="7" borderId="1" xfId="4" applyFont="1" applyFill="1" applyBorder="1" applyAlignment="1">
      <alignment horizontal="center" vertical="center" wrapText="1"/>
    </xf>
    <xf numFmtId="0" fontId="28" fillId="7" borderId="22" xfId="4" applyFont="1" applyFill="1" applyBorder="1" applyAlignment="1">
      <alignment horizontal="center" vertical="center" wrapText="1"/>
    </xf>
    <xf numFmtId="0" fontId="28" fillId="7" borderId="13" xfId="4" applyFont="1" applyFill="1" applyBorder="1" applyAlignment="1">
      <alignment horizontal="center" vertical="center" wrapText="1"/>
    </xf>
    <xf numFmtId="0" fontId="28" fillId="7" borderId="35" xfId="4" applyFont="1" applyFill="1" applyBorder="1" applyAlignment="1">
      <alignment horizontal="center" vertical="center" wrapText="1"/>
    </xf>
  </cellXfs>
  <cellStyles count="9">
    <cellStyle name="Comma_FORMATO 09 - PRESUPUESTO" xfId="3"/>
    <cellStyle name="Millares" xfId="1" builtinId="3"/>
    <cellStyle name="Moneda [0]" xfId="5" builtinId="7"/>
    <cellStyle name="Moneda 2" xfId="8"/>
    <cellStyle name="Normal" xfId="0" builtinId="0"/>
    <cellStyle name="Normal 2" xfId="4"/>
    <cellStyle name="Normal_CALCULO DEL AIU" xfId="6"/>
    <cellStyle name="Porcentaje" xfId="2" builtinId="5"/>
    <cellStyle name="Porcentual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R212"/>
  <sheetViews>
    <sheetView view="pageBreakPreview" topLeftCell="A148" zoomScaleNormal="100" zoomScaleSheetLayoutView="100" workbookViewId="0">
      <selection activeCell="F139" sqref="F139"/>
    </sheetView>
  </sheetViews>
  <sheetFormatPr baseColWidth="10" defaultRowHeight="15" x14ac:dyDescent="0.25"/>
  <cols>
    <col min="1" max="1" width="5.140625" customWidth="1"/>
    <col min="2" max="3" width="7.7109375" customWidth="1"/>
    <col min="4" max="4" width="6.42578125" customWidth="1"/>
    <col min="5" max="5" width="7.140625" customWidth="1"/>
    <col min="6" max="6" width="62.28515625" customWidth="1"/>
    <col min="7" max="7" width="6.42578125" bestFit="1" customWidth="1"/>
    <col min="8" max="8" width="8" customWidth="1"/>
    <col min="9" max="9" width="12.5703125" customWidth="1"/>
    <col min="10" max="10" width="15.5703125" customWidth="1"/>
    <col min="11" max="11" width="15.85546875" customWidth="1"/>
    <col min="12" max="12" width="12.5703125" bestFit="1" customWidth="1"/>
    <col min="13" max="13" width="16.28515625" bestFit="1" customWidth="1"/>
    <col min="18" max="18" width="13.5703125" bestFit="1" customWidth="1"/>
    <col min="261" max="261" width="6.85546875" bestFit="1" customWidth="1"/>
    <col min="262" max="262" width="61.7109375" customWidth="1"/>
    <col min="263" max="263" width="6.42578125" bestFit="1" customWidth="1"/>
    <col min="264" max="264" width="12.28515625" customWidth="1"/>
    <col min="265" max="265" width="17.140625" customWidth="1"/>
    <col min="266" max="266" width="21.28515625" customWidth="1"/>
    <col min="267" max="267" width="5.85546875" customWidth="1"/>
    <col min="517" max="517" width="6.85546875" bestFit="1" customWidth="1"/>
    <col min="518" max="518" width="61.7109375" customWidth="1"/>
    <col min="519" max="519" width="6.42578125" bestFit="1" customWidth="1"/>
    <col min="520" max="520" width="12.28515625" customWidth="1"/>
    <col min="521" max="521" width="17.140625" customWidth="1"/>
    <col min="522" max="522" width="21.28515625" customWidth="1"/>
    <col min="523" max="523" width="5.85546875" customWidth="1"/>
    <col min="773" max="773" width="6.85546875" bestFit="1" customWidth="1"/>
    <col min="774" max="774" width="61.7109375" customWidth="1"/>
    <col min="775" max="775" width="6.42578125" bestFit="1" customWidth="1"/>
    <col min="776" max="776" width="12.28515625" customWidth="1"/>
    <col min="777" max="777" width="17.140625" customWidth="1"/>
    <col min="778" max="778" width="21.28515625" customWidth="1"/>
    <col min="779" max="779" width="5.85546875" customWidth="1"/>
    <col min="1029" max="1029" width="6.85546875" bestFit="1" customWidth="1"/>
    <col min="1030" max="1030" width="61.7109375" customWidth="1"/>
    <col min="1031" max="1031" width="6.42578125" bestFit="1" customWidth="1"/>
    <col min="1032" max="1032" width="12.28515625" customWidth="1"/>
    <col min="1033" max="1033" width="17.140625" customWidth="1"/>
    <col min="1034" max="1034" width="21.28515625" customWidth="1"/>
    <col min="1035" max="1035" width="5.85546875" customWidth="1"/>
    <col min="1285" max="1285" width="6.85546875" bestFit="1" customWidth="1"/>
    <col min="1286" max="1286" width="61.7109375" customWidth="1"/>
    <col min="1287" max="1287" width="6.42578125" bestFit="1" customWidth="1"/>
    <col min="1288" max="1288" width="12.28515625" customWidth="1"/>
    <col min="1289" max="1289" width="17.140625" customWidth="1"/>
    <col min="1290" max="1290" width="21.28515625" customWidth="1"/>
    <col min="1291" max="1291" width="5.85546875" customWidth="1"/>
    <col min="1541" max="1541" width="6.85546875" bestFit="1" customWidth="1"/>
    <col min="1542" max="1542" width="61.7109375" customWidth="1"/>
    <col min="1543" max="1543" width="6.42578125" bestFit="1" customWidth="1"/>
    <col min="1544" max="1544" width="12.28515625" customWidth="1"/>
    <col min="1545" max="1545" width="17.140625" customWidth="1"/>
    <col min="1546" max="1546" width="21.28515625" customWidth="1"/>
    <col min="1547" max="1547" width="5.85546875" customWidth="1"/>
    <col min="1797" max="1797" width="6.85546875" bestFit="1" customWidth="1"/>
    <col min="1798" max="1798" width="61.7109375" customWidth="1"/>
    <col min="1799" max="1799" width="6.42578125" bestFit="1" customWidth="1"/>
    <col min="1800" max="1800" width="12.28515625" customWidth="1"/>
    <col min="1801" max="1801" width="17.140625" customWidth="1"/>
    <col min="1802" max="1802" width="21.28515625" customWidth="1"/>
    <col min="1803" max="1803" width="5.85546875" customWidth="1"/>
    <col min="2053" max="2053" width="6.85546875" bestFit="1" customWidth="1"/>
    <col min="2054" max="2054" width="61.7109375" customWidth="1"/>
    <col min="2055" max="2055" width="6.42578125" bestFit="1" customWidth="1"/>
    <col min="2056" max="2056" width="12.28515625" customWidth="1"/>
    <col min="2057" max="2057" width="17.140625" customWidth="1"/>
    <col min="2058" max="2058" width="21.28515625" customWidth="1"/>
    <col min="2059" max="2059" width="5.85546875" customWidth="1"/>
    <col min="2309" max="2309" width="6.85546875" bestFit="1" customWidth="1"/>
    <col min="2310" max="2310" width="61.7109375" customWidth="1"/>
    <col min="2311" max="2311" width="6.42578125" bestFit="1" customWidth="1"/>
    <col min="2312" max="2312" width="12.28515625" customWidth="1"/>
    <col min="2313" max="2313" width="17.140625" customWidth="1"/>
    <col min="2314" max="2314" width="21.28515625" customWidth="1"/>
    <col min="2315" max="2315" width="5.85546875" customWidth="1"/>
    <col min="2565" max="2565" width="6.85546875" bestFit="1" customWidth="1"/>
    <col min="2566" max="2566" width="61.7109375" customWidth="1"/>
    <col min="2567" max="2567" width="6.42578125" bestFit="1" customWidth="1"/>
    <col min="2568" max="2568" width="12.28515625" customWidth="1"/>
    <col min="2569" max="2569" width="17.140625" customWidth="1"/>
    <col min="2570" max="2570" width="21.28515625" customWidth="1"/>
    <col min="2571" max="2571" width="5.85546875" customWidth="1"/>
    <col min="2821" max="2821" width="6.85546875" bestFit="1" customWidth="1"/>
    <col min="2822" max="2822" width="61.7109375" customWidth="1"/>
    <col min="2823" max="2823" width="6.42578125" bestFit="1" customWidth="1"/>
    <col min="2824" max="2824" width="12.28515625" customWidth="1"/>
    <col min="2825" max="2825" width="17.140625" customWidth="1"/>
    <col min="2826" max="2826" width="21.28515625" customWidth="1"/>
    <col min="2827" max="2827" width="5.85546875" customWidth="1"/>
    <col min="3077" max="3077" width="6.85546875" bestFit="1" customWidth="1"/>
    <col min="3078" max="3078" width="61.7109375" customWidth="1"/>
    <col min="3079" max="3079" width="6.42578125" bestFit="1" customWidth="1"/>
    <col min="3080" max="3080" width="12.28515625" customWidth="1"/>
    <col min="3081" max="3081" width="17.140625" customWidth="1"/>
    <col min="3082" max="3082" width="21.28515625" customWidth="1"/>
    <col min="3083" max="3083" width="5.85546875" customWidth="1"/>
    <col min="3333" max="3333" width="6.85546875" bestFit="1" customWidth="1"/>
    <col min="3334" max="3334" width="61.7109375" customWidth="1"/>
    <col min="3335" max="3335" width="6.42578125" bestFit="1" customWidth="1"/>
    <col min="3336" max="3336" width="12.28515625" customWidth="1"/>
    <col min="3337" max="3337" width="17.140625" customWidth="1"/>
    <col min="3338" max="3338" width="21.28515625" customWidth="1"/>
    <col min="3339" max="3339" width="5.85546875" customWidth="1"/>
    <col min="3589" max="3589" width="6.85546875" bestFit="1" customWidth="1"/>
    <col min="3590" max="3590" width="61.7109375" customWidth="1"/>
    <col min="3591" max="3591" width="6.42578125" bestFit="1" customWidth="1"/>
    <col min="3592" max="3592" width="12.28515625" customWidth="1"/>
    <col min="3593" max="3593" width="17.140625" customWidth="1"/>
    <col min="3594" max="3594" width="21.28515625" customWidth="1"/>
    <col min="3595" max="3595" width="5.85546875" customWidth="1"/>
    <col min="3845" max="3845" width="6.85546875" bestFit="1" customWidth="1"/>
    <col min="3846" max="3846" width="61.7109375" customWidth="1"/>
    <col min="3847" max="3847" width="6.42578125" bestFit="1" customWidth="1"/>
    <col min="3848" max="3848" width="12.28515625" customWidth="1"/>
    <col min="3849" max="3849" width="17.140625" customWidth="1"/>
    <col min="3850" max="3850" width="21.28515625" customWidth="1"/>
    <col min="3851" max="3851" width="5.85546875" customWidth="1"/>
    <col min="4101" max="4101" width="6.85546875" bestFit="1" customWidth="1"/>
    <col min="4102" max="4102" width="61.7109375" customWidth="1"/>
    <col min="4103" max="4103" width="6.42578125" bestFit="1" customWidth="1"/>
    <col min="4104" max="4104" width="12.28515625" customWidth="1"/>
    <col min="4105" max="4105" width="17.140625" customWidth="1"/>
    <col min="4106" max="4106" width="21.28515625" customWidth="1"/>
    <col min="4107" max="4107" width="5.85546875" customWidth="1"/>
    <col min="4357" max="4357" width="6.85546875" bestFit="1" customWidth="1"/>
    <col min="4358" max="4358" width="61.7109375" customWidth="1"/>
    <col min="4359" max="4359" width="6.42578125" bestFit="1" customWidth="1"/>
    <col min="4360" max="4360" width="12.28515625" customWidth="1"/>
    <col min="4361" max="4361" width="17.140625" customWidth="1"/>
    <col min="4362" max="4362" width="21.28515625" customWidth="1"/>
    <col min="4363" max="4363" width="5.85546875" customWidth="1"/>
    <col min="4613" max="4613" width="6.85546875" bestFit="1" customWidth="1"/>
    <col min="4614" max="4614" width="61.7109375" customWidth="1"/>
    <col min="4615" max="4615" width="6.42578125" bestFit="1" customWidth="1"/>
    <col min="4616" max="4616" width="12.28515625" customWidth="1"/>
    <col min="4617" max="4617" width="17.140625" customWidth="1"/>
    <col min="4618" max="4618" width="21.28515625" customWidth="1"/>
    <col min="4619" max="4619" width="5.85546875" customWidth="1"/>
    <col min="4869" max="4869" width="6.85546875" bestFit="1" customWidth="1"/>
    <col min="4870" max="4870" width="61.7109375" customWidth="1"/>
    <col min="4871" max="4871" width="6.42578125" bestFit="1" customWidth="1"/>
    <col min="4872" max="4872" width="12.28515625" customWidth="1"/>
    <col min="4873" max="4873" width="17.140625" customWidth="1"/>
    <col min="4874" max="4874" width="21.28515625" customWidth="1"/>
    <col min="4875" max="4875" width="5.85546875" customWidth="1"/>
    <col min="5125" max="5125" width="6.85546875" bestFit="1" customWidth="1"/>
    <col min="5126" max="5126" width="61.7109375" customWidth="1"/>
    <col min="5127" max="5127" width="6.42578125" bestFit="1" customWidth="1"/>
    <col min="5128" max="5128" width="12.28515625" customWidth="1"/>
    <col min="5129" max="5129" width="17.140625" customWidth="1"/>
    <col min="5130" max="5130" width="21.28515625" customWidth="1"/>
    <col min="5131" max="5131" width="5.85546875" customWidth="1"/>
    <col min="5381" max="5381" width="6.85546875" bestFit="1" customWidth="1"/>
    <col min="5382" max="5382" width="61.7109375" customWidth="1"/>
    <col min="5383" max="5383" width="6.42578125" bestFit="1" customWidth="1"/>
    <col min="5384" max="5384" width="12.28515625" customWidth="1"/>
    <col min="5385" max="5385" width="17.140625" customWidth="1"/>
    <col min="5386" max="5386" width="21.28515625" customWidth="1"/>
    <col min="5387" max="5387" width="5.85546875" customWidth="1"/>
    <col min="5637" max="5637" width="6.85546875" bestFit="1" customWidth="1"/>
    <col min="5638" max="5638" width="61.7109375" customWidth="1"/>
    <col min="5639" max="5639" width="6.42578125" bestFit="1" customWidth="1"/>
    <col min="5640" max="5640" width="12.28515625" customWidth="1"/>
    <col min="5641" max="5641" width="17.140625" customWidth="1"/>
    <col min="5642" max="5642" width="21.28515625" customWidth="1"/>
    <col min="5643" max="5643" width="5.85546875" customWidth="1"/>
    <col min="5893" max="5893" width="6.85546875" bestFit="1" customWidth="1"/>
    <col min="5894" max="5894" width="61.7109375" customWidth="1"/>
    <col min="5895" max="5895" width="6.42578125" bestFit="1" customWidth="1"/>
    <col min="5896" max="5896" width="12.28515625" customWidth="1"/>
    <col min="5897" max="5897" width="17.140625" customWidth="1"/>
    <col min="5898" max="5898" width="21.28515625" customWidth="1"/>
    <col min="5899" max="5899" width="5.85546875" customWidth="1"/>
    <col min="6149" max="6149" width="6.85546875" bestFit="1" customWidth="1"/>
    <col min="6150" max="6150" width="61.7109375" customWidth="1"/>
    <col min="6151" max="6151" width="6.42578125" bestFit="1" customWidth="1"/>
    <col min="6152" max="6152" width="12.28515625" customWidth="1"/>
    <col min="6153" max="6153" width="17.140625" customWidth="1"/>
    <col min="6154" max="6154" width="21.28515625" customWidth="1"/>
    <col min="6155" max="6155" width="5.85546875" customWidth="1"/>
    <col min="6405" max="6405" width="6.85546875" bestFit="1" customWidth="1"/>
    <col min="6406" max="6406" width="61.7109375" customWidth="1"/>
    <col min="6407" max="6407" width="6.42578125" bestFit="1" customWidth="1"/>
    <col min="6408" max="6408" width="12.28515625" customWidth="1"/>
    <col min="6409" max="6409" width="17.140625" customWidth="1"/>
    <col min="6410" max="6410" width="21.28515625" customWidth="1"/>
    <col min="6411" max="6411" width="5.85546875" customWidth="1"/>
    <col min="6661" max="6661" width="6.85546875" bestFit="1" customWidth="1"/>
    <col min="6662" max="6662" width="61.7109375" customWidth="1"/>
    <col min="6663" max="6663" width="6.42578125" bestFit="1" customWidth="1"/>
    <col min="6664" max="6664" width="12.28515625" customWidth="1"/>
    <col min="6665" max="6665" width="17.140625" customWidth="1"/>
    <col min="6666" max="6666" width="21.28515625" customWidth="1"/>
    <col min="6667" max="6667" width="5.85546875" customWidth="1"/>
    <col min="6917" max="6917" width="6.85546875" bestFit="1" customWidth="1"/>
    <col min="6918" max="6918" width="61.7109375" customWidth="1"/>
    <col min="6919" max="6919" width="6.42578125" bestFit="1" customWidth="1"/>
    <col min="6920" max="6920" width="12.28515625" customWidth="1"/>
    <col min="6921" max="6921" width="17.140625" customWidth="1"/>
    <col min="6922" max="6922" width="21.28515625" customWidth="1"/>
    <col min="6923" max="6923" width="5.85546875" customWidth="1"/>
    <col min="7173" max="7173" width="6.85546875" bestFit="1" customWidth="1"/>
    <col min="7174" max="7174" width="61.7109375" customWidth="1"/>
    <col min="7175" max="7175" width="6.42578125" bestFit="1" customWidth="1"/>
    <col min="7176" max="7176" width="12.28515625" customWidth="1"/>
    <col min="7177" max="7177" width="17.140625" customWidth="1"/>
    <col min="7178" max="7178" width="21.28515625" customWidth="1"/>
    <col min="7179" max="7179" width="5.85546875" customWidth="1"/>
    <col min="7429" max="7429" width="6.85546875" bestFit="1" customWidth="1"/>
    <col min="7430" max="7430" width="61.7109375" customWidth="1"/>
    <col min="7431" max="7431" width="6.42578125" bestFit="1" customWidth="1"/>
    <col min="7432" max="7432" width="12.28515625" customWidth="1"/>
    <col min="7433" max="7433" width="17.140625" customWidth="1"/>
    <col min="7434" max="7434" width="21.28515625" customWidth="1"/>
    <col min="7435" max="7435" width="5.85546875" customWidth="1"/>
    <col min="7685" max="7685" width="6.85546875" bestFit="1" customWidth="1"/>
    <col min="7686" max="7686" width="61.7109375" customWidth="1"/>
    <col min="7687" max="7687" width="6.42578125" bestFit="1" customWidth="1"/>
    <col min="7688" max="7688" width="12.28515625" customWidth="1"/>
    <col min="7689" max="7689" width="17.140625" customWidth="1"/>
    <col min="7690" max="7690" width="21.28515625" customWidth="1"/>
    <col min="7691" max="7691" width="5.85546875" customWidth="1"/>
    <col min="7941" max="7941" width="6.85546875" bestFit="1" customWidth="1"/>
    <col min="7942" max="7942" width="61.7109375" customWidth="1"/>
    <col min="7943" max="7943" width="6.42578125" bestFit="1" customWidth="1"/>
    <col min="7944" max="7944" width="12.28515625" customWidth="1"/>
    <col min="7945" max="7945" width="17.140625" customWidth="1"/>
    <col min="7946" max="7946" width="21.28515625" customWidth="1"/>
    <col min="7947" max="7947" width="5.85546875" customWidth="1"/>
    <col min="8197" max="8197" width="6.85546875" bestFit="1" customWidth="1"/>
    <col min="8198" max="8198" width="61.7109375" customWidth="1"/>
    <col min="8199" max="8199" width="6.42578125" bestFit="1" customWidth="1"/>
    <col min="8200" max="8200" width="12.28515625" customWidth="1"/>
    <col min="8201" max="8201" width="17.140625" customWidth="1"/>
    <col min="8202" max="8202" width="21.28515625" customWidth="1"/>
    <col min="8203" max="8203" width="5.85546875" customWidth="1"/>
    <col min="8453" max="8453" width="6.85546875" bestFit="1" customWidth="1"/>
    <col min="8454" max="8454" width="61.7109375" customWidth="1"/>
    <col min="8455" max="8455" width="6.42578125" bestFit="1" customWidth="1"/>
    <col min="8456" max="8456" width="12.28515625" customWidth="1"/>
    <col min="8457" max="8457" width="17.140625" customWidth="1"/>
    <col min="8458" max="8458" width="21.28515625" customWidth="1"/>
    <col min="8459" max="8459" width="5.85546875" customWidth="1"/>
    <col min="8709" max="8709" width="6.85546875" bestFit="1" customWidth="1"/>
    <col min="8710" max="8710" width="61.7109375" customWidth="1"/>
    <col min="8711" max="8711" width="6.42578125" bestFit="1" customWidth="1"/>
    <col min="8712" max="8712" width="12.28515625" customWidth="1"/>
    <col min="8713" max="8713" width="17.140625" customWidth="1"/>
    <col min="8714" max="8714" width="21.28515625" customWidth="1"/>
    <col min="8715" max="8715" width="5.85546875" customWidth="1"/>
    <col min="8965" max="8965" width="6.85546875" bestFit="1" customWidth="1"/>
    <col min="8966" max="8966" width="61.7109375" customWidth="1"/>
    <col min="8967" max="8967" width="6.42578125" bestFit="1" customWidth="1"/>
    <col min="8968" max="8968" width="12.28515625" customWidth="1"/>
    <col min="8969" max="8969" width="17.140625" customWidth="1"/>
    <col min="8970" max="8970" width="21.28515625" customWidth="1"/>
    <col min="8971" max="8971" width="5.85546875" customWidth="1"/>
    <col min="9221" max="9221" width="6.85546875" bestFit="1" customWidth="1"/>
    <col min="9222" max="9222" width="61.7109375" customWidth="1"/>
    <col min="9223" max="9223" width="6.42578125" bestFit="1" customWidth="1"/>
    <col min="9224" max="9224" width="12.28515625" customWidth="1"/>
    <col min="9225" max="9225" width="17.140625" customWidth="1"/>
    <col min="9226" max="9226" width="21.28515625" customWidth="1"/>
    <col min="9227" max="9227" width="5.85546875" customWidth="1"/>
    <col min="9477" max="9477" width="6.85546875" bestFit="1" customWidth="1"/>
    <col min="9478" max="9478" width="61.7109375" customWidth="1"/>
    <col min="9479" max="9479" width="6.42578125" bestFit="1" customWidth="1"/>
    <col min="9480" max="9480" width="12.28515625" customWidth="1"/>
    <col min="9481" max="9481" width="17.140625" customWidth="1"/>
    <col min="9482" max="9482" width="21.28515625" customWidth="1"/>
    <col min="9483" max="9483" width="5.85546875" customWidth="1"/>
    <col min="9733" max="9733" width="6.85546875" bestFit="1" customWidth="1"/>
    <col min="9734" max="9734" width="61.7109375" customWidth="1"/>
    <col min="9735" max="9735" width="6.42578125" bestFit="1" customWidth="1"/>
    <col min="9736" max="9736" width="12.28515625" customWidth="1"/>
    <col min="9737" max="9737" width="17.140625" customWidth="1"/>
    <col min="9738" max="9738" width="21.28515625" customWidth="1"/>
    <col min="9739" max="9739" width="5.85546875" customWidth="1"/>
    <col min="9989" max="9989" width="6.85546875" bestFit="1" customWidth="1"/>
    <col min="9990" max="9990" width="61.7109375" customWidth="1"/>
    <col min="9991" max="9991" width="6.42578125" bestFit="1" customWidth="1"/>
    <col min="9992" max="9992" width="12.28515625" customWidth="1"/>
    <col min="9993" max="9993" width="17.140625" customWidth="1"/>
    <col min="9994" max="9994" width="21.28515625" customWidth="1"/>
    <col min="9995" max="9995" width="5.85546875" customWidth="1"/>
    <col min="10245" max="10245" width="6.85546875" bestFit="1" customWidth="1"/>
    <col min="10246" max="10246" width="61.7109375" customWidth="1"/>
    <col min="10247" max="10247" width="6.42578125" bestFit="1" customWidth="1"/>
    <col min="10248" max="10248" width="12.28515625" customWidth="1"/>
    <col min="10249" max="10249" width="17.140625" customWidth="1"/>
    <col min="10250" max="10250" width="21.28515625" customWidth="1"/>
    <col min="10251" max="10251" width="5.85546875" customWidth="1"/>
    <col min="10501" max="10501" width="6.85546875" bestFit="1" customWidth="1"/>
    <col min="10502" max="10502" width="61.7109375" customWidth="1"/>
    <col min="10503" max="10503" width="6.42578125" bestFit="1" customWidth="1"/>
    <col min="10504" max="10504" width="12.28515625" customWidth="1"/>
    <col min="10505" max="10505" width="17.140625" customWidth="1"/>
    <col min="10506" max="10506" width="21.28515625" customWidth="1"/>
    <col min="10507" max="10507" width="5.85546875" customWidth="1"/>
    <col min="10757" max="10757" width="6.85546875" bestFit="1" customWidth="1"/>
    <col min="10758" max="10758" width="61.7109375" customWidth="1"/>
    <col min="10759" max="10759" width="6.42578125" bestFit="1" customWidth="1"/>
    <col min="10760" max="10760" width="12.28515625" customWidth="1"/>
    <col min="10761" max="10761" width="17.140625" customWidth="1"/>
    <col min="10762" max="10762" width="21.28515625" customWidth="1"/>
    <col min="10763" max="10763" width="5.85546875" customWidth="1"/>
    <col min="11013" max="11013" width="6.85546875" bestFit="1" customWidth="1"/>
    <col min="11014" max="11014" width="61.7109375" customWidth="1"/>
    <col min="11015" max="11015" width="6.42578125" bestFit="1" customWidth="1"/>
    <col min="11016" max="11016" width="12.28515625" customWidth="1"/>
    <col min="11017" max="11017" width="17.140625" customWidth="1"/>
    <col min="11018" max="11018" width="21.28515625" customWidth="1"/>
    <col min="11019" max="11019" width="5.85546875" customWidth="1"/>
    <col min="11269" max="11269" width="6.85546875" bestFit="1" customWidth="1"/>
    <col min="11270" max="11270" width="61.7109375" customWidth="1"/>
    <col min="11271" max="11271" width="6.42578125" bestFit="1" customWidth="1"/>
    <col min="11272" max="11272" width="12.28515625" customWidth="1"/>
    <col min="11273" max="11273" width="17.140625" customWidth="1"/>
    <col min="11274" max="11274" width="21.28515625" customWidth="1"/>
    <col min="11275" max="11275" width="5.85546875" customWidth="1"/>
    <col min="11525" max="11525" width="6.85546875" bestFit="1" customWidth="1"/>
    <col min="11526" max="11526" width="61.7109375" customWidth="1"/>
    <col min="11527" max="11527" width="6.42578125" bestFit="1" customWidth="1"/>
    <col min="11528" max="11528" width="12.28515625" customWidth="1"/>
    <col min="11529" max="11529" width="17.140625" customWidth="1"/>
    <col min="11530" max="11530" width="21.28515625" customWidth="1"/>
    <col min="11531" max="11531" width="5.85546875" customWidth="1"/>
    <col min="11781" max="11781" width="6.85546875" bestFit="1" customWidth="1"/>
    <col min="11782" max="11782" width="61.7109375" customWidth="1"/>
    <col min="11783" max="11783" width="6.42578125" bestFit="1" customWidth="1"/>
    <col min="11784" max="11784" width="12.28515625" customWidth="1"/>
    <col min="11785" max="11785" width="17.140625" customWidth="1"/>
    <col min="11786" max="11786" width="21.28515625" customWidth="1"/>
    <col min="11787" max="11787" width="5.85546875" customWidth="1"/>
    <col min="12037" max="12037" width="6.85546875" bestFit="1" customWidth="1"/>
    <col min="12038" max="12038" width="61.7109375" customWidth="1"/>
    <col min="12039" max="12039" width="6.42578125" bestFit="1" customWidth="1"/>
    <col min="12040" max="12040" width="12.28515625" customWidth="1"/>
    <col min="12041" max="12041" width="17.140625" customWidth="1"/>
    <col min="12042" max="12042" width="21.28515625" customWidth="1"/>
    <col min="12043" max="12043" width="5.85546875" customWidth="1"/>
    <col min="12293" max="12293" width="6.85546875" bestFit="1" customWidth="1"/>
    <col min="12294" max="12294" width="61.7109375" customWidth="1"/>
    <col min="12295" max="12295" width="6.42578125" bestFit="1" customWidth="1"/>
    <col min="12296" max="12296" width="12.28515625" customWidth="1"/>
    <col min="12297" max="12297" width="17.140625" customWidth="1"/>
    <col min="12298" max="12298" width="21.28515625" customWidth="1"/>
    <col min="12299" max="12299" width="5.85546875" customWidth="1"/>
    <col min="12549" max="12549" width="6.85546875" bestFit="1" customWidth="1"/>
    <col min="12550" max="12550" width="61.7109375" customWidth="1"/>
    <col min="12551" max="12551" width="6.42578125" bestFit="1" customWidth="1"/>
    <col min="12552" max="12552" width="12.28515625" customWidth="1"/>
    <col min="12553" max="12553" width="17.140625" customWidth="1"/>
    <col min="12554" max="12554" width="21.28515625" customWidth="1"/>
    <col min="12555" max="12555" width="5.85546875" customWidth="1"/>
    <col min="12805" max="12805" width="6.85546875" bestFit="1" customWidth="1"/>
    <col min="12806" max="12806" width="61.7109375" customWidth="1"/>
    <col min="12807" max="12807" width="6.42578125" bestFit="1" customWidth="1"/>
    <col min="12808" max="12808" width="12.28515625" customWidth="1"/>
    <col min="12809" max="12809" width="17.140625" customWidth="1"/>
    <col min="12810" max="12810" width="21.28515625" customWidth="1"/>
    <col min="12811" max="12811" width="5.85546875" customWidth="1"/>
    <col min="13061" max="13061" width="6.85546875" bestFit="1" customWidth="1"/>
    <col min="13062" max="13062" width="61.7109375" customWidth="1"/>
    <col min="13063" max="13063" width="6.42578125" bestFit="1" customWidth="1"/>
    <col min="13064" max="13064" width="12.28515625" customWidth="1"/>
    <col min="13065" max="13065" width="17.140625" customWidth="1"/>
    <col min="13066" max="13066" width="21.28515625" customWidth="1"/>
    <col min="13067" max="13067" width="5.85546875" customWidth="1"/>
    <col min="13317" max="13317" width="6.85546875" bestFit="1" customWidth="1"/>
    <col min="13318" max="13318" width="61.7109375" customWidth="1"/>
    <col min="13319" max="13319" width="6.42578125" bestFit="1" customWidth="1"/>
    <col min="13320" max="13320" width="12.28515625" customWidth="1"/>
    <col min="13321" max="13321" width="17.140625" customWidth="1"/>
    <col min="13322" max="13322" width="21.28515625" customWidth="1"/>
    <col min="13323" max="13323" width="5.85546875" customWidth="1"/>
    <col min="13573" max="13573" width="6.85546875" bestFit="1" customWidth="1"/>
    <col min="13574" max="13574" width="61.7109375" customWidth="1"/>
    <col min="13575" max="13575" width="6.42578125" bestFit="1" customWidth="1"/>
    <col min="13576" max="13576" width="12.28515625" customWidth="1"/>
    <col min="13577" max="13577" width="17.140625" customWidth="1"/>
    <col min="13578" max="13578" width="21.28515625" customWidth="1"/>
    <col min="13579" max="13579" width="5.85546875" customWidth="1"/>
    <col min="13829" max="13829" width="6.85546875" bestFit="1" customWidth="1"/>
    <col min="13830" max="13830" width="61.7109375" customWidth="1"/>
    <col min="13831" max="13831" width="6.42578125" bestFit="1" customWidth="1"/>
    <col min="13832" max="13832" width="12.28515625" customWidth="1"/>
    <col min="13833" max="13833" width="17.140625" customWidth="1"/>
    <col min="13834" max="13834" width="21.28515625" customWidth="1"/>
    <col min="13835" max="13835" width="5.85546875" customWidth="1"/>
    <col min="14085" max="14085" width="6.85546875" bestFit="1" customWidth="1"/>
    <col min="14086" max="14086" width="61.7109375" customWidth="1"/>
    <col min="14087" max="14087" width="6.42578125" bestFit="1" customWidth="1"/>
    <col min="14088" max="14088" width="12.28515625" customWidth="1"/>
    <col min="14089" max="14089" width="17.140625" customWidth="1"/>
    <col min="14090" max="14090" width="21.28515625" customWidth="1"/>
    <col min="14091" max="14091" width="5.85546875" customWidth="1"/>
    <col min="14341" max="14341" width="6.85546875" bestFit="1" customWidth="1"/>
    <col min="14342" max="14342" width="61.7109375" customWidth="1"/>
    <col min="14343" max="14343" width="6.42578125" bestFit="1" customWidth="1"/>
    <col min="14344" max="14344" width="12.28515625" customWidth="1"/>
    <col min="14345" max="14345" width="17.140625" customWidth="1"/>
    <col min="14346" max="14346" width="21.28515625" customWidth="1"/>
    <col min="14347" max="14347" width="5.85546875" customWidth="1"/>
    <col min="14597" max="14597" width="6.85546875" bestFit="1" customWidth="1"/>
    <col min="14598" max="14598" width="61.7109375" customWidth="1"/>
    <col min="14599" max="14599" width="6.42578125" bestFit="1" customWidth="1"/>
    <col min="14600" max="14600" width="12.28515625" customWidth="1"/>
    <col min="14601" max="14601" width="17.140625" customWidth="1"/>
    <col min="14602" max="14602" width="21.28515625" customWidth="1"/>
    <col min="14603" max="14603" width="5.85546875" customWidth="1"/>
    <col min="14853" max="14853" width="6.85546875" bestFit="1" customWidth="1"/>
    <col min="14854" max="14854" width="61.7109375" customWidth="1"/>
    <col min="14855" max="14855" width="6.42578125" bestFit="1" customWidth="1"/>
    <col min="14856" max="14856" width="12.28515625" customWidth="1"/>
    <col min="14857" max="14857" width="17.140625" customWidth="1"/>
    <col min="14858" max="14858" width="21.28515625" customWidth="1"/>
    <col min="14859" max="14859" width="5.85546875" customWidth="1"/>
    <col min="15109" max="15109" width="6.85546875" bestFit="1" customWidth="1"/>
    <col min="15110" max="15110" width="61.7109375" customWidth="1"/>
    <col min="15111" max="15111" width="6.42578125" bestFit="1" customWidth="1"/>
    <col min="15112" max="15112" width="12.28515625" customWidth="1"/>
    <col min="15113" max="15113" width="17.140625" customWidth="1"/>
    <col min="15114" max="15114" width="21.28515625" customWidth="1"/>
    <col min="15115" max="15115" width="5.85546875" customWidth="1"/>
    <col min="15365" max="15365" width="6.85546875" bestFit="1" customWidth="1"/>
    <col min="15366" max="15366" width="61.7109375" customWidth="1"/>
    <col min="15367" max="15367" width="6.42578125" bestFit="1" customWidth="1"/>
    <col min="15368" max="15368" width="12.28515625" customWidth="1"/>
    <col min="15369" max="15369" width="17.140625" customWidth="1"/>
    <col min="15370" max="15370" width="21.28515625" customWidth="1"/>
    <col min="15371" max="15371" width="5.85546875" customWidth="1"/>
    <col min="15621" max="15621" width="6.85546875" bestFit="1" customWidth="1"/>
    <col min="15622" max="15622" width="61.7109375" customWidth="1"/>
    <col min="15623" max="15623" width="6.42578125" bestFit="1" customWidth="1"/>
    <col min="15624" max="15624" width="12.28515625" customWidth="1"/>
    <col min="15625" max="15625" width="17.140625" customWidth="1"/>
    <col min="15626" max="15626" width="21.28515625" customWidth="1"/>
    <col min="15627" max="15627" width="5.85546875" customWidth="1"/>
    <col min="15877" max="15877" width="6.85546875" bestFit="1" customWidth="1"/>
    <col min="15878" max="15878" width="61.7109375" customWidth="1"/>
    <col min="15879" max="15879" width="6.42578125" bestFit="1" customWidth="1"/>
    <col min="15880" max="15880" width="12.28515625" customWidth="1"/>
    <col min="15881" max="15881" width="17.140625" customWidth="1"/>
    <col min="15882" max="15882" width="21.28515625" customWidth="1"/>
    <col min="15883" max="15883" width="5.85546875" customWidth="1"/>
    <col min="16133" max="16133" width="6.85546875" bestFit="1" customWidth="1"/>
    <col min="16134" max="16134" width="61.7109375" customWidth="1"/>
    <col min="16135" max="16135" width="6.42578125" bestFit="1" customWidth="1"/>
    <col min="16136" max="16136" width="12.28515625" customWidth="1"/>
    <col min="16137" max="16137" width="17.140625" customWidth="1"/>
    <col min="16138" max="16138" width="21.28515625" customWidth="1"/>
    <col min="16139" max="16139" width="5.85546875" customWidth="1"/>
  </cols>
  <sheetData>
    <row r="1" spans="2:11" ht="15.75" thickBot="1" x14ac:dyDescent="0.3"/>
    <row r="2" spans="2:11" ht="17.25" thickBot="1" x14ac:dyDescent="0.3">
      <c r="B2" s="422" t="s">
        <v>117</v>
      </c>
      <c r="C2" s="423"/>
      <c r="D2" s="423"/>
      <c r="E2" s="423"/>
      <c r="F2" s="423"/>
      <c r="G2" s="423"/>
      <c r="H2" s="423"/>
      <c r="I2" s="423"/>
      <c r="J2" s="424"/>
    </row>
    <row r="3" spans="2:11" ht="12.75" customHeight="1" thickBot="1" x14ac:dyDescent="0.3">
      <c r="B3" s="66"/>
      <c r="C3" s="67"/>
      <c r="D3" s="67"/>
      <c r="E3" s="67"/>
      <c r="F3" s="67"/>
      <c r="G3" s="67"/>
      <c r="H3" s="67"/>
      <c r="I3" s="67"/>
      <c r="J3" s="68"/>
    </row>
    <row r="4" spans="2:11" ht="17.25" thickBot="1" x14ac:dyDescent="0.3">
      <c r="B4" s="422" t="s">
        <v>10</v>
      </c>
      <c r="C4" s="423"/>
      <c r="D4" s="423"/>
      <c r="E4" s="423"/>
      <c r="F4" s="423"/>
      <c r="G4" s="423"/>
      <c r="H4" s="423"/>
      <c r="I4" s="423"/>
      <c r="J4" s="424"/>
    </row>
    <row r="5" spans="2:11" ht="15.75" thickBot="1" x14ac:dyDescent="0.3">
      <c r="B5" s="425" t="s">
        <v>52</v>
      </c>
      <c r="C5" s="426"/>
      <c r="D5" s="426"/>
      <c r="E5" s="427"/>
      <c r="F5" s="428" t="s">
        <v>118</v>
      </c>
      <c r="G5" s="429"/>
      <c r="H5" s="429"/>
      <c r="I5" s="429"/>
      <c r="J5" s="430"/>
    </row>
    <row r="6" spans="2:11" ht="30.75" customHeight="1" thickBot="1" x14ac:dyDescent="0.3">
      <c r="B6" s="431" t="s">
        <v>53</v>
      </c>
      <c r="C6" s="432"/>
      <c r="D6" s="432"/>
      <c r="E6" s="433"/>
      <c r="F6" s="434" t="s">
        <v>142</v>
      </c>
      <c r="G6" s="435"/>
      <c r="H6" s="435"/>
      <c r="I6" s="435"/>
      <c r="J6" s="436"/>
      <c r="K6" s="104" t="s">
        <v>170</v>
      </c>
    </row>
    <row r="7" spans="2:11" ht="17.25" customHeight="1" thickBot="1" x14ac:dyDescent="0.3">
      <c r="B7" s="425" t="s">
        <v>37</v>
      </c>
      <c r="C7" s="426"/>
      <c r="D7" s="426"/>
      <c r="E7" s="427"/>
      <c r="F7" s="425" t="s">
        <v>21</v>
      </c>
      <c r="G7" s="426"/>
      <c r="H7" s="426"/>
      <c r="I7" s="426"/>
      <c r="J7" s="427"/>
    </row>
    <row r="8" spans="2:11" ht="15.75" customHeight="1" thickBot="1" x14ac:dyDescent="0.3">
      <c r="B8" s="425" t="s">
        <v>22</v>
      </c>
      <c r="C8" s="426"/>
      <c r="D8" s="426"/>
      <c r="E8" s="427"/>
      <c r="F8" s="425" t="s">
        <v>20</v>
      </c>
      <c r="G8" s="426"/>
      <c r="H8" s="426"/>
      <c r="I8" s="426"/>
      <c r="J8" s="427"/>
    </row>
    <row r="9" spans="2:11" ht="15.75" customHeight="1" thickBot="1" x14ac:dyDescent="0.3">
      <c r="B9" s="425" t="s">
        <v>38</v>
      </c>
      <c r="C9" s="426"/>
      <c r="D9" s="426"/>
      <c r="E9" s="427"/>
      <c r="F9" s="425" t="s">
        <v>19</v>
      </c>
      <c r="G9" s="426"/>
      <c r="H9" s="426"/>
      <c r="I9" s="426"/>
      <c r="J9" s="427"/>
    </row>
    <row r="10" spans="2:11" ht="13.5" customHeight="1" thickBot="1" x14ac:dyDescent="0.3">
      <c r="B10" s="5"/>
      <c r="C10" s="69"/>
      <c r="D10" s="69"/>
      <c r="E10" s="69"/>
      <c r="F10" s="69"/>
      <c r="G10" s="69"/>
      <c r="H10" s="69"/>
      <c r="I10" s="69"/>
      <c r="J10" s="3"/>
    </row>
    <row r="11" spans="2:11" ht="13.5" customHeight="1" thickBot="1" x14ac:dyDescent="0.3">
      <c r="B11" s="437" t="s">
        <v>13</v>
      </c>
      <c r="C11" s="437" t="s">
        <v>14</v>
      </c>
      <c r="D11" s="439" t="s">
        <v>15</v>
      </c>
      <c r="E11" s="440"/>
      <c r="F11" s="441" t="s">
        <v>1</v>
      </c>
      <c r="G11" s="443" t="s">
        <v>11</v>
      </c>
      <c r="H11" s="443" t="s">
        <v>12</v>
      </c>
      <c r="I11" s="443" t="s">
        <v>39</v>
      </c>
      <c r="J11" s="443" t="s">
        <v>40</v>
      </c>
    </row>
    <row r="12" spans="2:11" ht="13.5" customHeight="1" thickBot="1" x14ac:dyDescent="0.3">
      <c r="B12" s="438"/>
      <c r="C12" s="438"/>
      <c r="D12" s="23" t="s">
        <v>16</v>
      </c>
      <c r="E12" s="23" t="s">
        <v>17</v>
      </c>
      <c r="F12" s="442"/>
      <c r="G12" s="444"/>
      <c r="H12" s="444"/>
      <c r="I12" s="444"/>
      <c r="J12" s="444"/>
    </row>
    <row r="13" spans="2:11" ht="17.25" thickBot="1" x14ac:dyDescent="0.3">
      <c r="B13" s="21" t="s">
        <v>153</v>
      </c>
      <c r="C13" s="451"/>
      <c r="D13" s="452"/>
      <c r="E13" s="453"/>
      <c r="F13" s="454" t="s">
        <v>2</v>
      </c>
      <c r="G13" s="455"/>
      <c r="H13" s="455"/>
      <c r="I13" s="456"/>
      <c r="J13" s="4" t="e">
        <f>SUM(J14:J16)</f>
        <v>#REF!</v>
      </c>
    </row>
    <row r="14" spans="2:11" s="103" customFormat="1" ht="16.5" x14ac:dyDescent="0.25">
      <c r="B14" s="115" t="s">
        <v>150</v>
      </c>
      <c r="C14" s="116" t="s">
        <v>55</v>
      </c>
      <c r="D14" s="116" t="s">
        <v>59</v>
      </c>
      <c r="E14" s="116" t="s">
        <v>55</v>
      </c>
      <c r="F14" s="117" t="s">
        <v>18</v>
      </c>
      <c r="G14" s="118" t="s">
        <v>3</v>
      </c>
      <c r="H14" s="119">
        <f>ROUND(H15*1.5,0)</f>
        <v>74</v>
      </c>
      <c r="I14" s="120" t="e">
        <f>#REF!</f>
        <v>#REF!</v>
      </c>
      <c r="J14" s="121" t="e">
        <f>H14*I14</f>
        <v>#REF!</v>
      </c>
      <c r="K14" s="122"/>
    </row>
    <row r="15" spans="2:11" s="103" customFormat="1" ht="16.5" x14ac:dyDescent="0.25">
      <c r="B15" s="123" t="s">
        <v>151</v>
      </c>
      <c r="C15" s="116" t="s">
        <v>57</v>
      </c>
      <c r="D15" s="116" t="s">
        <v>59</v>
      </c>
      <c r="E15" s="116" t="s">
        <v>57</v>
      </c>
      <c r="F15" s="124" t="s">
        <v>25</v>
      </c>
      <c r="G15" s="125" t="s">
        <v>6</v>
      </c>
      <c r="H15" s="126">
        <v>49</v>
      </c>
      <c r="I15" s="127" t="e">
        <f>#REF!</f>
        <v>#REF!</v>
      </c>
      <c r="J15" s="128" t="e">
        <f>H15*I15</f>
        <v>#REF!</v>
      </c>
      <c r="K15" s="122"/>
    </row>
    <row r="16" spans="2:11" s="103" customFormat="1" ht="15.75" customHeight="1" thickBot="1" x14ac:dyDescent="0.3">
      <c r="B16" s="129" t="s">
        <v>152</v>
      </c>
      <c r="C16" s="116" t="s">
        <v>58</v>
      </c>
      <c r="D16" s="116">
        <v>200</v>
      </c>
      <c r="E16" s="116" t="s">
        <v>59</v>
      </c>
      <c r="F16" s="130" t="s">
        <v>56</v>
      </c>
      <c r="G16" s="131" t="s">
        <v>3</v>
      </c>
      <c r="H16" s="132">
        <f>ROUND(H14,0)</f>
        <v>74</v>
      </c>
      <c r="I16" s="133">
        <f>'200.1'!I38</f>
        <v>0</v>
      </c>
      <c r="J16" s="134">
        <f t="shared" ref="J16" si="0">H16*I16</f>
        <v>0</v>
      </c>
    </row>
    <row r="17" spans="2:12" s="103" customFormat="1" ht="16.5" customHeight="1" thickBot="1" x14ac:dyDescent="0.3">
      <c r="B17" s="135" t="s">
        <v>154</v>
      </c>
      <c r="C17" s="445"/>
      <c r="D17" s="446"/>
      <c r="E17" s="447"/>
      <c r="F17" s="448" t="s">
        <v>31</v>
      </c>
      <c r="G17" s="449"/>
      <c r="H17" s="449"/>
      <c r="I17" s="450"/>
      <c r="J17" s="136">
        <f>J18</f>
        <v>0</v>
      </c>
    </row>
    <row r="18" spans="2:12" s="103" customFormat="1" ht="15.75" customHeight="1" thickBot="1" x14ac:dyDescent="0.3">
      <c r="B18" s="154" t="s">
        <v>155</v>
      </c>
      <c r="C18" s="116" t="s">
        <v>60</v>
      </c>
      <c r="D18" s="116">
        <v>200</v>
      </c>
      <c r="E18" s="116" t="s">
        <v>59</v>
      </c>
      <c r="F18" s="155" t="s">
        <v>29</v>
      </c>
      <c r="G18" s="156" t="s">
        <v>7</v>
      </c>
      <c r="H18" s="157">
        <f>ROUND((((49/1.5)*2)*(0.4*0.4*1)),0)</f>
        <v>10</v>
      </c>
      <c r="I18" s="158">
        <f>'200.2'!I38</f>
        <v>0</v>
      </c>
      <c r="J18" s="159">
        <f>H18*I18</f>
        <v>0</v>
      </c>
    </row>
    <row r="19" spans="2:12" s="103" customFormat="1" ht="16.5" customHeight="1" thickBot="1" x14ac:dyDescent="0.3">
      <c r="B19" s="135" t="s">
        <v>109</v>
      </c>
      <c r="C19" s="445"/>
      <c r="D19" s="446"/>
      <c r="E19" s="447"/>
      <c r="F19" s="448" t="s">
        <v>32</v>
      </c>
      <c r="G19" s="449"/>
      <c r="H19" s="449"/>
      <c r="I19" s="450"/>
      <c r="J19" s="136" t="e">
        <f>J20</f>
        <v>#REF!</v>
      </c>
    </row>
    <row r="20" spans="2:12" s="103" customFormat="1" ht="18" customHeight="1" thickBot="1" x14ac:dyDescent="0.3">
      <c r="B20" s="142" t="s">
        <v>156</v>
      </c>
      <c r="C20" s="116" t="s">
        <v>61</v>
      </c>
      <c r="D20" s="116">
        <v>200</v>
      </c>
      <c r="E20" s="116" t="s">
        <v>59</v>
      </c>
      <c r="F20" s="160" t="s">
        <v>35</v>
      </c>
      <c r="G20" s="161" t="s">
        <v>7</v>
      </c>
      <c r="H20" s="145">
        <f>H18</f>
        <v>10</v>
      </c>
      <c r="I20" s="146" t="e">
        <f>#REF!</f>
        <v>#REF!</v>
      </c>
      <c r="J20" s="162" t="e">
        <f>H20*I20</f>
        <v>#REF!</v>
      </c>
    </row>
    <row r="21" spans="2:12" s="103" customFormat="1" ht="15" customHeight="1" thickBot="1" x14ac:dyDescent="0.3">
      <c r="B21" s="135" t="s">
        <v>157</v>
      </c>
      <c r="C21" s="445"/>
      <c r="D21" s="446"/>
      <c r="E21" s="447"/>
      <c r="F21" s="448" t="s">
        <v>4</v>
      </c>
      <c r="G21" s="449"/>
      <c r="H21" s="449"/>
      <c r="I21" s="450"/>
      <c r="J21" s="136">
        <f>SUM(J22:J23)</f>
        <v>0</v>
      </c>
    </row>
    <row r="22" spans="2:12" s="103" customFormat="1" ht="32.450000000000003" customHeight="1" x14ac:dyDescent="0.25">
      <c r="B22" s="115" t="s">
        <v>158</v>
      </c>
      <c r="C22" s="116" t="s">
        <v>62</v>
      </c>
      <c r="D22" s="137">
        <v>700</v>
      </c>
      <c r="E22" s="116" t="s">
        <v>59</v>
      </c>
      <c r="F22" s="138" t="s">
        <v>41</v>
      </c>
      <c r="G22" s="118" t="s">
        <v>5</v>
      </c>
      <c r="H22" s="119">
        <v>30</v>
      </c>
      <c r="I22" s="120">
        <f>'700.2'!I38</f>
        <v>0</v>
      </c>
      <c r="J22" s="121">
        <f>H22*I22</f>
        <v>0</v>
      </c>
    </row>
    <row r="23" spans="2:12" ht="37.5" customHeight="1" thickBot="1" x14ac:dyDescent="0.3">
      <c r="B23" s="129" t="s">
        <v>159</v>
      </c>
      <c r="C23" s="116" t="s">
        <v>63</v>
      </c>
      <c r="D23" s="139">
        <v>400</v>
      </c>
      <c r="E23" s="116" t="s">
        <v>59</v>
      </c>
      <c r="F23" s="140" t="s">
        <v>42</v>
      </c>
      <c r="G23" s="131" t="s">
        <v>6</v>
      </c>
      <c r="H23" s="133">
        <f>H15*3</f>
        <v>147</v>
      </c>
      <c r="I23" s="133">
        <f>'400.1'!I38</f>
        <v>0</v>
      </c>
      <c r="J23" s="134">
        <f>H23*I23</f>
        <v>0</v>
      </c>
    </row>
    <row r="24" spans="2:12" ht="18" customHeight="1" thickBot="1" x14ac:dyDescent="0.3">
      <c r="B24" s="141" t="s">
        <v>160</v>
      </c>
      <c r="C24" s="445"/>
      <c r="D24" s="446"/>
      <c r="E24" s="447"/>
      <c r="F24" s="448" t="s">
        <v>8</v>
      </c>
      <c r="G24" s="449"/>
      <c r="H24" s="449"/>
      <c r="I24" s="450"/>
      <c r="J24" s="136">
        <f>J25</f>
        <v>0</v>
      </c>
    </row>
    <row r="25" spans="2:12" ht="71.25" customHeight="1" thickBot="1" x14ac:dyDescent="0.3">
      <c r="B25" s="108" t="s">
        <v>161</v>
      </c>
      <c r="C25" s="75" t="s">
        <v>64</v>
      </c>
      <c r="D25" s="75">
        <v>500</v>
      </c>
      <c r="E25" s="75" t="s">
        <v>59</v>
      </c>
      <c r="F25" s="111" t="s">
        <v>179</v>
      </c>
      <c r="G25" s="189" t="s">
        <v>6</v>
      </c>
      <c r="H25" s="97">
        <f>H15</f>
        <v>49</v>
      </c>
      <c r="I25" s="190">
        <f>'500.6'!I38</f>
        <v>0</v>
      </c>
      <c r="J25" s="78">
        <f>H25*I25</f>
        <v>0</v>
      </c>
      <c r="K25" s="106"/>
      <c r="L25" s="106"/>
    </row>
    <row r="26" spans="2:12" ht="13.5" customHeight="1" thickBot="1" x14ac:dyDescent="0.3">
      <c r="B26" s="204" t="s">
        <v>162</v>
      </c>
      <c r="C26" s="469"/>
      <c r="D26" s="470"/>
      <c r="E26" s="471"/>
      <c r="F26" s="472" t="s">
        <v>9</v>
      </c>
      <c r="G26" s="473"/>
      <c r="H26" s="473"/>
      <c r="I26" s="474"/>
      <c r="J26" s="203" t="e">
        <f>J27</f>
        <v>#REF!</v>
      </c>
      <c r="K26" s="106"/>
      <c r="L26" s="106"/>
    </row>
    <row r="27" spans="2:12" ht="49.5" customHeight="1" thickBot="1" x14ac:dyDescent="0.3">
      <c r="B27" s="109" t="s">
        <v>163</v>
      </c>
      <c r="C27" s="91" t="s">
        <v>65</v>
      </c>
      <c r="D27" s="91">
        <v>500</v>
      </c>
      <c r="E27" s="91" t="s">
        <v>59</v>
      </c>
      <c r="F27" s="92" t="s">
        <v>178</v>
      </c>
      <c r="G27" s="93" t="s">
        <v>6</v>
      </c>
      <c r="H27" s="112">
        <f>H15</f>
        <v>49</v>
      </c>
      <c r="I27" s="94" t="e">
        <f>#REF!</f>
        <v>#REF!</v>
      </c>
      <c r="J27" s="110" t="e">
        <f>H27*I27</f>
        <v>#REF!</v>
      </c>
      <c r="K27" s="106"/>
      <c r="L27" s="106"/>
    </row>
    <row r="28" spans="2:12" ht="16.5" customHeight="1" thickBot="1" x14ac:dyDescent="0.3">
      <c r="B28" s="475"/>
      <c r="C28" s="476"/>
      <c r="D28" s="476"/>
      <c r="E28" s="476"/>
      <c r="F28" s="477"/>
      <c r="G28" s="484" t="s">
        <v>43</v>
      </c>
      <c r="H28" s="485"/>
      <c r="I28" s="486"/>
      <c r="J28" s="114" t="e">
        <f>J13+J17+J19+J21+J24+J26</f>
        <v>#REF!</v>
      </c>
    </row>
    <row r="29" spans="2:12" ht="16.5" customHeight="1" thickBot="1" x14ac:dyDescent="0.3">
      <c r="B29" s="478"/>
      <c r="C29" s="479"/>
      <c r="D29" s="479"/>
      <c r="E29" s="479"/>
      <c r="F29" s="480"/>
      <c r="G29" s="484" t="s">
        <v>44</v>
      </c>
      <c r="H29" s="485"/>
      <c r="I29" s="53">
        <v>0.25</v>
      </c>
      <c r="J29" s="6" t="e">
        <f>J28*I29</f>
        <v>#REF!</v>
      </c>
    </row>
    <row r="30" spans="2:12" ht="16.5" customHeight="1" thickBot="1" x14ac:dyDescent="0.3">
      <c r="B30" s="478"/>
      <c r="C30" s="479"/>
      <c r="D30" s="479"/>
      <c r="E30" s="479"/>
      <c r="F30" s="480"/>
      <c r="G30" s="484" t="s">
        <v>45</v>
      </c>
      <c r="H30" s="485"/>
      <c r="I30" s="53">
        <v>0.05</v>
      </c>
      <c r="J30" s="6" t="e">
        <f>J28*I30</f>
        <v>#REF!</v>
      </c>
      <c r="K30" s="1"/>
      <c r="L30" s="1"/>
    </row>
    <row r="31" spans="2:12" ht="12.75" customHeight="1" thickBot="1" x14ac:dyDescent="0.3">
      <c r="B31" s="481"/>
      <c r="C31" s="482"/>
      <c r="D31" s="482"/>
      <c r="E31" s="482"/>
      <c r="F31" s="483"/>
      <c r="G31" s="484" t="s">
        <v>54</v>
      </c>
      <c r="H31" s="485"/>
      <c r="I31" s="486"/>
      <c r="J31" s="2" t="e">
        <f>J28+J29+J30</f>
        <v>#REF!</v>
      </c>
      <c r="K31" s="1"/>
    </row>
    <row r="32" spans="2:12" ht="16.5" thickBot="1" x14ac:dyDescent="0.3">
      <c r="B32" s="219"/>
      <c r="C32" s="219"/>
      <c r="D32" s="219"/>
      <c r="E32" s="219"/>
      <c r="F32" s="219"/>
      <c r="G32" s="219"/>
      <c r="H32" s="219"/>
      <c r="I32" s="219"/>
      <c r="J32" s="220"/>
      <c r="K32" s="221"/>
    </row>
    <row r="33" spans="2:16" s="103" customFormat="1" ht="15.75" thickBot="1" x14ac:dyDescent="0.3">
      <c r="B33" s="457" t="s">
        <v>52</v>
      </c>
      <c r="C33" s="458"/>
      <c r="D33" s="458"/>
      <c r="E33" s="459"/>
      <c r="F33" s="460" t="s">
        <v>118</v>
      </c>
      <c r="G33" s="461"/>
      <c r="H33" s="461"/>
      <c r="I33" s="461"/>
      <c r="J33" s="462"/>
      <c r="K33" s="221"/>
    </row>
    <row r="34" spans="2:16" s="103" customFormat="1" ht="26.25" customHeight="1" thickBot="1" x14ac:dyDescent="0.3">
      <c r="B34" s="463" t="s">
        <v>100</v>
      </c>
      <c r="C34" s="464"/>
      <c r="D34" s="464"/>
      <c r="E34" s="465"/>
      <c r="F34" s="466" t="s">
        <v>101</v>
      </c>
      <c r="G34" s="467"/>
      <c r="H34" s="467"/>
      <c r="I34" s="467"/>
      <c r="J34" s="468"/>
      <c r="K34" s="222" t="s">
        <v>176</v>
      </c>
      <c r="M34" s="163"/>
    </row>
    <row r="35" spans="2:16" s="103" customFormat="1" ht="15.75" thickBot="1" x14ac:dyDescent="0.3">
      <c r="B35" s="457" t="s">
        <v>37</v>
      </c>
      <c r="C35" s="458"/>
      <c r="D35" s="458"/>
      <c r="E35" s="459"/>
      <c r="F35" s="463" t="s">
        <v>102</v>
      </c>
      <c r="G35" s="464"/>
      <c r="H35" s="464"/>
      <c r="I35" s="464"/>
      <c r="J35" s="465"/>
      <c r="K35" s="221"/>
    </row>
    <row r="36" spans="2:16" s="103" customFormat="1" ht="15.75" thickBot="1" x14ac:dyDescent="0.3">
      <c r="B36" s="457" t="s">
        <v>22</v>
      </c>
      <c r="C36" s="458"/>
      <c r="D36" s="458"/>
      <c r="E36" s="459"/>
      <c r="F36" s="457" t="s">
        <v>20</v>
      </c>
      <c r="G36" s="458"/>
      <c r="H36" s="458"/>
      <c r="I36" s="458"/>
      <c r="J36" s="459"/>
      <c r="K36" s="221"/>
    </row>
    <row r="37" spans="2:16" s="103" customFormat="1" ht="15.75" thickBot="1" x14ac:dyDescent="0.3">
      <c r="B37" s="457" t="s">
        <v>38</v>
      </c>
      <c r="C37" s="458"/>
      <c r="D37" s="458"/>
      <c r="E37" s="459"/>
      <c r="F37" s="457" t="s">
        <v>104</v>
      </c>
      <c r="G37" s="458"/>
      <c r="H37" s="458"/>
      <c r="I37" s="458"/>
      <c r="J37" s="459"/>
      <c r="K37" s="106"/>
    </row>
    <row r="38" spans="2:16" s="103" customFormat="1" ht="15.75" thickBot="1" x14ac:dyDescent="0.3">
      <c r="B38" s="98"/>
      <c r="C38" s="99"/>
      <c r="D38" s="99"/>
      <c r="E38" s="99"/>
      <c r="F38" s="99"/>
      <c r="G38" s="99"/>
      <c r="H38" s="99"/>
      <c r="I38" s="99"/>
      <c r="J38" s="100"/>
      <c r="K38" s="106"/>
    </row>
    <row r="39" spans="2:16" s="103" customFormat="1" ht="15.75" thickBot="1" x14ac:dyDescent="0.3">
      <c r="B39" s="487" t="s">
        <v>13</v>
      </c>
      <c r="C39" s="487" t="s">
        <v>14</v>
      </c>
      <c r="D39" s="489" t="s">
        <v>15</v>
      </c>
      <c r="E39" s="490"/>
      <c r="F39" s="491" t="s">
        <v>1</v>
      </c>
      <c r="G39" s="493" t="s">
        <v>11</v>
      </c>
      <c r="H39" s="493" t="s">
        <v>12</v>
      </c>
      <c r="I39" s="493" t="s">
        <v>39</v>
      </c>
      <c r="J39" s="493" t="s">
        <v>40</v>
      </c>
      <c r="K39" s="106"/>
    </row>
    <row r="40" spans="2:16" s="103" customFormat="1" ht="15.75" thickBot="1" x14ac:dyDescent="0.3">
      <c r="B40" s="488"/>
      <c r="C40" s="488"/>
      <c r="D40" s="101" t="s">
        <v>16</v>
      </c>
      <c r="E40" s="101" t="s">
        <v>17</v>
      </c>
      <c r="F40" s="492"/>
      <c r="G40" s="494"/>
      <c r="H40" s="494"/>
      <c r="I40" s="494"/>
      <c r="J40" s="494"/>
      <c r="K40" s="106"/>
    </row>
    <row r="41" spans="2:16" s="103" customFormat="1" ht="17.25" thickBot="1" x14ac:dyDescent="0.3">
      <c r="B41" s="202" t="s">
        <v>23</v>
      </c>
      <c r="C41" s="469"/>
      <c r="D41" s="470"/>
      <c r="E41" s="471"/>
      <c r="F41" s="472" t="s">
        <v>2</v>
      </c>
      <c r="G41" s="473"/>
      <c r="H41" s="473"/>
      <c r="I41" s="474"/>
      <c r="J41" s="203" t="e">
        <f>SUM(J42:J44)</f>
        <v>#REF!</v>
      </c>
      <c r="K41" s="106"/>
    </row>
    <row r="42" spans="2:16" s="103" customFormat="1" ht="16.5" x14ac:dyDescent="0.25">
      <c r="B42" s="194" t="s">
        <v>24</v>
      </c>
      <c r="C42" s="75" t="s">
        <v>55</v>
      </c>
      <c r="D42" s="75" t="s">
        <v>59</v>
      </c>
      <c r="E42" s="75" t="s">
        <v>55</v>
      </c>
      <c r="F42" s="89" t="s">
        <v>18</v>
      </c>
      <c r="G42" s="196" t="s">
        <v>3</v>
      </c>
      <c r="H42" s="71">
        <f>ROUND(H43*1.5,0)</f>
        <v>48</v>
      </c>
      <c r="I42" s="77" t="e">
        <f>#REF!</f>
        <v>#REF!</v>
      </c>
      <c r="J42" s="78" t="e">
        <f>H42*I42</f>
        <v>#REF!</v>
      </c>
      <c r="K42" s="106"/>
      <c r="P42" s="168"/>
    </row>
    <row r="43" spans="2:16" s="103" customFormat="1" ht="16.5" x14ac:dyDescent="0.25">
      <c r="B43" s="214" t="s">
        <v>26</v>
      </c>
      <c r="C43" s="75" t="s">
        <v>57</v>
      </c>
      <c r="D43" s="75" t="s">
        <v>59</v>
      </c>
      <c r="E43" s="75" t="s">
        <v>57</v>
      </c>
      <c r="F43" s="80" t="s">
        <v>25</v>
      </c>
      <c r="G43" s="81" t="s">
        <v>6</v>
      </c>
      <c r="H43" s="82">
        <v>32</v>
      </c>
      <c r="I43" s="83" t="e">
        <f>#REF!</f>
        <v>#REF!</v>
      </c>
      <c r="J43" s="215" t="e">
        <f>H43*I43</f>
        <v>#REF!</v>
      </c>
      <c r="K43" s="106"/>
      <c r="P43" s="169"/>
    </row>
    <row r="44" spans="2:16" s="103" customFormat="1" ht="17.25" thickBot="1" x14ac:dyDescent="0.3">
      <c r="B44" s="197" t="s">
        <v>27</v>
      </c>
      <c r="C44" s="75" t="s">
        <v>58</v>
      </c>
      <c r="D44" s="75">
        <v>200</v>
      </c>
      <c r="E44" s="75" t="s">
        <v>59</v>
      </c>
      <c r="F44" s="90" t="s">
        <v>56</v>
      </c>
      <c r="G44" s="200" t="s">
        <v>3</v>
      </c>
      <c r="H44" s="96">
        <f>ROUND(H42,0)</f>
        <v>48</v>
      </c>
      <c r="I44" s="70">
        <f>'200.1'!I38</f>
        <v>0</v>
      </c>
      <c r="J44" s="201">
        <f t="shared" ref="J44" si="1">H44*I44</f>
        <v>0</v>
      </c>
      <c r="K44" s="106"/>
    </row>
    <row r="45" spans="2:16" s="103" customFormat="1" ht="17.25" thickBot="1" x14ac:dyDescent="0.3">
      <c r="B45" s="202" t="s">
        <v>28</v>
      </c>
      <c r="C45" s="469"/>
      <c r="D45" s="470"/>
      <c r="E45" s="471"/>
      <c r="F45" s="472" t="s">
        <v>31</v>
      </c>
      <c r="G45" s="473"/>
      <c r="H45" s="473"/>
      <c r="I45" s="474"/>
      <c r="J45" s="203">
        <f>J46</f>
        <v>0</v>
      </c>
      <c r="K45" s="106"/>
    </row>
    <row r="46" spans="2:16" s="103" customFormat="1" ht="17.25" thickBot="1" x14ac:dyDescent="0.3">
      <c r="B46" s="207" t="s">
        <v>30</v>
      </c>
      <c r="C46" s="75" t="s">
        <v>60</v>
      </c>
      <c r="D46" s="75">
        <v>200</v>
      </c>
      <c r="E46" s="75" t="s">
        <v>59</v>
      </c>
      <c r="F46" s="208" t="s">
        <v>29</v>
      </c>
      <c r="G46" s="209" t="s">
        <v>7</v>
      </c>
      <c r="H46" s="95">
        <f>ROUND((((32/1.5)*2)*(0.4*0.4*1)),0)</f>
        <v>7</v>
      </c>
      <c r="I46" s="210">
        <f>'200.2'!I38</f>
        <v>0</v>
      </c>
      <c r="J46" s="211">
        <f>H46*I46</f>
        <v>0</v>
      </c>
      <c r="K46" s="106"/>
    </row>
    <row r="47" spans="2:16" s="103" customFormat="1" ht="17.25" thickBot="1" x14ac:dyDescent="0.3">
      <c r="B47" s="202" t="s">
        <v>33</v>
      </c>
      <c r="C47" s="469"/>
      <c r="D47" s="470"/>
      <c r="E47" s="471"/>
      <c r="F47" s="472" t="s">
        <v>32</v>
      </c>
      <c r="G47" s="473"/>
      <c r="H47" s="473"/>
      <c r="I47" s="474"/>
      <c r="J47" s="203" t="e">
        <f>J48</f>
        <v>#REF!</v>
      </c>
      <c r="K47" s="106"/>
    </row>
    <row r="48" spans="2:16" s="103" customFormat="1" ht="18" customHeight="1" thickBot="1" x14ac:dyDescent="0.3">
      <c r="B48" s="108" t="s">
        <v>34</v>
      </c>
      <c r="C48" s="75" t="s">
        <v>61</v>
      </c>
      <c r="D48" s="75">
        <v>200</v>
      </c>
      <c r="E48" s="75" t="s">
        <v>59</v>
      </c>
      <c r="F48" s="212" t="s">
        <v>35</v>
      </c>
      <c r="G48" s="79" t="s">
        <v>7</v>
      </c>
      <c r="H48" s="97">
        <f>H46</f>
        <v>7</v>
      </c>
      <c r="I48" s="190" t="e">
        <f>#REF!</f>
        <v>#REF!</v>
      </c>
      <c r="J48" s="213" t="e">
        <f>H48*I48</f>
        <v>#REF!</v>
      </c>
      <c r="K48" s="106"/>
    </row>
    <row r="49" spans="2:11" s="103" customFormat="1" ht="17.25" thickBot="1" x14ac:dyDescent="0.3">
      <c r="B49" s="202" t="s">
        <v>36</v>
      </c>
      <c r="C49" s="469"/>
      <c r="D49" s="470"/>
      <c r="E49" s="471"/>
      <c r="F49" s="472" t="s">
        <v>4</v>
      </c>
      <c r="G49" s="473"/>
      <c r="H49" s="473"/>
      <c r="I49" s="474"/>
      <c r="J49" s="203">
        <f>SUM(J50:J51)</f>
        <v>0</v>
      </c>
      <c r="K49" s="106"/>
    </row>
    <row r="50" spans="2:11" s="103" customFormat="1" ht="33" x14ac:dyDescent="0.25">
      <c r="B50" s="194" t="s">
        <v>46</v>
      </c>
      <c r="C50" s="75" t="s">
        <v>62</v>
      </c>
      <c r="D50" s="195">
        <v>700</v>
      </c>
      <c r="E50" s="75" t="s">
        <v>59</v>
      </c>
      <c r="F50" s="76" t="s">
        <v>41</v>
      </c>
      <c r="G50" s="196" t="s">
        <v>5</v>
      </c>
      <c r="H50" s="71">
        <v>20</v>
      </c>
      <c r="I50" s="77">
        <f>'700.2'!I38</f>
        <v>0</v>
      </c>
      <c r="J50" s="78">
        <f>H50*I50</f>
        <v>0</v>
      </c>
      <c r="K50" s="106"/>
    </row>
    <row r="51" spans="2:11" s="103" customFormat="1" ht="34.5" customHeight="1" thickBot="1" x14ac:dyDescent="0.3">
      <c r="B51" s="197" t="s">
        <v>47</v>
      </c>
      <c r="C51" s="75" t="s">
        <v>63</v>
      </c>
      <c r="D51" s="198">
        <v>400</v>
      </c>
      <c r="E51" s="75" t="s">
        <v>59</v>
      </c>
      <c r="F51" s="199" t="s">
        <v>42</v>
      </c>
      <c r="G51" s="200" t="s">
        <v>6</v>
      </c>
      <c r="H51" s="70">
        <f>H43*3</f>
        <v>96</v>
      </c>
      <c r="I51" s="70">
        <f>'400.1'!I38</f>
        <v>0</v>
      </c>
      <c r="J51" s="201">
        <f>H51*I51</f>
        <v>0</v>
      </c>
      <c r="K51" s="106"/>
    </row>
    <row r="52" spans="2:11" s="103" customFormat="1" ht="17.25" thickBot="1" x14ac:dyDescent="0.3">
      <c r="B52" s="204" t="s">
        <v>50</v>
      </c>
      <c r="C52" s="469"/>
      <c r="D52" s="470"/>
      <c r="E52" s="471"/>
      <c r="F52" s="472" t="s">
        <v>8</v>
      </c>
      <c r="G52" s="473"/>
      <c r="H52" s="473"/>
      <c r="I52" s="474"/>
      <c r="J52" s="203">
        <f>J53</f>
        <v>0</v>
      </c>
      <c r="K52" s="106"/>
    </row>
    <row r="53" spans="2:11" s="103" customFormat="1" ht="69" customHeight="1" thickBot="1" x14ac:dyDescent="0.3">
      <c r="B53" s="108" t="s">
        <v>48</v>
      </c>
      <c r="C53" s="75" t="s">
        <v>64</v>
      </c>
      <c r="D53" s="75">
        <v>500</v>
      </c>
      <c r="E53" s="75" t="s">
        <v>59</v>
      </c>
      <c r="F53" s="111" t="s">
        <v>164</v>
      </c>
      <c r="G53" s="189" t="s">
        <v>6</v>
      </c>
      <c r="H53" s="97">
        <f>H43</f>
        <v>32</v>
      </c>
      <c r="I53" s="190">
        <f>'500.6'!I38</f>
        <v>0</v>
      </c>
      <c r="J53" s="78">
        <f>H53*I53</f>
        <v>0</v>
      </c>
      <c r="K53" s="106"/>
    </row>
    <row r="54" spans="2:11" s="103" customFormat="1" ht="17.25" thickBot="1" x14ac:dyDescent="0.3">
      <c r="B54" s="204" t="s">
        <v>51</v>
      </c>
      <c r="C54" s="469"/>
      <c r="D54" s="470"/>
      <c r="E54" s="471"/>
      <c r="F54" s="472" t="s">
        <v>9</v>
      </c>
      <c r="G54" s="473"/>
      <c r="H54" s="473"/>
      <c r="I54" s="474"/>
      <c r="J54" s="203" t="e">
        <f>J55</f>
        <v>#REF!</v>
      </c>
      <c r="K54" s="106"/>
    </row>
    <row r="55" spans="2:11" s="103" customFormat="1" ht="50.25" thickBot="1" x14ac:dyDescent="0.3">
      <c r="B55" s="109" t="s">
        <v>49</v>
      </c>
      <c r="C55" s="91" t="s">
        <v>65</v>
      </c>
      <c r="D55" s="91">
        <v>500</v>
      </c>
      <c r="E55" s="91" t="s">
        <v>59</v>
      </c>
      <c r="F55" s="92" t="s">
        <v>178</v>
      </c>
      <c r="G55" s="93" t="s">
        <v>6</v>
      </c>
      <c r="H55" s="112">
        <f>H43</f>
        <v>32</v>
      </c>
      <c r="I55" s="94" t="e">
        <f>#REF!</f>
        <v>#REF!</v>
      </c>
      <c r="J55" s="110" t="e">
        <f>H55*I55</f>
        <v>#REF!</v>
      </c>
      <c r="K55" s="106"/>
    </row>
    <row r="56" spans="2:11" s="103" customFormat="1" ht="17.25" thickBot="1" x14ac:dyDescent="0.3">
      <c r="B56" s="507"/>
      <c r="C56" s="508"/>
      <c r="D56" s="508"/>
      <c r="E56" s="508"/>
      <c r="F56" s="509"/>
      <c r="G56" s="516" t="s">
        <v>43</v>
      </c>
      <c r="H56" s="517"/>
      <c r="I56" s="518"/>
      <c r="J56" s="203" t="e">
        <f>J41+J45+J47+J49+J52+J54</f>
        <v>#REF!</v>
      </c>
      <c r="K56" s="106"/>
    </row>
    <row r="57" spans="2:11" s="103" customFormat="1" ht="17.25" thickBot="1" x14ac:dyDescent="0.3">
      <c r="B57" s="510"/>
      <c r="C57" s="511"/>
      <c r="D57" s="511"/>
      <c r="E57" s="511"/>
      <c r="F57" s="512"/>
      <c r="G57" s="516" t="s">
        <v>44</v>
      </c>
      <c r="H57" s="517"/>
      <c r="I57" s="216">
        <v>0.25</v>
      </c>
      <c r="J57" s="217" t="e">
        <f>J56*I57</f>
        <v>#REF!</v>
      </c>
      <c r="K57" s="106"/>
    </row>
    <row r="58" spans="2:11" s="103" customFormat="1" ht="17.25" thickBot="1" x14ac:dyDescent="0.3">
      <c r="B58" s="510"/>
      <c r="C58" s="511"/>
      <c r="D58" s="511"/>
      <c r="E58" s="511"/>
      <c r="F58" s="512"/>
      <c r="G58" s="516" t="s">
        <v>45</v>
      </c>
      <c r="H58" s="517"/>
      <c r="I58" s="216">
        <v>0.05</v>
      </c>
      <c r="J58" s="217" t="e">
        <f>J56*I58</f>
        <v>#REF!</v>
      </c>
      <c r="K58" s="106"/>
    </row>
    <row r="59" spans="2:11" s="103" customFormat="1" ht="17.25" thickBot="1" x14ac:dyDescent="0.3">
      <c r="B59" s="513"/>
      <c r="C59" s="514"/>
      <c r="D59" s="514"/>
      <c r="E59" s="514"/>
      <c r="F59" s="515"/>
      <c r="G59" s="516" t="s">
        <v>103</v>
      </c>
      <c r="H59" s="517"/>
      <c r="I59" s="518"/>
      <c r="J59" s="218" t="e">
        <f>J56+J57+J58</f>
        <v>#REF!</v>
      </c>
      <c r="K59" s="107"/>
    </row>
    <row r="60" spans="2:11" s="103" customFormat="1" ht="15.75" thickBot="1" x14ac:dyDescent="0.3">
      <c r="B60" s="173"/>
      <c r="C60" s="174"/>
      <c r="D60" s="174"/>
      <c r="E60" s="174"/>
      <c r="F60" s="174"/>
      <c r="G60" s="174"/>
      <c r="H60" s="174"/>
      <c r="I60" s="174"/>
      <c r="J60" s="175"/>
    </row>
    <row r="61" spans="2:11" s="103" customFormat="1" ht="15.75" thickBot="1" x14ac:dyDescent="0.3">
      <c r="B61" s="495" t="s">
        <v>52</v>
      </c>
      <c r="C61" s="496"/>
      <c r="D61" s="496"/>
      <c r="E61" s="497"/>
      <c r="F61" s="498" t="s">
        <v>118</v>
      </c>
      <c r="G61" s="499"/>
      <c r="H61" s="499"/>
      <c r="I61" s="499"/>
      <c r="J61" s="500"/>
    </row>
    <row r="62" spans="2:11" s="103" customFormat="1" ht="30" customHeight="1" thickBot="1" x14ac:dyDescent="0.3">
      <c r="B62" s="501" t="s">
        <v>108</v>
      </c>
      <c r="C62" s="502"/>
      <c r="D62" s="502"/>
      <c r="E62" s="503"/>
      <c r="F62" s="504" t="s">
        <v>106</v>
      </c>
      <c r="G62" s="505"/>
      <c r="H62" s="505"/>
      <c r="I62" s="505"/>
      <c r="J62" s="506"/>
      <c r="K62" s="105" t="s">
        <v>174</v>
      </c>
    </row>
    <row r="63" spans="2:11" s="103" customFormat="1" ht="17.25" customHeight="1" thickBot="1" x14ac:dyDescent="0.3">
      <c r="B63" s="495" t="s">
        <v>37</v>
      </c>
      <c r="C63" s="496"/>
      <c r="D63" s="496"/>
      <c r="E63" s="497"/>
      <c r="F63" s="501" t="s">
        <v>109</v>
      </c>
      <c r="G63" s="502"/>
      <c r="H63" s="502"/>
      <c r="I63" s="502"/>
      <c r="J63" s="503"/>
    </row>
    <row r="64" spans="2:11" s="103" customFormat="1" ht="15.75" customHeight="1" thickBot="1" x14ac:dyDescent="0.3">
      <c r="B64" s="495" t="s">
        <v>22</v>
      </c>
      <c r="C64" s="496"/>
      <c r="D64" s="496"/>
      <c r="E64" s="497"/>
      <c r="F64" s="495" t="s">
        <v>20</v>
      </c>
      <c r="G64" s="496"/>
      <c r="H64" s="496"/>
      <c r="I64" s="496"/>
      <c r="J64" s="497"/>
    </row>
    <row r="65" spans="2:10" s="103" customFormat="1" ht="15.75" thickBot="1" x14ac:dyDescent="0.3">
      <c r="B65" s="495" t="s">
        <v>38</v>
      </c>
      <c r="C65" s="496"/>
      <c r="D65" s="496"/>
      <c r="E65" s="497"/>
      <c r="F65" s="495" t="s">
        <v>111</v>
      </c>
      <c r="G65" s="496"/>
      <c r="H65" s="496"/>
      <c r="I65" s="496"/>
      <c r="J65" s="497"/>
    </row>
    <row r="66" spans="2:10" s="103" customFormat="1" ht="15.75" customHeight="1" thickBot="1" x14ac:dyDescent="0.3">
      <c r="B66" s="164"/>
      <c r="C66" s="165"/>
      <c r="D66" s="165"/>
      <c r="E66" s="165"/>
      <c r="F66" s="165"/>
      <c r="G66" s="165"/>
      <c r="H66" s="165"/>
      <c r="I66" s="165"/>
      <c r="J66" s="166"/>
    </row>
    <row r="67" spans="2:10" s="103" customFormat="1" ht="15.75" customHeight="1" thickBot="1" x14ac:dyDescent="0.3">
      <c r="B67" s="519" t="s">
        <v>13</v>
      </c>
      <c r="C67" s="519" t="s">
        <v>14</v>
      </c>
      <c r="D67" s="521" t="s">
        <v>15</v>
      </c>
      <c r="E67" s="522"/>
      <c r="F67" s="523" t="s">
        <v>1</v>
      </c>
      <c r="G67" s="525" t="s">
        <v>11</v>
      </c>
      <c r="H67" s="525" t="s">
        <v>12</v>
      </c>
      <c r="I67" s="525" t="s">
        <v>39</v>
      </c>
      <c r="J67" s="525" t="s">
        <v>40</v>
      </c>
    </row>
    <row r="68" spans="2:10" s="103" customFormat="1" ht="15.75" customHeight="1" thickBot="1" x14ac:dyDescent="0.3">
      <c r="B68" s="520"/>
      <c r="C68" s="520"/>
      <c r="D68" s="167" t="s">
        <v>16</v>
      </c>
      <c r="E68" s="167" t="s">
        <v>17</v>
      </c>
      <c r="F68" s="524"/>
      <c r="G68" s="526"/>
      <c r="H68" s="526"/>
      <c r="I68" s="526"/>
      <c r="J68" s="526"/>
    </row>
    <row r="69" spans="2:10" s="103" customFormat="1" ht="17.25" thickBot="1" x14ac:dyDescent="0.3">
      <c r="B69" s="135" t="s">
        <v>23</v>
      </c>
      <c r="C69" s="445"/>
      <c r="D69" s="446"/>
      <c r="E69" s="447"/>
      <c r="F69" s="448" t="s">
        <v>2</v>
      </c>
      <c r="G69" s="449"/>
      <c r="H69" s="449"/>
      <c r="I69" s="450"/>
      <c r="J69" s="136" t="e">
        <f>SUM(J70:J72)</f>
        <v>#REF!</v>
      </c>
    </row>
    <row r="70" spans="2:10" s="103" customFormat="1" ht="16.5" x14ac:dyDescent="0.25">
      <c r="B70" s="115" t="s">
        <v>24</v>
      </c>
      <c r="C70" s="116" t="s">
        <v>55</v>
      </c>
      <c r="D70" s="116" t="s">
        <v>59</v>
      </c>
      <c r="E70" s="116" t="s">
        <v>55</v>
      </c>
      <c r="F70" s="117" t="s">
        <v>18</v>
      </c>
      <c r="G70" s="118" t="s">
        <v>3</v>
      </c>
      <c r="H70" s="119">
        <f>ROUND(H71*1.5,0)</f>
        <v>20</v>
      </c>
      <c r="I70" s="120" t="e">
        <f>#REF!</f>
        <v>#REF!</v>
      </c>
      <c r="J70" s="121" t="e">
        <f>H70*I70</f>
        <v>#REF!</v>
      </c>
    </row>
    <row r="71" spans="2:10" s="103" customFormat="1" ht="16.5" x14ac:dyDescent="0.25">
      <c r="B71" s="123" t="s">
        <v>26</v>
      </c>
      <c r="C71" s="116" t="s">
        <v>57</v>
      </c>
      <c r="D71" s="116" t="s">
        <v>59</v>
      </c>
      <c r="E71" s="116" t="s">
        <v>57</v>
      </c>
      <c r="F71" s="124" t="s">
        <v>25</v>
      </c>
      <c r="G71" s="125" t="s">
        <v>6</v>
      </c>
      <c r="H71" s="126">
        <v>13</v>
      </c>
      <c r="I71" s="127" t="e">
        <f>#REF!</f>
        <v>#REF!</v>
      </c>
      <c r="J71" s="128" t="e">
        <f>H71*I71</f>
        <v>#REF!</v>
      </c>
    </row>
    <row r="72" spans="2:10" s="103" customFormat="1" ht="17.25" thickBot="1" x14ac:dyDescent="0.3">
      <c r="B72" s="129" t="s">
        <v>27</v>
      </c>
      <c r="C72" s="116" t="s">
        <v>58</v>
      </c>
      <c r="D72" s="116">
        <v>200</v>
      </c>
      <c r="E72" s="116" t="s">
        <v>59</v>
      </c>
      <c r="F72" s="130" t="s">
        <v>56</v>
      </c>
      <c r="G72" s="131" t="s">
        <v>3</v>
      </c>
      <c r="H72" s="132">
        <f>ROUND(H70,0)</f>
        <v>20</v>
      </c>
      <c r="I72" s="133">
        <f>'200.1'!I38</f>
        <v>0</v>
      </c>
      <c r="J72" s="134">
        <f t="shared" ref="J72" si="2">H72*I72</f>
        <v>0</v>
      </c>
    </row>
    <row r="73" spans="2:10" s="103" customFormat="1" ht="17.25" thickBot="1" x14ac:dyDescent="0.3">
      <c r="B73" s="135" t="s">
        <v>28</v>
      </c>
      <c r="C73" s="445"/>
      <c r="D73" s="446"/>
      <c r="E73" s="447"/>
      <c r="F73" s="448" t="s">
        <v>31</v>
      </c>
      <c r="G73" s="449"/>
      <c r="H73" s="449"/>
      <c r="I73" s="450"/>
      <c r="J73" s="136">
        <f>J74</f>
        <v>0</v>
      </c>
    </row>
    <row r="74" spans="2:10" s="103" customFormat="1" ht="17.25" thickBot="1" x14ac:dyDescent="0.3">
      <c r="B74" s="154" t="s">
        <v>30</v>
      </c>
      <c r="C74" s="116" t="s">
        <v>60</v>
      </c>
      <c r="D74" s="116">
        <v>200</v>
      </c>
      <c r="E74" s="116" t="s">
        <v>59</v>
      </c>
      <c r="F74" s="155" t="s">
        <v>29</v>
      </c>
      <c r="G74" s="156" t="s">
        <v>7</v>
      </c>
      <c r="H74" s="157">
        <f>ROUND((((13/1.5)*2)*(0.4*0.4*1)),0)</f>
        <v>3</v>
      </c>
      <c r="I74" s="158">
        <f>'200.2'!I38</f>
        <v>0</v>
      </c>
      <c r="J74" s="159">
        <f>H74*I74</f>
        <v>0</v>
      </c>
    </row>
    <row r="75" spans="2:10" s="103" customFormat="1" ht="17.25" thickBot="1" x14ac:dyDescent="0.3">
      <c r="B75" s="135" t="s">
        <v>33</v>
      </c>
      <c r="C75" s="445"/>
      <c r="D75" s="446"/>
      <c r="E75" s="447"/>
      <c r="F75" s="448" t="s">
        <v>32</v>
      </c>
      <c r="G75" s="449"/>
      <c r="H75" s="449"/>
      <c r="I75" s="450"/>
      <c r="J75" s="136" t="e">
        <f>J76</f>
        <v>#REF!</v>
      </c>
    </row>
    <row r="76" spans="2:10" s="103" customFormat="1" ht="18" customHeight="1" thickBot="1" x14ac:dyDescent="0.3">
      <c r="B76" s="142" t="s">
        <v>34</v>
      </c>
      <c r="C76" s="116" t="s">
        <v>61</v>
      </c>
      <c r="D76" s="116">
        <v>200</v>
      </c>
      <c r="E76" s="116" t="s">
        <v>59</v>
      </c>
      <c r="F76" s="160" t="s">
        <v>35</v>
      </c>
      <c r="G76" s="161" t="s">
        <v>7</v>
      </c>
      <c r="H76" s="145">
        <f>H74</f>
        <v>3</v>
      </c>
      <c r="I76" s="146" t="e">
        <f>#REF!</f>
        <v>#REF!</v>
      </c>
      <c r="J76" s="162" t="e">
        <f>H76*I76</f>
        <v>#REF!</v>
      </c>
    </row>
    <row r="77" spans="2:10" s="103" customFormat="1" ht="17.25" thickBot="1" x14ac:dyDescent="0.3">
      <c r="B77" s="135" t="s">
        <v>36</v>
      </c>
      <c r="C77" s="445"/>
      <c r="D77" s="446"/>
      <c r="E77" s="447"/>
      <c r="F77" s="448" t="s">
        <v>4</v>
      </c>
      <c r="G77" s="449"/>
      <c r="H77" s="449"/>
      <c r="I77" s="450"/>
      <c r="J77" s="136">
        <f>SUM(J78:J79)</f>
        <v>0</v>
      </c>
    </row>
    <row r="78" spans="2:10" s="103" customFormat="1" ht="33" x14ac:dyDescent="0.25">
      <c r="B78" s="115" t="s">
        <v>46</v>
      </c>
      <c r="C78" s="116" t="s">
        <v>62</v>
      </c>
      <c r="D78" s="137">
        <v>700</v>
      </c>
      <c r="E78" s="116" t="s">
        <v>59</v>
      </c>
      <c r="F78" s="138" t="s">
        <v>41</v>
      </c>
      <c r="G78" s="118" t="s">
        <v>5</v>
      </c>
      <c r="H78" s="119">
        <f>ROUND(8.25,0)</f>
        <v>8</v>
      </c>
      <c r="I78" s="120">
        <f>'700.2'!I38</f>
        <v>0</v>
      </c>
      <c r="J78" s="121">
        <f>H78*I78</f>
        <v>0</v>
      </c>
    </row>
    <row r="79" spans="2:10" s="103" customFormat="1" ht="34.5" customHeight="1" thickBot="1" x14ac:dyDescent="0.3">
      <c r="B79" s="129" t="s">
        <v>47</v>
      </c>
      <c r="C79" s="116" t="s">
        <v>63</v>
      </c>
      <c r="D79" s="139">
        <v>400</v>
      </c>
      <c r="E79" s="116" t="s">
        <v>59</v>
      </c>
      <c r="F79" s="140" t="s">
        <v>42</v>
      </c>
      <c r="G79" s="131" t="s">
        <v>6</v>
      </c>
      <c r="H79" s="133">
        <f>H71*3</f>
        <v>39</v>
      </c>
      <c r="I79" s="133">
        <f>'400.1'!I38</f>
        <v>0</v>
      </c>
      <c r="J79" s="134">
        <f>H79*I79</f>
        <v>0</v>
      </c>
    </row>
    <row r="80" spans="2:10" s="103" customFormat="1" ht="17.25" thickBot="1" x14ac:dyDescent="0.3">
      <c r="B80" s="141" t="s">
        <v>50</v>
      </c>
      <c r="C80" s="445"/>
      <c r="D80" s="446"/>
      <c r="E80" s="447"/>
      <c r="F80" s="448" t="s">
        <v>8</v>
      </c>
      <c r="G80" s="449"/>
      <c r="H80" s="449"/>
      <c r="I80" s="450"/>
      <c r="J80" s="136">
        <f>J81</f>
        <v>0</v>
      </c>
    </row>
    <row r="81" spans="2:11" s="103" customFormat="1" ht="70.5" customHeight="1" thickBot="1" x14ac:dyDescent="0.3">
      <c r="B81" s="142" t="s">
        <v>48</v>
      </c>
      <c r="C81" s="116" t="s">
        <v>64</v>
      </c>
      <c r="D81" s="116">
        <v>500</v>
      </c>
      <c r="E81" s="116" t="s">
        <v>59</v>
      </c>
      <c r="F81" s="143" t="s">
        <v>164</v>
      </c>
      <c r="G81" s="144" t="s">
        <v>6</v>
      </c>
      <c r="H81" s="145">
        <f>H71</f>
        <v>13</v>
      </c>
      <c r="I81" s="146">
        <f>'500.6'!I38</f>
        <v>0</v>
      </c>
      <c r="J81" s="121">
        <f>H81*I81</f>
        <v>0</v>
      </c>
    </row>
    <row r="82" spans="2:11" s="103" customFormat="1" ht="17.25" thickBot="1" x14ac:dyDescent="0.3">
      <c r="B82" s="141" t="s">
        <v>51</v>
      </c>
      <c r="C82" s="445"/>
      <c r="D82" s="446"/>
      <c r="E82" s="447"/>
      <c r="F82" s="448" t="s">
        <v>9</v>
      </c>
      <c r="G82" s="449"/>
      <c r="H82" s="449"/>
      <c r="I82" s="450"/>
      <c r="J82" s="136" t="e">
        <f>J83</f>
        <v>#REF!</v>
      </c>
    </row>
    <row r="83" spans="2:11" s="103" customFormat="1" ht="50.25" thickBot="1" x14ac:dyDescent="0.3">
      <c r="B83" s="147" t="s">
        <v>49</v>
      </c>
      <c r="C83" s="148" t="s">
        <v>65</v>
      </c>
      <c r="D83" s="148">
        <v>500</v>
      </c>
      <c r="E83" s="148" t="s">
        <v>59</v>
      </c>
      <c r="F83" s="149" t="s">
        <v>178</v>
      </c>
      <c r="G83" s="150" t="s">
        <v>6</v>
      </c>
      <c r="H83" s="151">
        <f>H71</f>
        <v>13</v>
      </c>
      <c r="I83" s="152" t="e">
        <f>#REF!</f>
        <v>#REF!</v>
      </c>
      <c r="J83" s="153" t="e">
        <f>H83*I83</f>
        <v>#REF!</v>
      </c>
    </row>
    <row r="84" spans="2:11" s="103" customFormat="1" ht="17.25" customHeight="1" thickBot="1" x14ac:dyDescent="0.3">
      <c r="B84" s="527"/>
      <c r="C84" s="528"/>
      <c r="D84" s="528"/>
      <c r="E84" s="528"/>
      <c r="F84" s="529"/>
      <c r="G84" s="536" t="s">
        <v>43</v>
      </c>
      <c r="H84" s="537"/>
      <c r="I84" s="538"/>
      <c r="J84" s="136" t="e">
        <f>J69+J73+J75+J77+J80+J82</f>
        <v>#REF!</v>
      </c>
    </row>
    <row r="85" spans="2:11" s="103" customFormat="1" ht="17.25" customHeight="1" thickBot="1" x14ac:dyDescent="0.3">
      <c r="B85" s="530"/>
      <c r="C85" s="531"/>
      <c r="D85" s="531"/>
      <c r="E85" s="531"/>
      <c r="F85" s="532"/>
      <c r="G85" s="536" t="s">
        <v>44</v>
      </c>
      <c r="H85" s="537"/>
      <c r="I85" s="170">
        <v>0.25</v>
      </c>
      <c r="J85" s="171" t="e">
        <f>J84*I85</f>
        <v>#REF!</v>
      </c>
    </row>
    <row r="86" spans="2:11" s="103" customFormat="1" ht="17.25" customHeight="1" thickBot="1" x14ac:dyDescent="0.3">
      <c r="B86" s="530"/>
      <c r="C86" s="531"/>
      <c r="D86" s="531"/>
      <c r="E86" s="531"/>
      <c r="F86" s="532"/>
      <c r="G86" s="536" t="s">
        <v>45</v>
      </c>
      <c r="H86" s="537"/>
      <c r="I86" s="170">
        <v>0.05</v>
      </c>
      <c r="J86" s="171" t="e">
        <f>J84*I86</f>
        <v>#REF!</v>
      </c>
    </row>
    <row r="87" spans="2:11" s="103" customFormat="1" ht="17.25" customHeight="1" thickBot="1" x14ac:dyDescent="0.3">
      <c r="B87" s="533"/>
      <c r="C87" s="534"/>
      <c r="D87" s="534"/>
      <c r="E87" s="534"/>
      <c r="F87" s="535"/>
      <c r="G87" s="536" t="s">
        <v>107</v>
      </c>
      <c r="H87" s="537"/>
      <c r="I87" s="538"/>
      <c r="J87" s="172" t="e">
        <f>J84+J85+J86</f>
        <v>#REF!</v>
      </c>
    </row>
    <row r="88" spans="2:11" s="103" customFormat="1" ht="17.25" customHeight="1" thickBot="1" x14ac:dyDescent="0.3">
      <c r="B88" s="176"/>
      <c r="C88" s="177"/>
      <c r="D88" s="177"/>
      <c r="E88" s="177"/>
      <c r="F88" s="177"/>
      <c r="G88" s="178"/>
      <c r="H88" s="178"/>
      <c r="I88" s="178"/>
      <c r="J88" s="179"/>
    </row>
    <row r="89" spans="2:11" s="103" customFormat="1" ht="17.25" customHeight="1" thickBot="1" x14ac:dyDescent="0.3">
      <c r="B89" s="495" t="s">
        <v>52</v>
      </c>
      <c r="C89" s="496"/>
      <c r="D89" s="496"/>
      <c r="E89" s="497"/>
      <c r="F89" s="498" t="s">
        <v>118</v>
      </c>
      <c r="G89" s="499"/>
      <c r="H89" s="499"/>
      <c r="I89" s="499"/>
      <c r="J89" s="500"/>
    </row>
    <row r="90" spans="2:11" s="103" customFormat="1" ht="28.5" customHeight="1" thickBot="1" x14ac:dyDescent="0.3">
      <c r="B90" s="501" t="s">
        <v>110</v>
      </c>
      <c r="C90" s="502"/>
      <c r="D90" s="502"/>
      <c r="E90" s="503"/>
      <c r="F90" s="504" t="s">
        <v>181</v>
      </c>
      <c r="G90" s="505"/>
      <c r="H90" s="505"/>
      <c r="I90" s="505"/>
      <c r="J90" s="506"/>
      <c r="K90" s="105" t="s">
        <v>175</v>
      </c>
    </row>
    <row r="91" spans="2:11" s="103" customFormat="1" ht="17.25" customHeight="1" thickBot="1" x14ac:dyDescent="0.3">
      <c r="B91" s="495" t="s">
        <v>37</v>
      </c>
      <c r="C91" s="496"/>
      <c r="D91" s="496"/>
      <c r="E91" s="497"/>
      <c r="F91" s="501" t="s">
        <v>168</v>
      </c>
      <c r="G91" s="502"/>
      <c r="H91" s="502"/>
      <c r="I91" s="502"/>
      <c r="J91" s="503"/>
    </row>
    <row r="92" spans="2:11" s="103" customFormat="1" ht="17.25" customHeight="1" thickBot="1" x14ac:dyDescent="0.3">
      <c r="B92" s="495" t="s">
        <v>22</v>
      </c>
      <c r="C92" s="496"/>
      <c r="D92" s="496"/>
      <c r="E92" s="497"/>
      <c r="F92" s="495" t="s">
        <v>20</v>
      </c>
      <c r="G92" s="496"/>
      <c r="H92" s="496"/>
      <c r="I92" s="496"/>
      <c r="J92" s="497"/>
    </row>
    <row r="93" spans="2:11" s="103" customFormat="1" ht="17.25" customHeight="1" thickBot="1" x14ac:dyDescent="0.3">
      <c r="B93" s="495" t="s">
        <v>38</v>
      </c>
      <c r="C93" s="496"/>
      <c r="D93" s="496"/>
      <c r="E93" s="497"/>
      <c r="F93" s="495" t="s">
        <v>145</v>
      </c>
      <c r="G93" s="496"/>
      <c r="H93" s="496"/>
      <c r="I93" s="496"/>
      <c r="J93" s="497"/>
    </row>
    <row r="94" spans="2:11" s="103" customFormat="1" ht="17.25" customHeight="1" thickBot="1" x14ac:dyDescent="0.3">
      <c r="B94" s="164"/>
      <c r="C94" s="165"/>
      <c r="D94" s="165"/>
      <c r="E94" s="165"/>
      <c r="F94" s="165"/>
      <c r="G94" s="165"/>
      <c r="H94" s="165"/>
      <c r="I94" s="165"/>
      <c r="J94" s="166"/>
    </row>
    <row r="95" spans="2:11" s="103" customFormat="1" ht="17.25" customHeight="1" thickBot="1" x14ac:dyDescent="0.3">
      <c r="B95" s="519" t="s">
        <v>13</v>
      </c>
      <c r="C95" s="519" t="s">
        <v>14</v>
      </c>
      <c r="D95" s="521" t="s">
        <v>15</v>
      </c>
      <c r="E95" s="522"/>
      <c r="F95" s="523" t="s">
        <v>1</v>
      </c>
      <c r="G95" s="525" t="s">
        <v>11</v>
      </c>
      <c r="H95" s="525" t="s">
        <v>12</v>
      </c>
      <c r="I95" s="525" t="s">
        <v>39</v>
      </c>
      <c r="J95" s="525" t="s">
        <v>40</v>
      </c>
    </row>
    <row r="96" spans="2:11" s="103" customFormat="1" ht="17.25" customHeight="1" thickBot="1" x14ac:dyDescent="0.3">
      <c r="B96" s="520"/>
      <c r="C96" s="520"/>
      <c r="D96" s="167" t="s">
        <v>16</v>
      </c>
      <c r="E96" s="167" t="s">
        <v>17</v>
      </c>
      <c r="F96" s="524"/>
      <c r="G96" s="526"/>
      <c r="H96" s="526"/>
      <c r="I96" s="526"/>
      <c r="J96" s="526"/>
    </row>
    <row r="97" spans="2:10" s="103" customFormat="1" ht="17.25" customHeight="1" thickBot="1" x14ac:dyDescent="0.3">
      <c r="B97" s="135" t="s">
        <v>23</v>
      </c>
      <c r="C97" s="445"/>
      <c r="D97" s="446"/>
      <c r="E97" s="447"/>
      <c r="F97" s="448" t="s">
        <v>2</v>
      </c>
      <c r="G97" s="449"/>
      <c r="H97" s="449"/>
      <c r="I97" s="450"/>
      <c r="J97" s="136" t="e">
        <f>SUM(J98:J100)</f>
        <v>#REF!</v>
      </c>
    </row>
    <row r="98" spans="2:10" s="103" customFormat="1" ht="17.25" customHeight="1" x14ac:dyDescent="0.25">
      <c r="B98" s="115" t="s">
        <v>24</v>
      </c>
      <c r="C98" s="116" t="s">
        <v>55</v>
      </c>
      <c r="D98" s="116" t="s">
        <v>59</v>
      </c>
      <c r="E98" s="116" t="s">
        <v>55</v>
      </c>
      <c r="F98" s="117" t="s">
        <v>18</v>
      </c>
      <c r="G98" s="118" t="s">
        <v>3</v>
      </c>
      <c r="H98" s="119">
        <f>ROUND(H99*1.5,0)</f>
        <v>57</v>
      </c>
      <c r="I98" s="120" t="e">
        <f>#REF!</f>
        <v>#REF!</v>
      </c>
      <c r="J98" s="121" t="e">
        <f>H98*I98</f>
        <v>#REF!</v>
      </c>
    </row>
    <row r="99" spans="2:10" s="103" customFormat="1" ht="17.25" customHeight="1" x14ac:dyDescent="0.25">
      <c r="B99" s="123" t="s">
        <v>26</v>
      </c>
      <c r="C99" s="116" t="s">
        <v>57</v>
      </c>
      <c r="D99" s="116" t="s">
        <v>59</v>
      </c>
      <c r="E99" s="116" t="s">
        <v>57</v>
      </c>
      <c r="F99" s="124" t="s">
        <v>25</v>
      </c>
      <c r="G99" s="125" t="s">
        <v>6</v>
      </c>
      <c r="H99" s="126">
        <v>38</v>
      </c>
      <c r="I99" s="127" t="e">
        <f>#REF!</f>
        <v>#REF!</v>
      </c>
      <c r="J99" s="128" t="e">
        <f>H99*I99</f>
        <v>#REF!</v>
      </c>
    </row>
    <row r="100" spans="2:10" s="103" customFormat="1" ht="17.25" customHeight="1" thickBot="1" x14ac:dyDescent="0.3">
      <c r="B100" s="129" t="s">
        <v>27</v>
      </c>
      <c r="C100" s="116" t="s">
        <v>58</v>
      </c>
      <c r="D100" s="116">
        <v>200</v>
      </c>
      <c r="E100" s="116" t="s">
        <v>59</v>
      </c>
      <c r="F100" s="130" t="s">
        <v>56</v>
      </c>
      <c r="G100" s="131" t="s">
        <v>3</v>
      </c>
      <c r="H100" s="132">
        <f>ROUND(H98,0)</f>
        <v>57</v>
      </c>
      <c r="I100" s="133">
        <f>'200.1'!I38</f>
        <v>0</v>
      </c>
      <c r="J100" s="134">
        <f t="shared" ref="J100" si="3">H100*I100</f>
        <v>0</v>
      </c>
    </row>
    <row r="101" spans="2:10" s="103" customFormat="1" ht="17.25" customHeight="1" thickBot="1" x14ac:dyDescent="0.3">
      <c r="B101" s="135" t="s">
        <v>28</v>
      </c>
      <c r="C101" s="445"/>
      <c r="D101" s="446"/>
      <c r="E101" s="447"/>
      <c r="F101" s="448" t="s">
        <v>31</v>
      </c>
      <c r="G101" s="449"/>
      <c r="H101" s="449"/>
      <c r="I101" s="450"/>
      <c r="J101" s="136">
        <f>J102</f>
        <v>0</v>
      </c>
    </row>
    <row r="102" spans="2:10" s="103" customFormat="1" ht="17.25" customHeight="1" thickBot="1" x14ac:dyDescent="0.3">
      <c r="B102" s="154" t="s">
        <v>30</v>
      </c>
      <c r="C102" s="116" t="s">
        <v>60</v>
      </c>
      <c r="D102" s="116">
        <v>200</v>
      </c>
      <c r="E102" s="116" t="s">
        <v>59</v>
      </c>
      <c r="F102" s="155" t="s">
        <v>29</v>
      </c>
      <c r="G102" s="156" t="s">
        <v>7</v>
      </c>
      <c r="H102" s="157">
        <f>ROUND((((H99/1.5)*2)*(0.4*0.4*1)),0)</f>
        <v>8</v>
      </c>
      <c r="I102" s="158">
        <f>'200.2'!I38</f>
        <v>0</v>
      </c>
      <c r="J102" s="159">
        <f>H102*I102</f>
        <v>0</v>
      </c>
    </row>
    <row r="103" spans="2:10" s="103" customFormat="1" ht="17.25" customHeight="1" thickBot="1" x14ac:dyDescent="0.3">
      <c r="B103" s="135" t="s">
        <v>33</v>
      </c>
      <c r="C103" s="445"/>
      <c r="D103" s="446"/>
      <c r="E103" s="447"/>
      <c r="F103" s="448" t="s">
        <v>32</v>
      </c>
      <c r="G103" s="449"/>
      <c r="H103" s="449"/>
      <c r="I103" s="450"/>
      <c r="J103" s="136" t="e">
        <f>J104</f>
        <v>#REF!</v>
      </c>
    </row>
    <row r="104" spans="2:10" s="103" customFormat="1" ht="18.75" customHeight="1" thickBot="1" x14ac:dyDescent="0.3">
      <c r="B104" s="142" t="s">
        <v>34</v>
      </c>
      <c r="C104" s="116" t="s">
        <v>61</v>
      </c>
      <c r="D104" s="116">
        <v>200</v>
      </c>
      <c r="E104" s="116" t="s">
        <v>59</v>
      </c>
      <c r="F104" s="160" t="s">
        <v>35</v>
      </c>
      <c r="G104" s="161" t="s">
        <v>7</v>
      </c>
      <c r="H104" s="145">
        <f>H102</f>
        <v>8</v>
      </c>
      <c r="I104" s="146" t="e">
        <f>#REF!</f>
        <v>#REF!</v>
      </c>
      <c r="J104" s="162" t="e">
        <f>H104*I104</f>
        <v>#REF!</v>
      </c>
    </row>
    <row r="105" spans="2:10" s="103" customFormat="1" ht="17.25" customHeight="1" thickBot="1" x14ac:dyDescent="0.3">
      <c r="B105" s="135" t="s">
        <v>36</v>
      </c>
      <c r="C105" s="445"/>
      <c r="D105" s="446"/>
      <c r="E105" s="447"/>
      <c r="F105" s="448" t="s">
        <v>4</v>
      </c>
      <c r="G105" s="449"/>
      <c r="H105" s="449"/>
      <c r="I105" s="450"/>
      <c r="J105" s="136">
        <f>SUM(J106:J107)</f>
        <v>0</v>
      </c>
    </row>
    <row r="106" spans="2:10" s="103" customFormat="1" ht="31.5" customHeight="1" x14ac:dyDescent="0.25">
      <c r="B106" s="115" t="s">
        <v>46</v>
      </c>
      <c r="C106" s="116" t="s">
        <v>62</v>
      </c>
      <c r="D106" s="137">
        <v>700</v>
      </c>
      <c r="E106" s="116" t="s">
        <v>59</v>
      </c>
      <c r="F106" s="138" t="s">
        <v>41</v>
      </c>
      <c r="G106" s="118" t="s">
        <v>5</v>
      </c>
      <c r="H106" s="119">
        <f>ROUND(22.8,0)</f>
        <v>23</v>
      </c>
      <c r="I106" s="120">
        <f>'700.2'!I38</f>
        <v>0</v>
      </c>
      <c r="J106" s="121">
        <f>H106*I106</f>
        <v>0</v>
      </c>
    </row>
    <row r="107" spans="2:10" s="103" customFormat="1" ht="36" customHeight="1" thickBot="1" x14ac:dyDescent="0.3">
      <c r="B107" s="129" t="s">
        <v>47</v>
      </c>
      <c r="C107" s="116" t="s">
        <v>63</v>
      </c>
      <c r="D107" s="139">
        <v>400</v>
      </c>
      <c r="E107" s="116" t="s">
        <v>59</v>
      </c>
      <c r="F107" s="140" t="s">
        <v>42</v>
      </c>
      <c r="G107" s="131" t="s">
        <v>6</v>
      </c>
      <c r="H107" s="133">
        <f>H99*3</f>
        <v>114</v>
      </c>
      <c r="I107" s="133">
        <f>'400.1'!I38</f>
        <v>0</v>
      </c>
      <c r="J107" s="134">
        <f>H107*I107</f>
        <v>0</v>
      </c>
    </row>
    <row r="108" spans="2:10" s="103" customFormat="1" ht="17.25" customHeight="1" thickBot="1" x14ac:dyDescent="0.3">
      <c r="B108" s="141" t="s">
        <v>50</v>
      </c>
      <c r="C108" s="445"/>
      <c r="D108" s="446"/>
      <c r="E108" s="447"/>
      <c r="F108" s="448" t="s">
        <v>8</v>
      </c>
      <c r="G108" s="449"/>
      <c r="H108" s="449"/>
      <c r="I108" s="450"/>
      <c r="J108" s="136">
        <f>J109</f>
        <v>0</v>
      </c>
    </row>
    <row r="109" spans="2:10" s="103" customFormat="1" ht="69.75" customHeight="1" thickBot="1" x14ac:dyDescent="0.3">
      <c r="B109" s="142" t="s">
        <v>48</v>
      </c>
      <c r="C109" s="116" t="s">
        <v>64</v>
      </c>
      <c r="D109" s="116">
        <v>500</v>
      </c>
      <c r="E109" s="116" t="s">
        <v>59</v>
      </c>
      <c r="F109" s="143" t="s">
        <v>164</v>
      </c>
      <c r="G109" s="144" t="s">
        <v>6</v>
      </c>
      <c r="H109" s="145">
        <f>H99</f>
        <v>38</v>
      </c>
      <c r="I109" s="146">
        <f>'500.6'!I38</f>
        <v>0</v>
      </c>
      <c r="J109" s="121">
        <f>H109*I109</f>
        <v>0</v>
      </c>
    </row>
    <row r="110" spans="2:10" s="103" customFormat="1" ht="17.25" customHeight="1" thickBot="1" x14ac:dyDescent="0.3">
      <c r="B110" s="141" t="s">
        <v>51</v>
      </c>
      <c r="C110" s="445"/>
      <c r="D110" s="446"/>
      <c r="E110" s="447"/>
      <c r="F110" s="448" t="s">
        <v>9</v>
      </c>
      <c r="G110" s="449"/>
      <c r="H110" s="449"/>
      <c r="I110" s="450"/>
      <c r="J110" s="136" t="e">
        <f>J111</f>
        <v>#REF!</v>
      </c>
    </row>
    <row r="111" spans="2:10" s="103" customFormat="1" ht="50.25" customHeight="1" thickBot="1" x14ac:dyDescent="0.3">
      <c r="B111" s="147" t="s">
        <v>49</v>
      </c>
      <c r="C111" s="148" t="s">
        <v>65</v>
      </c>
      <c r="D111" s="148">
        <v>500</v>
      </c>
      <c r="E111" s="148" t="s">
        <v>59</v>
      </c>
      <c r="F111" s="149" t="s">
        <v>178</v>
      </c>
      <c r="G111" s="150" t="s">
        <v>6</v>
      </c>
      <c r="H111" s="151">
        <f>H99</f>
        <v>38</v>
      </c>
      <c r="I111" s="152" t="e">
        <f>#REF!</f>
        <v>#REF!</v>
      </c>
      <c r="J111" s="153" t="e">
        <f>H111*I111</f>
        <v>#REF!</v>
      </c>
    </row>
    <row r="112" spans="2:10" s="103" customFormat="1" ht="17.25" customHeight="1" thickBot="1" x14ac:dyDescent="0.3">
      <c r="B112" s="527"/>
      <c r="C112" s="528"/>
      <c r="D112" s="528"/>
      <c r="E112" s="528"/>
      <c r="F112" s="529"/>
      <c r="G112" s="536" t="s">
        <v>43</v>
      </c>
      <c r="H112" s="537"/>
      <c r="I112" s="538"/>
      <c r="J112" s="136" t="e">
        <f>J97+J101+J103+J105+J108+J110</f>
        <v>#REF!</v>
      </c>
    </row>
    <row r="113" spans="2:11" s="103" customFormat="1" ht="17.25" customHeight="1" thickBot="1" x14ac:dyDescent="0.3">
      <c r="B113" s="530"/>
      <c r="C113" s="531"/>
      <c r="D113" s="531"/>
      <c r="E113" s="531"/>
      <c r="F113" s="532"/>
      <c r="G113" s="536" t="s">
        <v>44</v>
      </c>
      <c r="H113" s="537"/>
      <c r="I113" s="170">
        <v>0.25</v>
      </c>
      <c r="J113" s="171" t="e">
        <f>J112*I113</f>
        <v>#REF!</v>
      </c>
    </row>
    <row r="114" spans="2:11" s="103" customFormat="1" ht="17.25" customHeight="1" thickBot="1" x14ac:dyDescent="0.3">
      <c r="B114" s="530"/>
      <c r="C114" s="531"/>
      <c r="D114" s="531"/>
      <c r="E114" s="531"/>
      <c r="F114" s="532"/>
      <c r="G114" s="536" t="s">
        <v>45</v>
      </c>
      <c r="H114" s="537"/>
      <c r="I114" s="170">
        <v>0.05</v>
      </c>
      <c r="J114" s="171" t="e">
        <f>J112*I114</f>
        <v>#REF!</v>
      </c>
    </row>
    <row r="115" spans="2:11" s="103" customFormat="1" ht="17.25" customHeight="1" thickBot="1" x14ac:dyDescent="0.3">
      <c r="B115" s="533"/>
      <c r="C115" s="534"/>
      <c r="D115" s="534"/>
      <c r="E115" s="534"/>
      <c r="F115" s="535"/>
      <c r="G115" s="536" t="s">
        <v>112</v>
      </c>
      <c r="H115" s="537"/>
      <c r="I115" s="538"/>
      <c r="J115" s="172" t="e">
        <f>J112+J113+J114</f>
        <v>#REF!</v>
      </c>
    </row>
    <row r="116" spans="2:11" ht="17.25" customHeight="1" thickBot="1" x14ac:dyDescent="0.3">
      <c r="B116" s="176"/>
      <c r="C116" s="177"/>
      <c r="D116" s="177"/>
      <c r="E116" s="177"/>
      <c r="F116" s="177"/>
      <c r="G116" s="178"/>
      <c r="H116" s="178"/>
      <c r="I116" s="178"/>
      <c r="J116" s="179"/>
      <c r="K116" s="103"/>
    </row>
    <row r="117" spans="2:11" s="103" customFormat="1" ht="17.25" customHeight="1" thickBot="1" x14ac:dyDescent="0.3">
      <c r="B117" s="495" t="s">
        <v>52</v>
      </c>
      <c r="C117" s="496"/>
      <c r="D117" s="496"/>
      <c r="E117" s="497"/>
      <c r="F117" s="498" t="s">
        <v>118</v>
      </c>
      <c r="G117" s="499"/>
      <c r="H117" s="499"/>
      <c r="I117" s="499"/>
      <c r="J117" s="500"/>
    </row>
    <row r="118" spans="2:11" s="103" customFormat="1" ht="34.5" customHeight="1" thickBot="1" x14ac:dyDescent="0.3">
      <c r="B118" s="501" t="s">
        <v>114</v>
      </c>
      <c r="C118" s="502"/>
      <c r="D118" s="502"/>
      <c r="E118" s="503"/>
      <c r="F118" s="504" t="s">
        <v>182</v>
      </c>
      <c r="G118" s="505"/>
      <c r="H118" s="505"/>
      <c r="I118" s="505"/>
      <c r="J118" s="506"/>
      <c r="K118" s="105" t="s">
        <v>173</v>
      </c>
    </row>
    <row r="119" spans="2:11" s="103" customFormat="1" ht="17.25" customHeight="1" thickBot="1" x14ac:dyDescent="0.3">
      <c r="B119" s="495" t="s">
        <v>37</v>
      </c>
      <c r="C119" s="496"/>
      <c r="D119" s="496"/>
      <c r="E119" s="497"/>
      <c r="F119" s="501" t="s">
        <v>167</v>
      </c>
      <c r="G119" s="502"/>
      <c r="H119" s="502"/>
      <c r="I119" s="502"/>
      <c r="J119" s="503"/>
    </row>
    <row r="120" spans="2:11" s="103" customFormat="1" ht="17.25" customHeight="1" thickBot="1" x14ac:dyDescent="0.3">
      <c r="B120" s="495" t="s">
        <v>22</v>
      </c>
      <c r="C120" s="496"/>
      <c r="D120" s="496"/>
      <c r="E120" s="497"/>
      <c r="F120" s="495" t="s">
        <v>20</v>
      </c>
      <c r="G120" s="496"/>
      <c r="H120" s="496"/>
      <c r="I120" s="496"/>
      <c r="J120" s="497"/>
    </row>
    <row r="121" spans="2:11" s="103" customFormat="1" ht="17.25" customHeight="1" thickBot="1" x14ac:dyDescent="0.3">
      <c r="B121" s="495" t="s">
        <v>38</v>
      </c>
      <c r="C121" s="496"/>
      <c r="D121" s="496"/>
      <c r="E121" s="497"/>
      <c r="F121" s="495" t="s">
        <v>177</v>
      </c>
      <c r="G121" s="496"/>
      <c r="H121" s="496"/>
      <c r="I121" s="496"/>
      <c r="J121" s="497"/>
    </row>
    <row r="122" spans="2:11" s="103" customFormat="1" ht="17.25" customHeight="1" thickBot="1" x14ac:dyDescent="0.3">
      <c r="B122" s="164"/>
      <c r="C122" s="165"/>
      <c r="D122" s="165"/>
      <c r="E122" s="165"/>
      <c r="F122" s="165"/>
      <c r="G122" s="165"/>
      <c r="H122" s="165"/>
      <c r="I122" s="165"/>
      <c r="J122" s="166"/>
    </row>
    <row r="123" spans="2:11" s="103" customFormat="1" ht="17.25" customHeight="1" thickBot="1" x14ac:dyDescent="0.3">
      <c r="B123" s="519" t="s">
        <v>13</v>
      </c>
      <c r="C123" s="519" t="s">
        <v>14</v>
      </c>
      <c r="D123" s="521" t="s">
        <v>15</v>
      </c>
      <c r="E123" s="522"/>
      <c r="F123" s="523" t="s">
        <v>1</v>
      </c>
      <c r="G123" s="525" t="s">
        <v>11</v>
      </c>
      <c r="H123" s="525" t="s">
        <v>12</v>
      </c>
      <c r="I123" s="525" t="s">
        <v>39</v>
      </c>
      <c r="J123" s="525" t="s">
        <v>40</v>
      </c>
    </row>
    <row r="124" spans="2:11" s="103" customFormat="1" ht="17.25" customHeight="1" thickBot="1" x14ac:dyDescent="0.3">
      <c r="B124" s="520"/>
      <c r="C124" s="520"/>
      <c r="D124" s="167" t="s">
        <v>16</v>
      </c>
      <c r="E124" s="167" t="s">
        <v>17</v>
      </c>
      <c r="F124" s="524"/>
      <c r="G124" s="526"/>
      <c r="H124" s="526"/>
      <c r="I124" s="526"/>
      <c r="J124" s="526"/>
    </row>
    <row r="125" spans="2:11" s="103" customFormat="1" ht="17.25" customHeight="1" thickBot="1" x14ac:dyDescent="0.3">
      <c r="B125" s="135" t="s">
        <v>23</v>
      </c>
      <c r="C125" s="445"/>
      <c r="D125" s="446"/>
      <c r="E125" s="447"/>
      <c r="F125" s="448" t="s">
        <v>2</v>
      </c>
      <c r="G125" s="449"/>
      <c r="H125" s="449"/>
      <c r="I125" s="450"/>
      <c r="J125" s="136" t="e">
        <f>SUM(J126:J128)</f>
        <v>#REF!</v>
      </c>
    </row>
    <row r="126" spans="2:11" s="103" customFormat="1" ht="17.25" customHeight="1" x14ac:dyDescent="0.25">
      <c r="B126" s="115" t="s">
        <v>24</v>
      </c>
      <c r="C126" s="116" t="s">
        <v>55</v>
      </c>
      <c r="D126" s="116" t="s">
        <v>59</v>
      </c>
      <c r="E126" s="116" t="s">
        <v>55</v>
      </c>
      <c r="F126" s="117" t="s">
        <v>18</v>
      </c>
      <c r="G126" s="118" t="s">
        <v>3</v>
      </c>
      <c r="H126" s="119">
        <f>ROUND(H127*1.5,0)</f>
        <v>125</v>
      </c>
      <c r="I126" s="120" t="e">
        <f>#REF!</f>
        <v>#REF!</v>
      </c>
      <c r="J126" s="121" t="e">
        <f>H126*I126</f>
        <v>#REF!</v>
      </c>
    </row>
    <row r="127" spans="2:11" s="103" customFormat="1" ht="17.25" customHeight="1" x14ac:dyDescent="0.25">
      <c r="B127" s="123" t="s">
        <v>26</v>
      </c>
      <c r="C127" s="116" t="s">
        <v>57</v>
      </c>
      <c r="D127" s="116" t="s">
        <v>59</v>
      </c>
      <c r="E127" s="116" t="s">
        <v>57</v>
      </c>
      <c r="F127" s="124" t="s">
        <v>25</v>
      </c>
      <c r="G127" s="125" t="s">
        <v>6</v>
      </c>
      <c r="H127" s="126">
        <v>83</v>
      </c>
      <c r="I127" s="127" t="e">
        <f>#REF!</f>
        <v>#REF!</v>
      </c>
      <c r="J127" s="128" t="e">
        <f>H127*I127</f>
        <v>#REF!</v>
      </c>
    </row>
    <row r="128" spans="2:11" s="103" customFormat="1" ht="17.25" customHeight="1" thickBot="1" x14ac:dyDescent="0.3">
      <c r="B128" s="129" t="s">
        <v>27</v>
      </c>
      <c r="C128" s="116" t="s">
        <v>58</v>
      </c>
      <c r="D128" s="116">
        <v>200</v>
      </c>
      <c r="E128" s="116" t="s">
        <v>59</v>
      </c>
      <c r="F128" s="130" t="s">
        <v>56</v>
      </c>
      <c r="G128" s="131" t="s">
        <v>3</v>
      </c>
      <c r="H128" s="132">
        <f>ROUND(H126,0)</f>
        <v>125</v>
      </c>
      <c r="I128" s="133">
        <f>'200.1'!I38</f>
        <v>0</v>
      </c>
      <c r="J128" s="134">
        <f t="shared" ref="J128" si="4">H128*I128</f>
        <v>0</v>
      </c>
    </row>
    <row r="129" spans="2:12" s="103" customFormat="1" ht="17.25" customHeight="1" thickBot="1" x14ac:dyDescent="0.3">
      <c r="B129" s="135" t="s">
        <v>28</v>
      </c>
      <c r="C129" s="445"/>
      <c r="D129" s="446"/>
      <c r="E129" s="447"/>
      <c r="F129" s="448" t="s">
        <v>31</v>
      </c>
      <c r="G129" s="449"/>
      <c r="H129" s="449"/>
      <c r="I129" s="450"/>
      <c r="J129" s="136">
        <f>J130</f>
        <v>0</v>
      </c>
    </row>
    <row r="130" spans="2:12" s="103" customFormat="1" ht="17.25" customHeight="1" thickBot="1" x14ac:dyDescent="0.3">
      <c r="B130" s="154" t="s">
        <v>30</v>
      </c>
      <c r="C130" s="116" t="s">
        <v>60</v>
      </c>
      <c r="D130" s="116">
        <v>200</v>
      </c>
      <c r="E130" s="116" t="s">
        <v>59</v>
      </c>
      <c r="F130" s="155" t="s">
        <v>29</v>
      </c>
      <c r="G130" s="156" t="s">
        <v>7</v>
      </c>
      <c r="H130" s="157">
        <f>ROUND((((H127/1.5)*2)*(0.4*0.4*1)),0)</f>
        <v>18</v>
      </c>
      <c r="I130" s="158">
        <f>'200.2'!I38</f>
        <v>0</v>
      </c>
      <c r="J130" s="159">
        <f>H130*I130</f>
        <v>0</v>
      </c>
    </row>
    <row r="131" spans="2:12" s="103" customFormat="1" ht="17.25" customHeight="1" thickBot="1" x14ac:dyDescent="0.3">
      <c r="B131" s="135" t="s">
        <v>33</v>
      </c>
      <c r="C131" s="445"/>
      <c r="D131" s="446"/>
      <c r="E131" s="447"/>
      <c r="F131" s="448" t="s">
        <v>32</v>
      </c>
      <c r="G131" s="449"/>
      <c r="H131" s="449"/>
      <c r="I131" s="450"/>
      <c r="J131" s="136" t="e">
        <f>J132</f>
        <v>#REF!</v>
      </c>
    </row>
    <row r="132" spans="2:12" s="103" customFormat="1" ht="19.5" customHeight="1" thickBot="1" x14ac:dyDescent="0.3">
      <c r="B132" s="142" t="s">
        <v>34</v>
      </c>
      <c r="C132" s="116" t="s">
        <v>61</v>
      </c>
      <c r="D132" s="116">
        <v>200</v>
      </c>
      <c r="E132" s="116" t="s">
        <v>59</v>
      </c>
      <c r="F132" s="160" t="s">
        <v>35</v>
      </c>
      <c r="G132" s="161" t="s">
        <v>7</v>
      </c>
      <c r="H132" s="145">
        <f>H130</f>
        <v>18</v>
      </c>
      <c r="I132" s="146" t="e">
        <f>#REF!</f>
        <v>#REF!</v>
      </c>
      <c r="J132" s="162" t="e">
        <f>H132*I132</f>
        <v>#REF!</v>
      </c>
    </row>
    <row r="133" spans="2:12" s="103" customFormat="1" ht="17.25" customHeight="1" thickBot="1" x14ac:dyDescent="0.3">
      <c r="B133" s="135" t="s">
        <v>36</v>
      </c>
      <c r="C133" s="445"/>
      <c r="D133" s="446"/>
      <c r="E133" s="447"/>
      <c r="F133" s="448" t="s">
        <v>4</v>
      </c>
      <c r="G133" s="449"/>
      <c r="H133" s="449"/>
      <c r="I133" s="450"/>
      <c r="J133" s="136">
        <f>SUM(J134:J135)</f>
        <v>0</v>
      </c>
    </row>
    <row r="134" spans="2:12" s="103" customFormat="1" ht="35.25" customHeight="1" x14ac:dyDescent="0.25">
      <c r="B134" s="115" t="s">
        <v>46</v>
      </c>
      <c r="C134" s="116" t="s">
        <v>62</v>
      </c>
      <c r="D134" s="137">
        <v>700</v>
      </c>
      <c r="E134" s="116" t="s">
        <v>59</v>
      </c>
      <c r="F134" s="138" t="s">
        <v>41</v>
      </c>
      <c r="G134" s="118" t="s">
        <v>5</v>
      </c>
      <c r="H134" s="119">
        <f>ROUND(36,0)</f>
        <v>36</v>
      </c>
      <c r="I134" s="120">
        <f>'700.2'!I38</f>
        <v>0</v>
      </c>
      <c r="J134" s="121">
        <f>H134*I134</f>
        <v>0</v>
      </c>
    </row>
    <row r="135" spans="2:12" s="103" customFormat="1" ht="38.25" customHeight="1" thickBot="1" x14ac:dyDescent="0.3">
      <c r="B135" s="129" t="s">
        <v>47</v>
      </c>
      <c r="C135" s="116" t="s">
        <v>63</v>
      </c>
      <c r="D135" s="139">
        <v>400</v>
      </c>
      <c r="E135" s="116" t="s">
        <v>59</v>
      </c>
      <c r="F135" s="140" t="s">
        <v>42</v>
      </c>
      <c r="G135" s="131" t="s">
        <v>6</v>
      </c>
      <c r="H135" s="133">
        <f>H127*3</f>
        <v>249</v>
      </c>
      <c r="I135" s="133">
        <f>'400.1'!I38</f>
        <v>0</v>
      </c>
      <c r="J135" s="134">
        <f>H135*I135</f>
        <v>0</v>
      </c>
    </row>
    <row r="136" spans="2:12" s="103" customFormat="1" ht="17.25" customHeight="1" thickBot="1" x14ac:dyDescent="0.3">
      <c r="B136" s="141" t="s">
        <v>50</v>
      </c>
      <c r="C136" s="445"/>
      <c r="D136" s="446"/>
      <c r="E136" s="447"/>
      <c r="F136" s="448" t="s">
        <v>8</v>
      </c>
      <c r="G136" s="449"/>
      <c r="H136" s="449"/>
      <c r="I136" s="450"/>
      <c r="J136" s="136">
        <f>J137</f>
        <v>0</v>
      </c>
    </row>
    <row r="137" spans="2:12" s="103" customFormat="1" ht="69" customHeight="1" thickBot="1" x14ac:dyDescent="0.3">
      <c r="B137" s="142" t="s">
        <v>48</v>
      </c>
      <c r="C137" s="116" t="s">
        <v>64</v>
      </c>
      <c r="D137" s="116">
        <v>500</v>
      </c>
      <c r="E137" s="116" t="s">
        <v>59</v>
      </c>
      <c r="F137" s="143" t="s">
        <v>169</v>
      </c>
      <c r="G137" s="144" t="s">
        <v>6</v>
      </c>
      <c r="H137" s="145">
        <f>H127</f>
        <v>83</v>
      </c>
      <c r="I137" s="146">
        <f>'500.6'!I38</f>
        <v>0</v>
      </c>
      <c r="J137" s="121">
        <f>H137*I137</f>
        <v>0</v>
      </c>
    </row>
    <row r="138" spans="2:12" s="103" customFormat="1" ht="17.25" customHeight="1" thickBot="1" x14ac:dyDescent="0.3">
      <c r="B138" s="141" t="s">
        <v>51</v>
      </c>
      <c r="C138" s="445"/>
      <c r="D138" s="446"/>
      <c r="E138" s="447"/>
      <c r="F138" s="448" t="s">
        <v>9</v>
      </c>
      <c r="G138" s="449"/>
      <c r="H138" s="449"/>
      <c r="I138" s="450"/>
      <c r="J138" s="136">
        <f>J139</f>
        <v>0</v>
      </c>
    </row>
    <row r="139" spans="2:12" s="103" customFormat="1" ht="33.75" thickBot="1" x14ac:dyDescent="0.3">
      <c r="B139" s="147" t="s">
        <v>49</v>
      </c>
      <c r="C139" s="148" t="s">
        <v>144</v>
      </c>
      <c r="D139" s="148">
        <v>500</v>
      </c>
      <c r="E139" s="148" t="s">
        <v>59</v>
      </c>
      <c r="F139" s="149" t="s">
        <v>180</v>
      </c>
      <c r="G139" s="150" t="s">
        <v>6</v>
      </c>
      <c r="H139" s="151">
        <f>H127</f>
        <v>83</v>
      </c>
      <c r="I139" s="152">
        <f>'500.9'!I38</f>
        <v>0</v>
      </c>
      <c r="J139" s="153">
        <f>H139*I139</f>
        <v>0</v>
      </c>
    </row>
    <row r="140" spans="2:12" s="103" customFormat="1" ht="17.25" customHeight="1" thickBot="1" x14ac:dyDescent="0.3">
      <c r="B140" s="527"/>
      <c r="C140" s="528"/>
      <c r="D140" s="528"/>
      <c r="E140" s="528"/>
      <c r="F140" s="529"/>
      <c r="G140" s="536" t="s">
        <v>43</v>
      </c>
      <c r="H140" s="537"/>
      <c r="I140" s="538"/>
      <c r="J140" s="136" t="e">
        <f>J125+J129+J131+J133+J136+J138</f>
        <v>#REF!</v>
      </c>
    </row>
    <row r="141" spans="2:12" s="103" customFormat="1" ht="17.25" customHeight="1" thickBot="1" x14ac:dyDescent="0.3">
      <c r="B141" s="530"/>
      <c r="C141" s="531"/>
      <c r="D141" s="531"/>
      <c r="E141" s="531"/>
      <c r="F141" s="532"/>
      <c r="G141" s="536" t="s">
        <v>44</v>
      </c>
      <c r="H141" s="537"/>
      <c r="I141" s="170">
        <v>0.25</v>
      </c>
      <c r="J141" s="171" t="e">
        <f>J140*I141</f>
        <v>#REF!</v>
      </c>
    </row>
    <row r="142" spans="2:12" s="103" customFormat="1" ht="17.25" customHeight="1" thickBot="1" x14ac:dyDescent="0.3">
      <c r="B142" s="530"/>
      <c r="C142" s="531"/>
      <c r="D142" s="531"/>
      <c r="E142" s="531"/>
      <c r="F142" s="532"/>
      <c r="G142" s="536" t="s">
        <v>45</v>
      </c>
      <c r="H142" s="537"/>
      <c r="I142" s="170">
        <v>0.05</v>
      </c>
      <c r="J142" s="171" t="e">
        <f>J140*I142</f>
        <v>#REF!</v>
      </c>
    </row>
    <row r="143" spans="2:12" s="103" customFormat="1" ht="17.25" customHeight="1" thickBot="1" x14ac:dyDescent="0.3">
      <c r="B143" s="533"/>
      <c r="C143" s="534"/>
      <c r="D143" s="534"/>
      <c r="E143" s="534"/>
      <c r="F143" s="535"/>
      <c r="G143" s="536" t="s">
        <v>113</v>
      </c>
      <c r="H143" s="537"/>
      <c r="I143" s="538"/>
      <c r="J143" s="172" t="e">
        <f>J140+J141+J142</f>
        <v>#REF!</v>
      </c>
    </row>
    <row r="144" spans="2:12" s="74" customFormat="1" ht="15.75" thickBot="1" x14ac:dyDescent="0.3">
      <c r="B144" s="173"/>
      <c r="C144" s="174"/>
      <c r="D144" s="174"/>
      <c r="E144" s="174"/>
      <c r="F144" s="174"/>
      <c r="G144" s="174"/>
      <c r="H144" s="174"/>
      <c r="I144" s="174"/>
      <c r="J144" s="175"/>
      <c r="K144" s="103"/>
      <c r="L144" s="102"/>
    </row>
    <row r="145" spans="2:12" s="106" customFormat="1" ht="15.75" thickBot="1" x14ac:dyDescent="0.3">
      <c r="B145" s="495" t="s">
        <v>52</v>
      </c>
      <c r="C145" s="496"/>
      <c r="D145" s="496"/>
      <c r="E145" s="497"/>
      <c r="F145" s="498" t="s">
        <v>118</v>
      </c>
      <c r="G145" s="499"/>
      <c r="H145" s="499"/>
      <c r="I145" s="499"/>
      <c r="J145" s="500"/>
      <c r="K145" s="103"/>
      <c r="L145" s="107"/>
    </row>
    <row r="146" spans="2:12" s="106" customFormat="1" ht="33" customHeight="1" thickBot="1" x14ac:dyDescent="0.3">
      <c r="B146" s="501" t="s">
        <v>148</v>
      </c>
      <c r="C146" s="502"/>
      <c r="D146" s="502"/>
      <c r="E146" s="503"/>
      <c r="F146" s="504" t="s">
        <v>183</v>
      </c>
      <c r="G146" s="505"/>
      <c r="H146" s="505"/>
      <c r="I146" s="505"/>
      <c r="J146" s="506"/>
      <c r="K146" s="103"/>
      <c r="L146" s="107"/>
    </row>
    <row r="147" spans="2:12" s="106" customFormat="1" ht="15.75" thickBot="1" x14ac:dyDescent="0.3">
      <c r="B147" s="495" t="s">
        <v>37</v>
      </c>
      <c r="C147" s="496"/>
      <c r="D147" s="496"/>
      <c r="E147" s="497"/>
      <c r="F147" s="501" t="s">
        <v>115</v>
      </c>
      <c r="G147" s="502"/>
      <c r="H147" s="502"/>
      <c r="I147" s="502"/>
      <c r="J147" s="503"/>
      <c r="K147" s="103" t="s">
        <v>171</v>
      </c>
      <c r="L147" s="107"/>
    </row>
    <row r="148" spans="2:12" s="106" customFormat="1" ht="15.75" thickBot="1" x14ac:dyDescent="0.3">
      <c r="B148" s="495" t="s">
        <v>22</v>
      </c>
      <c r="C148" s="496"/>
      <c r="D148" s="496"/>
      <c r="E148" s="497"/>
      <c r="F148" s="495" t="s">
        <v>28</v>
      </c>
      <c r="G148" s="496"/>
      <c r="H148" s="496"/>
      <c r="I148" s="496"/>
      <c r="J148" s="497"/>
      <c r="K148" s="103"/>
      <c r="L148" s="107"/>
    </row>
    <row r="149" spans="2:12" s="106" customFormat="1" ht="15.75" thickBot="1" x14ac:dyDescent="0.3">
      <c r="B149" s="495" t="s">
        <v>38</v>
      </c>
      <c r="C149" s="496"/>
      <c r="D149" s="496"/>
      <c r="E149" s="497"/>
      <c r="F149" s="495" t="s">
        <v>116</v>
      </c>
      <c r="G149" s="496"/>
      <c r="H149" s="496"/>
      <c r="I149" s="496"/>
      <c r="J149" s="497"/>
      <c r="K149" s="103"/>
      <c r="L149" s="107"/>
    </row>
    <row r="150" spans="2:12" s="106" customFormat="1" ht="15.75" thickBot="1" x14ac:dyDescent="0.3">
      <c r="B150" s="191"/>
      <c r="C150" s="192"/>
      <c r="D150" s="192"/>
      <c r="E150" s="192"/>
      <c r="F150" s="192"/>
      <c r="G150" s="192"/>
      <c r="H150" s="192"/>
      <c r="I150" s="192"/>
      <c r="J150" s="193"/>
      <c r="K150" s="103"/>
      <c r="L150" s="107"/>
    </row>
    <row r="151" spans="2:12" s="106" customFormat="1" ht="15.75" thickBot="1" x14ac:dyDescent="0.3">
      <c r="B151" s="519" t="s">
        <v>13</v>
      </c>
      <c r="C151" s="519" t="s">
        <v>14</v>
      </c>
      <c r="D151" s="521" t="s">
        <v>15</v>
      </c>
      <c r="E151" s="522"/>
      <c r="F151" s="523" t="s">
        <v>1</v>
      </c>
      <c r="G151" s="525" t="s">
        <v>11</v>
      </c>
      <c r="H151" s="525" t="s">
        <v>12</v>
      </c>
      <c r="I151" s="525" t="s">
        <v>39</v>
      </c>
      <c r="J151" s="525" t="s">
        <v>40</v>
      </c>
      <c r="K151" s="103"/>
      <c r="L151" s="107"/>
    </row>
    <row r="152" spans="2:12" s="106" customFormat="1" ht="15.75" thickBot="1" x14ac:dyDescent="0.3">
      <c r="B152" s="520"/>
      <c r="C152" s="520"/>
      <c r="D152" s="167" t="s">
        <v>16</v>
      </c>
      <c r="E152" s="167" t="s">
        <v>17</v>
      </c>
      <c r="F152" s="524"/>
      <c r="G152" s="526"/>
      <c r="H152" s="526"/>
      <c r="I152" s="526"/>
      <c r="J152" s="526"/>
      <c r="K152" s="103"/>
      <c r="L152" s="107"/>
    </row>
    <row r="153" spans="2:12" s="106" customFormat="1" ht="17.25" thickBot="1" x14ac:dyDescent="0.3">
      <c r="B153" s="135" t="s">
        <v>23</v>
      </c>
      <c r="C153" s="445"/>
      <c r="D153" s="446"/>
      <c r="E153" s="447"/>
      <c r="F153" s="448" t="s">
        <v>2</v>
      </c>
      <c r="G153" s="449"/>
      <c r="H153" s="449"/>
      <c r="I153" s="450"/>
      <c r="J153" s="136" t="e">
        <f>SUM(J154:J156)</f>
        <v>#REF!</v>
      </c>
      <c r="K153" s="103"/>
      <c r="L153" s="107"/>
    </row>
    <row r="154" spans="2:12" s="106" customFormat="1" ht="16.5" x14ac:dyDescent="0.25">
      <c r="B154" s="115" t="s">
        <v>24</v>
      </c>
      <c r="C154" s="116" t="s">
        <v>55</v>
      </c>
      <c r="D154" s="116" t="s">
        <v>59</v>
      </c>
      <c r="E154" s="116" t="s">
        <v>55</v>
      </c>
      <c r="F154" s="117" t="s">
        <v>18</v>
      </c>
      <c r="G154" s="118" t="s">
        <v>3</v>
      </c>
      <c r="H154" s="119">
        <f>ROUND(H155*2.5,0)</f>
        <v>118</v>
      </c>
      <c r="I154" s="120" t="e">
        <f>#REF!</f>
        <v>#REF!</v>
      </c>
      <c r="J154" s="121" t="e">
        <f>H154*I154</f>
        <v>#REF!</v>
      </c>
      <c r="K154" s="103"/>
      <c r="L154" s="107"/>
    </row>
    <row r="155" spans="2:12" s="106" customFormat="1" ht="16.5" x14ac:dyDescent="0.25">
      <c r="B155" s="123" t="s">
        <v>26</v>
      </c>
      <c r="C155" s="116" t="s">
        <v>57</v>
      </c>
      <c r="D155" s="116" t="s">
        <v>59</v>
      </c>
      <c r="E155" s="116" t="s">
        <v>57</v>
      </c>
      <c r="F155" s="124" t="s">
        <v>25</v>
      </c>
      <c r="G155" s="125" t="s">
        <v>6</v>
      </c>
      <c r="H155" s="126">
        <v>47</v>
      </c>
      <c r="I155" s="127" t="e">
        <f>#REF!</f>
        <v>#REF!</v>
      </c>
      <c r="J155" s="128" t="e">
        <f>H155*I155</f>
        <v>#REF!</v>
      </c>
      <c r="K155" s="103"/>
      <c r="L155" s="107"/>
    </row>
    <row r="156" spans="2:12" s="106" customFormat="1" ht="17.25" thickBot="1" x14ac:dyDescent="0.3">
      <c r="B156" s="129" t="s">
        <v>27</v>
      </c>
      <c r="C156" s="116" t="s">
        <v>58</v>
      </c>
      <c r="D156" s="116">
        <v>200</v>
      </c>
      <c r="E156" s="116" t="s">
        <v>59</v>
      </c>
      <c r="F156" s="130" t="s">
        <v>56</v>
      </c>
      <c r="G156" s="131" t="s">
        <v>3</v>
      </c>
      <c r="H156" s="132">
        <f>ROUND(H154,0)</f>
        <v>118</v>
      </c>
      <c r="I156" s="133">
        <f>'200.1'!I38</f>
        <v>0</v>
      </c>
      <c r="J156" s="134">
        <f t="shared" ref="J156" si="5">H156*I156</f>
        <v>0</v>
      </c>
      <c r="K156" s="103"/>
      <c r="L156" s="107"/>
    </row>
    <row r="157" spans="2:12" s="106" customFormat="1" ht="17.25" thickBot="1" x14ac:dyDescent="0.3">
      <c r="B157" s="135" t="s">
        <v>28</v>
      </c>
      <c r="C157" s="445"/>
      <c r="D157" s="446"/>
      <c r="E157" s="447"/>
      <c r="F157" s="448" t="s">
        <v>31</v>
      </c>
      <c r="G157" s="449"/>
      <c r="H157" s="449"/>
      <c r="I157" s="450"/>
      <c r="J157" s="136">
        <f>J158</f>
        <v>0</v>
      </c>
      <c r="K157" s="103"/>
      <c r="L157" s="107"/>
    </row>
    <row r="158" spans="2:12" s="106" customFormat="1" ht="17.25" thickBot="1" x14ac:dyDescent="0.3">
      <c r="B158" s="154" t="s">
        <v>30</v>
      </c>
      <c r="C158" s="116" t="s">
        <v>60</v>
      </c>
      <c r="D158" s="116">
        <v>200</v>
      </c>
      <c r="E158" s="116" t="s">
        <v>59</v>
      </c>
      <c r="F158" s="155" t="s">
        <v>29</v>
      </c>
      <c r="G158" s="156" t="s">
        <v>7</v>
      </c>
      <c r="H158" s="157">
        <f>ROUND((((H155/2.5)*3)*(0.4*0.4*1)),0)</f>
        <v>9</v>
      </c>
      <c r="I158" s="158">
        <f>'200.2'!I38</f>
        <v>0</v>
      </c>
      <c r="J158" s="159">
        <f>H158*I158</f>
        <v>0</v>
      </c>
      <c r="K158" s="103"/>
      <c r="L158" s="107"/>
    </row>
    <row r="159" spans="2:12" s="106" customFormat="1" ht="17.25" thickBot="1" x14ac:dyDescent="0.3">
      <c r="B159" s="135" t="s">
        <v>33</v>
      </c>
      <c r="C159" s="445"/>
      <c r="D159" s="446"/>
      <c r="E159" s="447"/>
      <c r="F159" s="448" t="s">
        <v>32</v>
      </c>
      <c r="G159" s="449"/>
      <c r="H159" s="449"/>
      <c r="I159" s="450"/>
      <c r="J159" s="136" t="e">
        <f>J160</f>
        <v>#REF!</v>
      </c>
      <c r="K159" s="103"/>
      <c r="L159" s="107"/>
    </row>
    <row r="160" spans="2:12" s="106" customFormat="1" ht="20.25" customHeight="1" thickBot="1" x14ac:dyDescent="0.3">
      <c r="B160" s="142" t="s">
        <v>34</v>
      </c>
      <c r="C160" s="116" t="s">
        <v>61</v>
      </c>
      <c r="D160" s="116">
        <v>200</v>
      </c>
      <c r="E160" s="116" t="s">
        <v>59</v>
      </c>
      <c r="F160" s="160" t="s">
        <v>35</v>
      </c>
      <c r="G160" s="161" t="s">
        <v>7</v>
      </c>
      <c r="H160" s="145">
        <f>H158</f>
        <v>9</v>
      </c>
      <c r="I160" s="146" t="e">
        <f>#REF!</f>
        <v>#REF!</v>
      </c>
      <c r="J160" s="162" t="e">
        <f>H160*I160</f>
        <v>#REF!</v>
      </c>
      <c r="K160" s="103"/>
      <c r="L160" s="107"/>
    </row>
    <row r="161" spans="2:12" s="106" customFormat="1" ht="17.25" thickBot="1" x14ac:dyDescent="0.3">
      <c r="B161" s="135" t="s">
        <v>36</v>
      </c>
      <c r="C161" s="445"/>
      <c r="D161" s="446"/>
      <c r="E161" s="447"/>
      <c r="F161" s="448" t="s">
        <v>4</v>
      </c>
      <c r="G161" s="449"/>
      <c r="H161" s="449"/>
      <c r="I161" s="450"/>
      <c r="J161" s="136">
        <f>SUM(J162:J163)</f>
        <v>0</v>
      </c>
      <c r="K161" s="103"/>
      <c r="L161" s="107"/>
    </row>
    <row r="162" spans="2:12" s="106" customFormat="1" ht="33" x14ac:dyDescent="0.25">
      <c r="B162" s="115" t="s">
        <v>46</v>
      </c>
      <c r="C162" s="116" t="s">
        <v>62</v>
      </c>
      <c r="D162" s="137">
        <v>700</v>
      </c>
      <c r="E162" s="116" t="s">
        <v>59</v>
      </c>
      <c r="F162" s="138" t="s">
        <v>41</v>
      </c>
      <c r="G162" s="118" t="s">
        <v>5</v>
      </c>
      <c r="H162" s="119">
        <f>ROUND(52,0)</f>
        <v>52</v>
      </c>
      <c r="I162" s="120">
        <f>'700.2'!I38</f>
        <v>0</v>
      </c>
      <c r="J162" s="121">
        <f>H162*I162</f>
        <v>0</v>
      </c>
      <c r="K162" s="103"/>
      <c r="L162" s="107"/>
    </row>
    <row r="163" spans="2:12" s="106" customFormat="1" ht="33.75" thickBot="1" x14ac:dyDescent="0.3">
      <c r="B163" s="129" t="s">
        <v>47</v>
      </c>
      <c r="C163" s="116" t="s">
        <v>63</v>
      </c>
      <c r="D163" s="139">
        <v>400</v>
      </c>
      <c r="E163" s="116" t="s">
        <v>59</v>
      </c>
      <c r="F163" s="140" t="s">
        <v>42</v>
      </c>
      <c r="G163" s="131" t="s">
        <v>6</v>
      </c>
      <c r="H163" s="133">
        <f>H155*5</f>
        <v>235</v>
      </c>
      <c r="I163" s="133">
        <f>'400.1'!I38</f>
        <v>0</v>
      </c>
      <c r="J163" s="134">
        <f>H163*I163</f>
        <v>0</v>
      </c>
      <c r="K163" s="103"/>
      <c r="L163" s="107"/>
    </row>
    <row r="164" spans="2:12" s="106" customFormat="1" ht="17.25" thickBot="1" x14ac:dyDescent="0.3">
      <c r="B164" s="141" t="s">
        <v>50</v>
      </c>
      <c r="C164" s="445"/>
      <c r="D164" s="446"/>
      <c r="E164" s="447"/>
      <c r="F164" s="448" t="s">
        <v>8</v>
      </c>
      <c r="G164" s="449"/>
      <c r="H164" s="449"/>
      <c r="I164" s="450"/>
      <c r="J164" s="136" t="e">
        <f>J165</f>
        <v>#REF!</v>
      </c>
      <c r="K164" s="103"/>
      <c r="L164" s="107"/>
    </row>
    <row r="165" spans="2:12" s="106" customFormat="1" ht="69" customHeight="1" thickBot="1" x14ac:dyDescent="0.3">
      <c r="B165" s="142" t="s">
        <v>48</v>
      </c>
      <c r="C165" s="116" t="s">
        <v>184</v>
      </c>
      <c r="D165" s="116">
        <v>500</v>
      </c>
      <c r="E165" s="116" t="s">
        <v>59</v>
      </c>
      <c r="F165" s="143" t="s">
        <v>185</v>
      </c>
      <c r="G165" s="144" t="s">
        <v>6</v>
      </c>
      <c r="H165" s="145">
        <f>H155</f>
        <v>47</v>
      </c>
      <c r="I165" s="146" t="e">
        <f>#REF!</f>
        <v>#REF!</v>
      </c>
      <c r="J165" s="121" t="e">
        <f>H165*I165</f>
        <v>#REF!</v>
      </c>
      <c r="K165" s="103"/>
      <c r="L165" s="107"/>
    </row>
    <row r="166" spans="2:12" s="106" customFormat="1" ht="17.25" thickBot="1" x14ac:dyDescent="0.3">
      <c r="B166" s="141" t="s">
        <v>51</v>
      </c>
      <c r="C166" s="445"/>
      <c r="D166" s="446"/>
      <c r="E166" s="447"/>
      <c r="F166" s="448" t="s">
        <v>9</v>
      </c>
      <c r="G166" s="449"/>
      <c r="H166" s="449"/>
      <c r="I166" s="450"/>
      <c r="J166" s="136" t="e">
        <f>J167</f>
        <v>#REF!</v>
      </c>
      <c r="K166" s="103"/>
      <c r="L166" s="107"/>
    </row>
    <row r="167" spans="2:12" s="106" customFormat="1" ht="50.25" thickBot="1" x14ac:dyDescent="0.3">
      <c r="B167" s="147" t="s">
        <v>49</v>
      </c>
      <c r="C167" s="148" t="s">
        <v>187</v>
      </c>
      <c r="D167" s="148">
        <v>500</v>
      </c>
      <c r="E167" s="148" t="s">
        <v>59</v>
      </c>
      <c r="F167" s="149" t="s">
        <v>186</v>
      </c>
      <c r="G167" s="150" t="s">
        <v>6</v>
      </c>
      <c r="H167" s="151">
        <f>H155</f>
        <v>47</v>
      </c>
      <c r="I167" s="152" t="e">
        <f>#REF!</f>
        <v>#REF!</v>
      </c>
      <c r="J167" s="153" t="e">
        <f>H167*I167</f>
        <v>#REF!</v>
      </c>
      <c r="K167" s="103"/>
      <c r="L167" s="107"/>
    </row>
    <row r="168" spans="2:12" s="106" customFormat="1" ht="17.25" thickBot="1" x14ac:dyDescent="0.3">
      <c r="B168" s="527"/>
      <c r="C168" s="528"/>
      <c r="D168" s="528"/>
      <c r="E168" s="528"/>
      <c r="F168" s="529"/>
      <c r="G168" s="536" t="s">
        <v>43</v>
      </c>
      <c r="H168" s="537"/>
      <c r="I168" s="538"/>
      <c r="J168" s="136" t="e">
        <f>J153+J157+J159+J161+J164+J166</f>
        <v>#REF!</v>
      </c>
      <c r="K168" s="103"/>
      <c r="L168" s="107"/>
    </row>
    <row r="169" spans="2:12" s="106" customFormat="1" ht="17.25" thickBot="1" x14ac:dyDescent="0.3">
      <c r="B169" s="530"/>
      <c r="C169" s="531"/>
      <c r="D169" s="531"/>
      <c r="E169" s="531"/>
      <c r="F169" s="532"/>
      <c r="G169" s="536" t="s">
        <v>44</v>
      </c>
      <c r="H169" s="537"/>
      <c r="I169" s="170">
        <v>0.25</v>
      </c>
      <c r="J169" s="171" t="e">
        <f>J168*I169</f>
        <v>#REF!</v>
      </c>
      <c r="K169" s="103"/>
      <c r="L169" s="107"/>
    </row>
    <row r="170" spans="2:12" s="106" customFormat="1" ht="17.25" thickBot="1" x14ac:dyDescent="0.3">
      <c r="B170" s="530"/>
      <c r="C170" s="531"/>
      <c r="D170" s="531"/>
      <c r="E170" s="531"/>
      <c r="F170" s="532"/>
      <c r="G170" s="536" t="s">
        <v>45</v>
      </c>
      <c r="H170" s="537"/>
      <c r="I170" s="170">
        <v>0.05</v>
      </c>
      <c r="J170" s="171" t="e">
        <f>J168*I170</f>
        <v>#REF!</v>
      </c>
      <c r="K170" s="103"/>
      <c r="L170" s="107"/>
    </row>
    <row r="171" spans="2:12" s="106" customFormat="1" ht="17.25" thickBot="1" x14ac:dyDescent="0.3">
      <c r="B171" s="533"/>
      <c r="C171" s="534"/>
      <c r="D171" s="534"/>
      <c r="E171" s="534"/>
      <c r="F171" s="535"/>
      <c r="G171" s="536" t="s">
        <v>147</v>
      </c>
      <c r="H171" s="537"/>
      <c r="I171" s="538"/>
      <c r="J171" s="172" t="e">
        <f>J168+J169+J170</f>
        <v>#REF!</v>
      </c>
      <c r="K171" s="103"/>
      <c r="L171" s="107" t="e">
        <f>110000000-J171</f>
        <v>#REF!</v>
      </c>
    </row>
    <row r="172" spans="2:12" s="103" customFormat="1" ht="15.75" thickBot="1" x14ac:dyDescent="0.3">
      <c r="B172" s="173"/>
      <c r="C172" s="174"/>
      <c r="D172" s="174"/>
      <c r="E172" s="174"/>
      <c r="F172" s="174"/>
      <c r="G172" s="174"/>
      <c r="H172" s="174"/>
      <c r="I172" s="174"/>
      <c r="J172" s="175"/>
      <c r="L172" s="163"/>
    </row>
    <row r="173" spans="2:12" s="103" customFormat="1" ht="18" customHeight="1" thickBot="1" x14ac:dyDescent="0.3">
      <c r="B173" s="495" t="s">
        <v>52</v>
      </c>
      <c r="C173" s="496"/>
      <c r="D173" s="496"/>
      <c r="E173" s="497"/>
      <c r="F173" s="498" t="s">
        <v>118</v>
      </c>
      <c r="G173" s="499"/>
      <c r="H173" s="499"/>
      <c r="I173" s="499"/>
      <c r="J173" s="500"/>
    </row>
    <row r="174" spans="2:12" s="103" customFormat="1" ht="30" customHeight="1" thickBot="1" x14ac:dyDescent="0.3">
      <c r="B174" s="501" t="s">
        <v>146</v>
      </c>
      <c r="C174" s="502"/>
      <c r="D174" s="502"/>
      <c r="E174" s="503"/>
      <c r="F174" s="504" t="s">
        <v>140</v>
      </c>
      <c r="G174" s="505"/>
      <c r="H174" s="505"/>
      <c r="I174" s="505"/>
      <c r="J174" s="506"/>
      <c r="K174" s="105" t="s">
        <v>172</v>
      </c>
    </row>
    <row r="175" spans="2:12" s="103" customFormat="1" ht="15.75" thickBot="1" x14ac:dyDescent="0.3">
      <c r="B175" s="495" t="s">
        <v>37</v>
      </c>
      <c r="C175" s="496"/>
      <c r="D175" s="496"/>
      <c r="E175" s="497"/>
      <c r="F175" s="501" t="s">
        <v>166</v>
      </c>
      <c r="G175" s="502"/>
      <c r="H175" s="502"/>
      <c r="I175" s="502"/>
      <c r="J175" s="503"/>
    </row>
    <row r="176" spans="2:12" s="103" customFormat="1" ht="15.75" thickBot="1" x14ac:dyDescent="0.3">
      <c r="B176" s="495" t="s">
        <v>22</v>
      </c>
      <c r="C176" s="496"/>
      <c r="D176" s="496"/>
      <c r="E176" s="497"/>
      <c r="F176" s="495" t="s">
        <v>141</v>
      </c>
      <c r="G176" s="496"/>
      <c r="H176" s="496"/>
      <c r="I176" s="496"/>
      <c r="J176" s="497"/>
    </row>
    <row r="177" spans="2:18" s="103" customFormat="1" ht="15.75" thickBot="1" x14ac:dyDescent="0.3">
      <c r="B177" s="495" t="s">
        <v>38</v>
      </c>
      <c r="C177" s="496"/>
      <c r="D177" s="496"/>
      <c r="E177" s="497"/>
      <c r="F177" s="495" t="s">
        <v>165</v>
      </c>
      <c r="G177" s="496"/>
      <c r="H177" s="496"/>
      <c r="I177" s="496"/>
      <c r="J177" s="497"/>
    </row>
    <row r="178" spans="2:18" s="103" customFormat="1" ht="15.75" thickBot="1" x14ac:dyDescent="0.3">
      <c r="B178" s="164"/>
      <c r="C178" s="165"/>
      <c r="D178" s="165"/>
      <c r="E178" s="165"/>
      <c r="F178" s="165"/>
      <c r="G178" s="165"/>
      <c r="H178" s="165"/>
      <c r="I178" s="165"/>
      <c r="J178" s="166"/>
    </row>
    <row r="179" spans="2:18" s="103" customFormat="1" ht="15.75" customHeight="1" thickBot="1" x14ac:dyDescent="0.3">
      <c r="B179" s="519" t="s">
        <v>13</v>
      </c>
      <c r="C179" s="519" t="s">
        <v>14</v>
      </c>
      <c r="D179" s="521" t="s">
        <v>15</v>
      </c>
      <c r="E179" s="522"/>
      <c r="F179" s="523" t="s">
        <v>1</v>
      </c>
      <c r="G179" s="525" t="s">
        <v>11</v>
      </c>
      <c r="H179" s="525" t="s">
        <v>12</v>
      </c>
      <c r="I179" s="525" t="s">
        <v>39</v>
      </c>
      <c r="J179" s="525" t="s">
        <v>40</v>
      </c>
    </row>
    <row r="180" spans="2:18" s="103" customFormat="1" ht="15.75" thickBot="1" x14ac:dyDescent="0.3">
      <c r="B180" s="540"/>
      <c r="C180" s="540"/>
      <c r="D180" s="167" t="s">
        <v>16</v>
      </c>
      <c r="E180" s="167" t="s">
        <v>17</v>
      </c>
      <c r="F180" s="541"/>
      <c r="G180" s="539"/>
      <c r="H180" s="539"/>
      <c r="I180" s="539"/>
      <c r="J180" s="539"/>
    </row>
    <row r="181" spans="2:18" s="103" customFormat="1" ht="17.25" thickBot="1" x14ac:dyDescent="0.3">
      <c r="B181" s="135" t="s">
        <v>23</v>
      </c>
      <c r="C181" s="445"/>
      <c r="D181" s="446"/>
      <c r="E181" s="447"/>
      <c r="F181" s="448" t="s">
        <v>2</v>
      </c>
      <c r="G181" s="449"/>
      <c r="H181" s="449"/>
      <c r="I181" s="450"/>
      <c r="J181" s="136" t="e">
        <f>SUM(J182:J184)</f>
        <v>#REF!</v>
      </c>
    </row>
    <row r="182" spans="2:18" s="103" customFormat="1" ht="16.5" x14ac:dyDescent="0.25">
      <c r="B182" s="115" t="s">
        <v>24</v>
      </c>
      <c r="C182" s="116" t="s">
        <v>55</v>
      </c>
      <c r="D182" s="116" t="s">
        <v>59</v>
      </c>
      <c r="E182" s="116" t="s">
        <v>55</v>
      </c>
      <c r="F182" s="117" t="s">
        <v>18</v>
      </c>
      <c r="G182" s="118" t="s">
        <v>3</v>
      </c>
      <c r="H182" s="119">
        <f>ROUND(H183*3,0)</f>
        <v>54</v>
      </c>
      <c r="I182" s="120" t="e">
        <f>#REF!</f>
        <v>#REF!</v>
      </c>
      <c r="J182" s="121" t="e">
        <f>H182*I182</f>
        <v>#REF!</v>
      </c>
    </row>
    <row r="183" spans="2:18" s="103" customFormat="1" ht="16.5" x14ac:dyDescent="0.25">
      <c r="B183" s="123" t="s">
        <v>26</v>
      </c>
      <c r="C183" s="116" t="s">
        <v>57</v>
      </c>
      <c r="D183" s="116" t="s">
        <v>59</v>
      </c>
      <c r="E183" s="116" t="s">
        <v>57</v>
      </c>
      <c r="F183" s="124" t="s">
        <v>25</v>
      </c>
      <c r="G183" s="125" t="s">
        <v>6</v>
      </c>
      <c r="H183" s="126">
        <v>18</v>
      </c>
      <c r="I183" s="127" t="e">
        <f>#REF!</f>
        <v>#REF!</v>
      </c>
      <c r="J183" s="128" t="e">
        <f>H183*I183</f>
        <v>#REF!</v>
      </c>
    </row>
    <row r="184" spans="2:18" s="103" customFormat="1" ht="17.25" thickBot="1" x14ac:dyDescent="0.3">
      <c r="B184" s="129" t="s">
        <v>27</v>
      </c>
      <c r="C184" s="116" t="s">
        <v>58</v>
      </c>
      <c r="D184" s="116">
        <v>200</v>
      </c>
      <c r="E184" s="116" t="s">
        <v>59</v>
      </c>
      <c r="F184" s="130" t="s">
        <v>56</v>
      </c>
      <c r="G184" s="131" t="s">
        <v>3</v>
      </c>
      <c r="H184" s="132">
        <f>ROUND(H182,0)</f>
        <v>54</v>
      </c>
      <c r="I184" s="133">
        <f>'200.1'!I38</f>
        <v>0</v>
      </c>
      <c r="J184" s="134">
        <f t="shared" ref="J184" si="6">H184*I184</f>
        <v>0</v>
      </c>
    </row>
    <row r="185" spans="2:18" s="103" customFormat="1" ht="17.25" thickBot="1" x14ac:dyDescent="0.3">
      <c r="B185" s="135" t="s">
        <v>28</v>
      </c>
      <c r="C185" s="445"/>
      <c r="D185" s="446"/>
      <c r="E185" s="447"/>
      <c r="F185" s="448" t="s">
        <v>31</v>
      </c>
      <c r="G185" s="449"/>
      <c r="H185" s="449"/>
      <c r="I185" s="450"/>
      <c r="J185" s="136">
        <f>J186</f>
        <v>0</v>
      </c>
    </row>
    <row r="186" spans="2:18" s="103" customFormat="1" ht="17.25" thickBot="1" x14ac:dyDescent="0.3">
      <c r="B186" s="154" t="s">
        <v>30</v>
      </c>
      <c r="C186" s="116" t="s">
        <v>60</v>
      </c>
      <c r="D186" s="116">
        <v>200</v>
      </c>
      <c r="E186" s="116" t="s">
        <v>59</v>
      </c>
      <c r="F186" s="155" t="s">
        <v>29</v>
      </c>
      <c r="G186" s="156" t="s">
        <v>7</v>
      </c>
      <c r="H186" s="157">
        <f>ROUND((((18/4)*1)*(2.35*1.5*2)),0)</f>
        <v>32</v>
      </c>
      <c r="I186" s="158">
        <f>'200.2'!I38</f>
        <v>0</v>
      </c>
      <c r="J186" s="159">
        <f>H186*I186</f>
        <v>0</v>
      </c>
    </row>
    <row r="187" spans="2:18" s="103" customFormat="1" ht="17.25" thickBot="1" x14ac:dyDescent="0.3">
      <c r="B187" s="135" t="s">
        <v>33</v>
      </c>
      <c r="C187" s="445"/>
      <c r="D187" s="446"/>
      <c r="E187" s="447"/>
      <c r="F187" s="448" t="s">
        <v>32</v>
      </c>
      <c r="G187" s="449"/>
      <c r="H187" s="449"/>
      <c r="I187" s="450"/>
      <c r="J187" s="136" t="e">
        <f>J188</f>
        <v>#REF!</v>
      </c>
    </row>
    <row r="188" spans="2:18" s="103" customFormat="1" ht="18.75" customHeight="1" thickBot="1" x14ac:dyDescent="0.3">
      <c r="B188" s="142" t="s">
        <v>34</v>
      </c>
      <c r="C188" s="116" t="s">
        <v>61</v>
      </c>
      <c r="D188" s="116">
        <v>200</v>
      </c>
      <c r="E188" s="116" t="s">
        <v>59</v>
      </c>
      <c r="F188" s="160" t="s">
        <v>35</v>
      </c>
      <c r="G188" s="161" t="s">
        <v>7</v>
      </c>
      <c r="H188" s="145">
        <f>H186</f>
        <v>32</v>
      </c>
      <c r="I188" s="146" t="e">
        <f>#REF!</f>
        <v>#REF!</v>
      </c>
      <c r="J188" s="162" t="e">
        <f>H188*I188</f>
        <v>#REF!</v>
      </c>
      <c r="R188" s="180"/>
    </row>
    <row r="189" spans="2:18" s="103" customFormat="1" ht="17.25" thickBot="1" x14ac:dyDescent="0.3">
      <c r="B189" s="135" t="s">
        <v>36</v>
      </c>
      <c r="C189" s="445"/>
      <c r="D189" s="446"/>
      <c r="E189" s="447"/>
      <c r="F189" s="448" t="s">
        <v>119</v>
      </c>
      <c r="G189" s="545"/>
      <c r="H189" s="545"/>
      <c r="I189" s="450"/>
      <c r="J189" s="136" t="e">
        <f>SUM(J190:J192)</f>
        <v>#REF!</v>
      </c>
      <c r="R189" s="181"/>
    </row>
    <row r="190" spans="2:18" s="103" customFormat="1" ht="16.5" x14ac:dyDescent="0.25">
      <c r="B190" s="115" t="s">
        <v>46</v>
      </c>
      <c r="C190" s="116" t="s">
        <v>132</v>
      </c>
      <c r="D190" s="116">
        <v>600</v>
      </c>
      <c r="E190" s="116" t="s">
        <v>59</v>
      </c>
      <c r="F190" s="138" t="s">
        <v>120</v>
      </c>
      <c r="G190" s="125" t="s">
        <v>6</v>
      </c>
      <c r="H190" s="126">
        <f>13*5</f>
        <v>65</v>
      </c>
      <c r="I190" s="120" t="e">
        <f>#REF!</f>
        <v>#REF!</v>
      </c>
      <c r="J190" s="121" t="e">
        <f>H190*I190</f>
        <v>#REF!</v>
      </c>
      <c r="R190" s="180"/>
    </row>
    <row r="191" spans="2:18" s="103" customFormat="1" ht="16.5" x14ac:dyDescent="0.25">
      <c r="B191" s="129" t="s">
        <v>47</v>
      </c>
      <c r="C191" s="116" t="s">
        <v>133</v>
      </c>
      <c r="D191" s="116">
        <v>620</v>
      </c>
      <c r="E191" s="116" t="s">
        <v>59</v>
      </c>
      <c r="F191" s="124" t="s">
        <v>121</v>
      </c>
      <c r="G191" s="125" t="s">
        <v>7</v>
      </c>
      <c r="H191" s="127">
        <f>ROUND((5*2.35*1.5*0.05),0)</f>
        <v>1</v>
      </c>
      <c r="I191" s="120" t="e">
        <f>#REF!</f>
        <v>#REF!</v>
      </c>
      <c r="J191" s="121" t="e">
        <f t="shared" ref="J191:J192" si="7">H191*I191</f>
        <v>#REF!</v>
      </c>
    </row>
    <row r="192" spans="2:18" s="103" customFormat="1" ht="17.25" thickBot="1" x14ac:dyDescent="0.3">
      <c r="B192" s="154" t="s">
        <v>123</v>
      </c>
      <c r="C192" s="116" t="s">
        <v>135</v>
      </c>
      <c r="D192" s="116">
        <v>620</v>
      </c>
      <c r="E192" s="116" t="s">
        <v>59</v>
      </c>
      <c r="F192" s="182" t="s">
        <v>122</v>
      </c>
      <c r="G192" s="161" t="s">
        <v>7</v>
      </c>
      <c r="H192" s="127">
        <f>ROUND((5*2.35*1.5*0.4),0)</f>
        <v>7</v>
      </c>
      <c r="I192" s="120" t="e">
        <f>#REF!</f>
        <v>#REF!</v>
      </c>
      <c r="J192" s="121" t="e">
        <f t="shared" si="7"/>
        <v>#REF!</v>
      </c>
    </row>
    <row r="193" spans="2:12" s="103" customFormat="1" ht="17.25" thickBot="1" x14ac:dyDescent="0.3">
      <c r="B193" s="141" t="s">
        <v>50</v>
      </c>
      <c r="C193" s="445"/>
      <c r="D193" s="446"/>
      <c r="E193" s="447"/>
      <c r="F193" s="448" t="s">
        <v>124</v>
      </c>
      <c r="G193" s="449"/>
      <c r="H193" s="449"/>
      <c r="I193" s="450"/>
      <c r="J193" s="136" t="e">
        <f>SUM(J194:J196)</f>
        <v>#REF!</v>
      </c>
    </row>
    <row r="194" spans="2:12" s="103" customFormat="1" ht="16.5" x14ac:dyDescent="0.25">
      <c r="B194" s="183" t="s">
        <v>48</v>
      </c>
      <c r="C194" s="116" t="s">
        <v>136</v>
      </c>
      <c r="D194" s="116">
        <v>620</v>
      </c>
      <c r="E194" s="116" t="s">
        <v>59</v>
      </c>
      <c r="F194" s="117" t="s">
        <v>125</v>
      </c>
      <c r="G194" s="161" t="s">
        <v>7</v>
      </c>
      <c r="H194" s="119">
        <f>ROUND((2.7*0.5*0.4*5),)</f>
        <v>3</v>
      </c>
      <c r="I194" s="120" t="e">
        <f>#REF!</f>
        <v>#REF!</v>
      </c>
      <c r="J194" s="121" t="e">
        <f>H194*I194</f>
        <v>#REF!</v>
      </c>
    </row>
    <row r="195" spans="2:12" s="103" customFormat="1" ht="16.5" x14ac:dyDescent="0.25">
      <c r="B195" s="184" t="s">
        <v>130</v>
      </c>
      <c r="C195" s="116" t="s">
        <v>137</v>
      </c>
      <c r="D195" s="116">
        <v>620</v>
      </c>
      <c r="E195" s="185" t="s">
        <v>59</v>
      </c>
      <c r="F195" s="124" t="s">
        <v>126</v>
      </c>
      <c r="G195" s="161" t="s">
        <v>7</v>
      </c>
      <c r="H195" s="126">
        <f>(18*0.5*0.4)</f>
        <v>3.6</v>
      </c>
      <c r="I195" s="127" t="e">
        <f>#REF!</f>
        <v>#REF!</v>
      </c>
      <c r="J195" s="121" t="e">
        <f t="shared" ref="J195:J196" si="8">H195*I195</f>
        <v>#REF!</v>
      </c>
    </row>
    <row r="196" spans="2:12" s="103" customFormat="1" ht="17.25" thickBot="1" x14ac:dyDescent="0.3">
      <c r="B196" s="184" t="s">
        <v>131</v>
      </c>
      <c r="C196" s="116" t="s">
        <v>138</v>
      </c>
      <c r="D196" s="116">
        <v>620</v>
      </c>
      <c r="E196" s="185" t="s">
        <v>59</v>
      </c>
      <c r="F196" s="130" t="s">
        <v>127</v>
      </c>
      <c r="G196" s="161" t="s">
        <v>3</v>
      </c>
      <c r="H196" s="132">
        <f>(18*2.5)</f>
        <v>45</v>
      </c>
      <c r="I196" s="133" t="e">
        <f>#REF!</f>
        <v>#REF!</v>
      </c>
      <c r="J196" s="121" t="e">
        <f t="shared" si="8"/>
        <v>#REF!</v>
      </c>
    </row>
    <row r="197" spans="2:12" s="103" customFormat="1" ht="17.25" thickBot="1" x14ac:dyDescent="0.3">
      <c r="B197" s="186" t="s">
        <v>51</v>
      </c>
      <c r="C197" s="542"/>
      <c r="D197" s="543"/>
      <c r="E197" s="544"/>
      <c r="F197" s="448" t="s">
        <v>128</v>
      </c>
      <c r="G197" s="449"/>
      <c r="H197" s="449"/>
      <c r="I197" s="450"/>
      <c r="J197" s="136" t="e">
        <f>J198</f>
        <v>#REF!</v>
      </c>
    </row>
    <row r="198" spans="2:12" s="103" customFormat="1" ht="17.25" thickBot="1" x14ac:dyDescent="0.3">
      <c r="B198" s="147" t="s">
        <v>49</v>
      </c>
      <c r="C198" s="148" t="s">
        <v>139</v>
      </c>
      <c r="D198" s="148">
        <v>8000</v>
      </c>
      <c r="E198" s="148" t="s">
        <v>59</v>
      </c>
      <c r="F198" s="149" t="s">
        <v>129</v>
      </c>
      <c r="G198" s="150" t="s">
        <v>5</v>
      </c>
      <c r="H198" s="152">
        <f>ROUND((17188*18)/262,0)</f>
        <v>1181</v>
      </c>
      <c r="I198" s="152" t="e">
        <f>#REF!</f>
        <v>#REF!</v>
      </c>
      <c r="J198" s="153" t="e">
        <f>H198*I198</f>
        <v>#REF!</v>
      </c>
    </row>
    <row r="199" spans="2:12" s="103" customFormat="1" ht="17.25" thickBot="1" x14ac:dyDescent="0.3">
      <c r="B199" s="527"/>
      <c r="C199" s="528"/>
      <c r="D199" s="528"/>
      <c r="E199" s="528"/>
      <c r="F199" s="529"/>
      <c r="G199" s="536" t="s">
        <v>43</v>
      </c>
      <c r="H199" s="537"/>
      <c r="I199" s="538"/>
      <c r="J199" s="136" t="e">
        <f>J181+J185+J187+J189+J193+J197</f>
        <v>#REF!</v>
      </c>
    </row>
    <row r="200" spans="2:12" s="103" customFormat="1" ht="17.25" thickBot="1" x14ac:dyDescent="0.3">
      <c r="B200" s="530"/>
      <c r="C200" s="531"/>
      <c r="D200" s="531"/>
      <c r="E200" s="531"/>
      <c r="F200" s="532"/>
      <c r="G200" s="536" t="s">
        <v>44</v>
      </c>
      <c r="H200" s="537"/>
      <c r="I200" s="170">
        <v>0.25</v>
      </c>
      <c r="J200" s="171" t="e">
        <f>J199*I200</f>
        <v>#REF!</v>
      </c>
    </row>
    <row r="201" spans="2:12" s="103" customFormat="1" ht="17.25" thickBot="1" x14ac:dyDescent="0.3">
      <c r="B201" s="530"/>
      <c r="C201" s="531"/>
      <c r="D201" s="531"/>
      <c r="E201" s="531"/>
      <c r="F201" s="532"/>
      <c r="G201" s="536" t="s">
        <v>45</v>
      </c>
      <c r="H201" s="537"/>
      <c r="I201" s="170">
        <v>0.05</v>
      </c>
      <c r="J201" s="171" t="e">
        <f>J199*I201</f>
        <v>#REF!</v>
      </c>
    </row>
    <row r="202" spans="2:12" s="103" customFormat="1" ht="17.25" thickBot="1" x14ac:dyDescent="0.3">
      <c r="B202" s="533"/>
      <c r="C202" s="534"/>
      <c r="D202" s="534"/>
      <c r="E202" s="534"/>
      <c r="F202" s="535"/>
      <c r="G202" s="536" t="s">
        <v>149</v>
      </c>
      <c r="H202" s="537"/>
      <c r="I202" s="538"/>
      <c r="J202" s="172" t="e">
        <f>J199+J200+J201</f>
        <v>#REF!</v>
      </c>
      <c r="L202" s="103" t="e">
        <f>J202/18</f>
        <v>#REF!</v>
      </c>
    </row>
    <row r="203" spans="2:12" s="103" customFormat="1" ht="15.75" thickBot="1" x14ac:dyDescent="0.3">
      <c r="B203" s="173"/>
      <c r="C203" s="174"/>
      <c r="D203" s="174"/>
      <c r="E203" s="174"/>
      <c r="F203" s="174"/>
      <c r="G203" s="174"/>
      <c r="H203" s="174"/>
      <c r="I203" s="174"/>
      <c r="J203" s="175"/>
      <c r="L203" s="103" t="e">
        <f>L202*49</f>
        <v>#REF!</v>
      </c>
    </row>
    <row r="204" spans="2:12" s="103" customFormat="1" ht="17.25" thickBot="1" x14ac:dyDescent="0.3">
      <c r="B204" s="548"/>
      <c r="C204" s="546"/>
      <c r="D204" s="546"/>
      <c r="E204" s="546"/>
      <c r="F204" s="547"/>
      <c r="G204" s="536" t="s">
        <v>54</v>
      </c>
      <c r="H204" s="537"/>
      <c r="I204" s="538"/>
      <c r="J204" s="187" t="e">
        <f>J31</f>
        <v>#REF!</v>
      </c>
    </row>
    <row r="205" spans="2:12" s="103" customFormat="1" ht="17.25" thickBot="1" x14ac:dyDescent="0.3">
      <c r="B205" s="549"/>
      <c r="C205" s="550"/>
      <c r="D205" s="550"/>
      <c r="E205" s="550"/>
      <c r="F205" s="551"/>
      <c r="G205" s="536" t="s">
        <v>103</v>
      </c>
      <c r="H205" s="537"/>
      <c r="I205" s="538"/>
      <c r="J205" s="187" t="e">
        <f>J59</f>
        <v>#REF!</v>
      </c>
    </row>
    <row r="206" spans="2:12" s="103" customFormat="1" ht="17.25" thickBot="1" x14ac:dyDescent="0.3">
      <c r="B206" s="549"/>
      <c r="C206" s="550"/>
      <c r="D206" s="550"/>
      <c r="E206" s="550"/>
      <c r="F206" s="551"/>
      <c r="G206" s="536" t="s">
        <v>107</v>
      </c>
      <c r="H206" s="537"/>
      <c r="I206" s="538"/>
      <c r="J206" s="187" t="e">
        <f>J87</f>
        <v>#REF!</v>
      </c>
    </row>
    <row r="207" spans="2:12" s="103" customFormat="1" ht="17.25" thickBot="1" x14ac:dyDescent="0.3">
      <c r="B207" s="549"/>
      <c r="C207" s="550"/>
      <c r="D207" s="550"/>
      <c r="E207" s="550"/>
      <c r="F207" s="551"/>
      <c r="G207" s="536" t="s">
        <v>112</v>
      </c>
      <c r="H207" s="537"/>
      <c r="I207" s="538"/>
      <c r="J207" s="187" t="e">
        <f>J115</f>
        <v>#REF!</v>
      </c>
    </row>
    <row r="208" spans="2:12" s="103" customFormat="1" ht="17.25" thickBot="1" x14ac:dyDescent="0.3">
      <c r="B208" s="549"/>
      <c r="C208" s="550"/>
      <c r="D208" s="550"/>
      <c r="E208" s="550"/>
      <c r="F208" s="551"/>
      <c r="G208" s="536" t="s">
        <v>113</v>
      </c>
      <c r="H208" s="537"/>
      <c r="I208" s="538"/>
      <c r="J208" s="187" t="e">
        <f>J143</f>
        <v>#REF!</v>
      </c>
    </row>
    <row r="209" spans="2:11" s="103" customFormat="1" ht="17.25" thickBot="1" x14ac:dyDescent="0.3">
      <c r="B209" s="549"/>
      <c r="C209" s="550"/>
      <c r="D209" s="550"/>
      <c r="E209" s="550"/>
      <c r="F209" s="551"/>
      <c r="G209" s="536" t="s">
        <v>147</v>
      </c>
      <c r="H209" s="537"/>
      <c r="I209" s="538"/>
      <c r="J209" s="187" t="e">
        <f>J171</f>
        <v>#REF!</v>
      </c>
    </row>
    <row r="210" spans="2:11" s="103" customFormat="1" ht="17.25" thickBot="1" x14ac:dyDescent="0.3">
      <c r="B210" s="549"/>
      <c r="C210" s="550"/>
      <c r="D210" s="550"/>
      <c r="E210" s="550"/>
      <c r="F210" s="551"/>
      <c r="G210" s="536" t="s">
        <v>149</v>
      </c>
      <c r="H210" s="537"/>
      <c r="I210" s="538"/>
      <c r="J210" s="187" t="e">
        <f>J202</f>
        <v>#REF!</v>
      </c>
    </row>
    <row r="211" spans="2:11" s="103" customFormat="1" ht="15.75" thickBot="1" x14ac:dyDescent="0.3">
      <c r="B211" s="552"/>
      <c r="C211" s="553"/>
      <c r="D211" s="553"/>
      <c r="E211" s="553"/>
      <c r="F211" s="554"/>
      <c r="G211" s="555" t="s">
        <v>105</v>
      </c>
      <c r="H211" s="556"/>
      <c r="I211" s="557"/>
      <c r="J211" s="187" t="e">
        <f>SUM(J204:J210)</f>
        <v>#REF!</v>
      </c>
      <c r="K211" s="188" t="e">
        <f>350000000-J211</f>
        <v>#REF!</v>
      </c>
    </row>
    <row r="212" spans="2:11" s="103" customFormat="1" ht="15.75" thickBot="1" x14ac:dyDescent="0.3">
      <c r="G212" s="546" t="s">
        <v>143</v>
      </c>
      <c r="H212" s="546"/>
      <c r="I212" s="547"/>
      <c r="J212" s="187" t="e">
        <f>J211*7%</f>
        <v>#REF!</v>
      </c>
    </row>
  </sheetData>
  <mergeCells count="257">
    <mergeCell ref="G212:I212"/>
    <mergeCell ref="B204:F211"/>
    <mergeCell ref="G204:I204"/>
    <mergeCell ref="G205:I205"/>
    <mergeCell ref="G206:I206"/>
    <mergeCell ref="G207:I207"/>
    <mergeCell ref="G208:I208"/>
    <mergeCell ref="G209:I209"/>
    <mergeCell ref="G210:I210"/>
    <mergeCell ref="G211:I211"/>
    <mergeCell ref="C197:E197"/>
    <mergeCell ref="F197:I197"/>
    <mergeCell ref="B199:F202"/>
    <mergeCell ref="G199:I199"/>
    <mergeCell ref="G200:H200"/>
    <mergeCell ref="G201:H201"/>
    <mergeCell ref="G202:I202"/>
    <mergeCell ref="C187:E187"/>
    <mergeCell ref="F187:I187"/>
    <mergeCell ref="C189:E189"/>
    <mergeCell ref="F189:I189"/>
    <mergeCell ref="C193:E193"/>
    <mergeCell ref="F193:I193"/>
    <mergeCell ref="I179:I180"/>
    <mergeCell ref="J179:J180"/>
    <mergeCell ref="C181:E181"/>
    <mergeCell ref="F181:I181"/>
    <mergeCell ref="C185:E185"/>
    <mergeCell ref="F185:I185"/>
    <mergeCell ref="B176:E176"/>
    <mergeCell ref="F176:J176"/>
    <mergeCell ref="B177:E177"/>
    <mergeCell ref="F177:J177"/>
    <mergeCell ref="B179:B180"/>
    <mergeCell ref="C179:C180"/>
    <mergeCell ref="D179:E179"/>
    <mergeCell ref="F179:F180"/>
    <mergeCell ref="G179:G180"/>
    <mergeCell ref="H179:H180"/>
    <mergeCell ref="B173:E173"/>
    <mergeCell ref="F173:J173"/>
    <mergeCell ref="B174:E174"/>
    <mergeCell ref="F174:J174"/>
    <mergeCell ref="B175:E175"/>
    <mergeCell ref="F175:J175"/>
    <mergeCell ref="C166:E166"/>
    <mergeCell ref="F166:I166"/>
    <mergeCell ref="B168:F171"/>
    <mergeCell ref="G168:I168"/>
    <mergeCell ref="G169:H169"/>
    <mergeCell ref="G170:H170"/>
    <mergeCell ref="G171:I171"/>
    <mergeCell ref="C159:E159"/>
    <mergeCell ref="F159:I159"/>
    <mergeCell ref="C161:E161"/>
    <mergeCell ref="F161:I161"/>
    <mergeCell ref="C164:E164"/>
    <mergeCell ref="F164:I164"/>
    <mergeCell ref="I151:I152"/>
    <mergeCell ref="J151:J152"/>
    <mergeCell ref="C153:E153"/>
    <mergeCell ref="F153:I153"/>
    <mergeCell ref="C157:E157"/>
    <mergeCell ref="F157:I157"/>
    <mergeCell ref="B148:E148"/>
    <mergeCell ref="F148:J148"/>
    <mergeCell ref="B149:E149"/>
    <mergeCell ref="F149:J149"/>
    <mergeCell ref="B151:B152"/>
    <mergeCell ref="C151:C152"/>
    <mergeCell ref="D151:E151"/>
    <mergeCell ref="F151:F152"/>
    <mergeCell ref="G151:G152"/>
    <mergeCell ref="H151:H152"/>
    <mergeCell ref="B145:E145"/>
    <mergeCell ref="F145:J145"/>
    <mergeCell ref="B146:E146"/>
    <mergeCell ref="F146:J146"/>
    <mergeCell ref="B147:E147"/>
    <mergeCell ref="F147:J147"/>
    <mergeCell ref="C138:E138"/>
    <mergeCell ref="F138:I138"/>
    <mergeCell ref="B140:F143"/>
    <mergeCell ref="G140:I140"/>
    <mergeCell ref="G141:H141"/>
    <mergeCell ref="G142:H142"/>
    <mergeCell ref="G143:I143"/>
    <mergeCell ref="C131:E131"/>
    <mergeCell ref="F131:I131"/>
    <mergeCell ref="C133:E133"/>
    <mergeCell ref="F133:I133"/>
    <mergeCell ref="C136:E136"/>
    <mergeCell ref="F136:I136"/>
    <mergeCell ref="I123:I124"/>
    <mergeCell ref="J123:J124"/>
    <mergeCell ref="C125:E125"/>
    <mergeCell ref="F125:I125"/>
    <mergeCell ref="C129:E129"/>
    <mergeCell ref="F129:I129"/>
    <mergeCell ref="B120:E120"/>
    <mergeCell ref="F120:J120"/>
    <mergeCell ref="B121:E121"/>
    <mergeCell ref="F121:J121"/>
    <mergeCell ref="B123:B124"/>
    <mergeCell ref="C123:C124"/>
    <mergeCell ref="D123:E123"/>
    <mergeCell ref="F123:F124"/>
    <mergeCell ref="G123:G124"/>
    <mergeCell ref="H123:H124"/>
    <mergeCell ref="B117:E117"/>
    <mergeCell ref="F117:J117"/>
    <mergeCell ref="B118:E118"/>
    <mergeCell ref="F118:J118"/>
    <mergeCell ref="B119:E119"/>
    <mergeCell ref="F119:J119"/>
    <mergeCell ref="C110:E110"/>
    <mergeCell ref="F110:I110"/>
    <mergeCell ref="B112:F115"/>
    <mergeCell ref="G112:I112"/>
    <mergeCell ref="G113:H113"/>
    <mergeCell ref="G114:H114"/>
    <mergeCell ref="G115:I115"/>
    <mergeCell ref="C103:E103"/>
    <mergeCell ref="F103:I103"/>
    <mergeCell ref="C105:E105"/>
    <mergeCell ref="F105:I105"/>
    <mergeCell ref="C108:E108"/>
    <mergeCell ref="F108:I108"/>
    <mergeCell ref="I95:I96"/>
    <mergeCell ref="J95:J96"/>
    <mergeCell ref="C97:E97"/>
    <mergeCell ref="F97:I97"/>
    <mergeCell ref="C101:E101"/>
    <mergeCell ref="F101:I101"/>
    <mergeCell ref="B92:E92"/>
    <mergeCell ref="F92:J92"/>
    <mergeCell ref="B93:E93"/>
    <mergeCell ref="F93:J93"/>
    <mergeCell ref="B95:B96"/>
    <mergeCell ref="C95:C96"/>
    <mergeCell ref="D95:E95"/>
    <mergeCell ref="F95:F96"/>
    <mergeCell ref="G95:G96"/>
    <mergeCell ref="H95:H96"/>
    <mergeCell ref="B89:E89"/>
    <mergeCell ref="F89:J89"/>
    <mergeCell ref="B90:E90"/>
    <mergeCell ref="F90:J90"/>
    <mergeCell ref="B91:E91"/>
    <mergeCell ref="F91:J91"/>
    <mergeCell ref="C82:E82"/>
    <mergeCell ref="F82:I82"/>
    <mergeCell ref="B84:F87"/>
    <mergeCell ref="G84:I84"/>
    <mergeCell ref="G85:H85"/>
    <mergeCell ref="G86:H86"/>
    <mergeCell ref="G87:I87"/>
    <mergeCell ref="C75:E75"/>
    <mergeCell ref="F75:I75"/>
    <mergeCell ref="C77:E77"/>
    <mergeCell ref="F77:I77"/>
    <mergeCell ref="C80:E80"/>
    <mergeCell ref="F80:I80"/>
    <mergeCell ref="I67:I68"/>
    <mergeCell ref="J67:J68"/>
    <mergeCell ref="C69:E69"/>
    <mergeCell ref="F69:I69"/>
    <mergeCell ref="C73:E73"/>
    <mergeCell ref="F73:I73"/>
    <mergeCell ref="B64:E64"/>
    <mergeCell ref="F64:J64"/>
    <mergeCell ref="B65:E65"/>
    <mergeCell ref="F65:J65"/>
    <mergeCell ref="B67:B68"/>
    <mergeCell ref="C67:C68"/>
    <mergeCell ref="D67:E67"/>
    <mergeCell ref="F67:F68"/>
    <mergeCell ref="G67:G68"/>
    <mergeCell ref="H67:H68"/>
    <mergeCell ref="B61:E61"/>
    <mergeCell ref="F61:J61"/>
    <mergeCell ref="B62:E62"/>
    <mergeCell ref="F62:J62"/>
    <mergeCell ref="B63:E63"/>
    <mergeCell ref="F63:J63"/>
    <mergeCell ref="C54:E54"/>
    <mergeCell ref="F54:I54"/>
    <mergeCell ref="B56:F59"/>
    <mergeCell ref="G56:I56"/>
    <mergeCell ref="G57:H57"/>
    <mergeCell ref="G58:H58"/>
    <mergeCell ref="G59:I59"/>
    <mergeCell ref="C47:E47"/>
    <mergeCell ref="F47:I47"/>
    <mergeCell ref="C49:E49"/>
    <mergeCell ref="F49:I49"/>
    <mergeCell ref="C52:E52"/>
    <mergeCell ref="F52:I52"/>
    <mergeCell ref="I39:I40"/>
    <mergeCell ref="J39:J40"/>
    <mergeCell ref="C41:E41"/>
    <mergeCell ref="F41:I41"/>
    <mergeCell ref="C45:E45"/>
    <mergeCell ref="F45:I45"/>
    <mergeCell ref="B36:E36"/>
    <mergeCell ref="F36:J36"/>
    <mergeCell ref="B37:E37"/>
    <mergeCell ref="F37:J37"/>
    <mergeCell ref="B39:B40"/>
    <mergeCell ref="C39:C40"/>
    <mergeCell ref="D39:E39"/>
    <mergeCell ref="F39:F40"/>
    <mergeCell ref="G39:G40"/>
    <mergeCell ref="H39:H40"/>
    <mergeCell ref="B33:E33"/>
    <mergeCell ref="F33:J33"/>
    <mergeCell ref="B34:E34"/>
    <mergeCell ref="F34:J34"/>
    <mergeCell ref="B35:E35"/>
    <mergeCell ref="F35:J35"/>
    <mergeCell ref="C26:E26"/>
    <mergeCell ref="F26:I26"/>
    <mergeCell ref="B28:F31"/>
    <mergeCell ref="G28:I28"/>
    <mergeCell ref="G29:H29"/>
    <mergeCell ref="G30:H30"/>
    <mergeCell ref="G31:I31"/>
    <mergeCell ref="C19:E19"/>
    <mergeCell ref="F19:I19"/>
    <mergeCell ref="C21:E21"/>
    <mergeCell ref="F21:I21"/>
    <mergeCell ref="C24:E24"/>
    <mergeCell ref="F24:I24"/>
    <mergeCell ref="I11:I12"/>
    <mergeCell ref="J11:J12"/>
    <mergeCell ref="C13:E13"/>
    <mergeCell ref="F13:I13"/>
    <mergeCell ref="C17:E17"/>
    <mergeCell ref="F17:I17"/>
    <mergeCell ref="B2:J2"/>
    <mergeCell ref="B4:J4"/>
    <mergeCell ref="B5:E5"/>
    <mergeCell ref="F5:J5"/>
    <mergeCell ref="B6:E6"/>
    <mergeCell ref="F6:J6"/>
    <mergeCell ref="B11:B12"/>
    <mergeCell ref="C11:C12"/>
    <mergeCell ref="D11:E11"/>
    <mergeCell ref="F11:F12"/>
    <mergeCell ref="G11:G12"/>
    <mergeCell ref="H11:H12"/>
    <mergeCell ref="B7:E7"/>
    <mergeCell ref="F7:J7"/>
    <mergeCell ref="B8:E8"/>
    <mergeCell ref="F8:J8"/>
    <mergeCell ref="B9:E9"/>
    <mergeCell ref="F9:J9"/>
  </mergeCells>
  <pageMargins left="0.70866141732283472" right="0" top="0.74803149606299213" bottom="0.94488188976377963" header="0.31496062992125984" footer="0"/>
  <pageSetup paperSize="9" scale="54" fitToWidth="2" fitToHeight="2" orientation="portrait" r:id="rId1"/>
  <rowBreaks count="7" manualBreakCount="7">
    <brk id="31" min="1" max="10" man="1"/>
    <brk id="59" min="1" max="10" man="1"/>
    <brk id="87" min="1" max="10" man="1"/>
    <brk id="115" min="1" max="10" man="1"/>
    <brk id="143" min="1" max="10" man="1"/>
    <brk id="171" min="1" max="10" man="1"/>
    <brk id="202" min="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view="pageBreakPreview" zoomScaleNormal="100" zoomScaleSheetLayoutView="100" workbookViewId="0">
      <selection activeCell="E2" sqref="E2:I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85546875" customWidth="1"/>
    <col min="4" max="4" width="6.42578125" customWidth="1"/>
    <col min="5" max="5" width="56.42578125" customWidth="1"/>
    <col min="6" max="6" width="4.85546875" bestFit="1" customWidth="1"/>
    <col min="7" max="7" width="6.5703125" bestFit="1" customWidth="1"/>
    <col min="8" max="8" width="11.140625" bestFit="1" customWidth="1"/>
    <col min="9" max="9" width="12.7109375" bestFit="1" customWidth="1"/>
    <col min="10" max="10" width="12.85546875" customWidth="1"/>
    <col min="11" max="11" width="12.7109375" bestFit="1" customWidth="1"/>
    <col min="12" max="12" width="13.5703125" customWidth="1"/>
    <col min="17" max="17" width="13.5703125" bestFit="1" customWidth="1"/>
    <col min="260" max="260" width="6.85546875" bestFit="1" customWidth="1"/>
    <col min="261" max="261" width="61.7109375" customWidth="1"/>
    <col min="262" max="262" width="6.42578125" bestFit="1" customWidth="1"/>
    <col min="263" max="263" width="12.28515625" customWidth="1"/>
    <col min="264" max="264" width="17.140625" customWidth="1"/>
    <col min="265" max="265" width="21.28515625" customWidth="1"/>
    <col min="266" max="266" width="5.85546875" customWidth="1"/>
    <col min="516" max="516" width="6.85546875" bestFit="1" customWidth="1"/>
    <col min="517" max="517" width="61.7109375" customWidth="1"/>
    <col min="518" max="518" width="6.42578125" bestFit="1" customWidth="1"/>
    <col min="519" max="519" width="12.28515625" customWidth="1"/>
    <col min="520" max="520" width="17.140625" customWidth="1"/>
    <col min="521" max="521" width="21.28515625" customWidth="1"/>
    <col min="522" max="522" width="5.85546875" customWidth="1"/>
    <col min="772" max="772" width="6.85546875" bestFit="1" customWidth="1"/>
    <col min="773" max="773" width="61.7109375" customWidth="1"/>
    <col min="774" max="774" width="6.42578125" bestFit="1" customWidth="1"/>
    <col min="775" max="775" width="12.28515625" customWidth="1"/>
    <col min="776" max="776" width="17.140625" customWidth="1"/>
    <col min="777" max="777" width="21.28515625" customWidth="1"/>
    <col min="778" max="778" width="5.85546875" customWidth="1"/>
    <col min="1028" max="1028" width="6.85546875" bestFit="1" customWidth="1"/>
    <col min="1029" max="1029" width="61.7109375" customWidth="1"/>
    <col min="1030" max="1030" width="6.42578125" bestFit="1" customWidth="1"/>
    <col min="1031" max="1031" width="12.28515625" customWidth="1"/>
    <col min="1032" max="1032" width="17.140625" customWidth="1"/>
    <col min="1033" max="1033" width="21.28515625" customWidth="1"/>
    <col min="1034" max="1034" width="5.85546875" customWidth="1"/>
    <col min="1284" max="1284" width="6.85546875" bestFit="1" customWidth="1"/>
    <col min="1285" max="1285" width="61.7109375" customWidth="1"/>
    <col min="1286" max="1286" width="6.42578125" bestFit="1" customWidth="1"/>
    <col min="1287" max="1287" width="12.28515625" customWidth="1"/>
    <col min="1288" max="1288" width="17.140625" customWidth="1"/>
    <col min="1289" max="1289" width="21.28515625" customWidth="1"/>
    <col min="1290" max="1290" width="5.85546875" customWidth="1"/>
    <col min="1540" max="1540" width="6.85546875" bestFit="1" customWidth="1"/>
    <col min="1541" max="1541" width="61.7109375" customWidth="1"/>
    <col min="1542" max="1542" width="6.42578125" bestFit="1" customWidth="1"/>
    <col min="1543" max="1543" width="12.28515625" customWidth="1"/>
    <col min="1544" max="1544" width="17.140625" customWidth="1"/>
    <col min="1545" max="1545" width="21.28515625" customWidth="1"/>
    <col min="1546" max="1546" width="5.85546875" customWidth="1"/>
    <col min="1796" max="1796" width="6.85546875" bestFit="1" customWidth="1"/>
    <col min="1797" max="1797" width="61.7109375" customWidth="1"/>
    <col min="1798" max="1798" width="6.42578125" bestFit="1" customWidth="1"/>
    <col min="1799" max="1799" width="12.28515625" customWidth="1"/>
    <col min="1800" max="1800" width="17.140625" customWidth="1"/>
    <col min="1801" max="1801" width="21.28515625" customWidth="1"/>
    <col min="1802" max="1802" width="5.85546875" customWidth="1"/>
    <col min="2052" max="2052" width="6.85546875" bestFit="1" customWidth="1"/>
    <col min="2053" max="2053" width="61.7109375" customWidth="1"/>
    <col min="2054" max="2054" width="6.42578125" bestFit="1" customWidth="1"/>
    <col min="2055" max="2055" width="12.28515625" customWidth="1"/>
    <col min="2056" max="2056" width="17.140625" customWidth="1"/>
    <col min="2057" max="2057" width="21.28515625" customWidth="1"/>
    <col min="2058" max="2058" width="5.85546875" customWidth="1"/>
    <col min="2308" max="2308" width="6.85546875" bestFit="1" customWidth="1"/>
    <col min="2309" max="2309" width="61.7109375" customWidth="1"/>
    <col min="2310" max="2310" width="6.42578125" bestFit="1" customWidth="1"/>
    <col min="2311" max="2311" width="12.28515625" customWidth="1"/>
    <col min="2312" max="2312" width="17.140625" customWidth="1"/>
    <col min="2313" max="2313" width="21.28515625" customWidth="1"/>
    <col min="2314" max="2314" width="5.85546875" customWidth="1"/>
    <col min="2564" max="2564" width="6.85546875" bestFit="1" customWidth="1"/>
    <col min="2565" max="2565" width="61.7109375" customWidth="1"/>
    <col min="2566" max="2566" width="6.42578125" bestFit="1" customWidth="1"/>
    <col min="2567" max="2567" width="12.28515625" customWidth="1"/>
    <col min="2568" max="2568" width="17.140625" customWidth="1"/>
    <col min="2569" max="2569" width="21.28515625" customWidth="1"/>
    <col min="2570" max="2570" width="5.85546875" customWidth="1"/>
    <col min="2820" max="2820" width="6.85546875" bestFit="1" customWidth="1"/>
    <col min="2821" max="2821" width="61.7109375" customWidth="1"/>
    <col min="2822" max="2822" width="6.42578125" bestFit="1" customWidth="1"/>
    <col min="2823" max="2823" width="12.28515625" customWidth="1"/>
    <col min="2824" max="2824" width="17.140625" customWidth="1"/>
    <col min="2825" max="2825" width="21.28515625" customWidth="1"/>
    <col min="2826" max="2826" width="5.85546875" customWidth="1"/>
    <col min="3076" max="3076" width="6.85546875" bestFit="1" customWidth="1"/>
    <col min="3077" max="3077" width="61.7109375" customWidth="1"/>
    <col min="3078" max="3078" width="6.42578125" bestFit="1" customWidth="1"/>
    <col min="3079" max="3079" width="12.28515625" customWidth="1"/>
    <col min="3080" max="3080" width="17.140625" customWidth="1"/>
    <col min="3081" max="3081" width="21.28515625" customWidth="1"/>
    <col min="3082" max="3082" width="5.85546875" customWidth="1"/>
    <col min="3332" max="3332" width="6.85546875" bestFit="1" customWidth="1"/>
    <col min="3333" max="3333" width="61.7109375" customWidth="1"/>
    <col min="3334" max="3334" width="6.42578125" bestFit="1" customWidth="1"/>
    <col min="3335" max="3335" width="12.28515625" customWidth="1"/>
    <col min="3336" max="3336" width="17.140625" customWidth="1"/>
    <col min="3337" max="3337" width="21.28515625" customWidth="1"/>
    <col min="3338" max="3338" width="5.85546875" customWidth="1"/>
    <col min="3588" max="3588" width="6.85546875" bestFit="1" customWidth="1"/>
    <col min="3589" max="3589" width="61.7109375" customWidth="1"/>
    <col min="3590" max="3590" width="6.42578125" bestFit="1" customWidth="1"/>
    <col min="3591" max="3591" width="12.28515625" customWidth="1"/>
    <col min="3592" max="3592" width="17.140625" customWidth="1"/>
    <col min="3593" max="3593" width="21.28515625" customWidth="1"/>
    <col min="3594" max="3594" width="5.85546875" customWidth="1"/>
    <col min="3844" max="3844" width="6.85546875" bestFit="1" customWidth="1"/>
    <col min="3845" max="3845" width="61.7109375" customWidth="1"/>
    <col min="3846" max="3846" width="6.42578125" bestFit="1" customWidth="1"/>
    <col min="3847" max="3847" width="12.28515625" customWidth="1"/>
    <col min="3848" max="3848" width="17.140625" customWidth="1"/>
    <col min="3849" max="3849" width="21.28515625" customWidth="1"/>
    <col min="3850" max="3850" width="5.85546875" customWidth="1"/>
    <col min="4100" max="4100" width="6.85546875" bestFit="1" customWidth="1"/>
    <col min="4101" max="4101" width="61.7109375" customWidth="1"/>
    <col min="4102" max="4102" width="6.42578125" bestFit="1" customWidth="1"/>
    <col min="4103" max="4103" width="12.28515625" customWidth="1"/>
    <col min="4104" max="4104" width="17.140625" customWidth="1"/>
    <col min="4105" max="4105" width="21.28515625" customWidth="1"/>
    <col min="4106" max="4106" width="5.85546875" customWidth="1"/>
    <col min="4356" max="4356" width="6.85546875" bestFit="1" customWidth="1"/>
    <col min="4357" max="4357" width="61.7109375" customWidth="1"/>
    <col min="4358" max="4358" width="6.42578125" bestFit="1" customWidth="1"/>
    <col min="4359" max="4359" width="12.28515625" customWidth="1"/>
    <col min="4360" max="4360" width="17.140625" customWidth="1"/>
    <col min="4361" max="4361" width="21.28515625" customWidth="1"/>
    <col min="4362" max="4362" width="5.85546875" customWidth="1"/>
    <col min="4612" max="4612" width="6.85546875" bestFit="1" customWidth="1"/>
    <col min="4613" max="4613" width="61.7109375" customWidth="1"/>
    <col min="4614" max="4614" width="6.42578125" bestFit="1" customWidth="1"/>
    <col min="4615" max="4615" width="12.28515625" customWidth="1"/>
    <col min="4616" max="4616" width="17.140625" customWidth="1"/>
    <col min="4617" max="4617" width="21.28515625" customWidth="1"/>
    <col min="4618" max="4618" width="5.85546875" customWidth="1"/>
    <col min="4868" max="4868" width="6.85546875" bestFit="1" customWidth="1"/>
    <col min="4869" max="4869" width="61.7109375" customWidth="1"/>
    <col min="4870" max="4870" width="6.42578125" bestFit="1" customWidth="1"/>
    <col min="4871" max="4871" width="12.28515625" customWidth="1"/>
    <col min="4872" max="4872" width="17.140625" customWidth="1"/>
    <col min="4873" max="4873" width="21.28515625" customWidth="1"/>
    <col min="4874" max="4874" width="5.85546875" customWidth="1"/>
    <col min="5124" max="5124" width="6.85546875" bestFit="1" customWidth="1"/>
    <col min="5125" max="5125" width="61.7109375" customWidth="1"/>
    <col min="5126" max="5126" width="6.42578125" bestFit="1" customWidth="1"/>
    <col min="5127" max="5127" width="12.28515625" customWidth="1"/>
    <col min="5128" max="5128" width="17.140625" customWidth="1"/>
    <col min="5129" max="5129" width="21.28515625" customWidth="1"/>
    <col min="5130" max="5130" width="5.85546875" customWidth="1"/>
    <col min="5380" max="5380" width="6.85546875" bestFit="1" customWidth="1"/>
    <col min="5381" max="5381" width="61.7109375" customWidth="1"/>
    <col min="5382" max="5382" width="6.42578125" bestFit="1" customWidth="1"/>
    <col min="5383" max="5383" width="12.28515625" customWidth="1"/>
    <col min="5384" max="5384" width="17.140625" customWidth="1"/>
    <col min="5385" max="5385" width="21.28515625" customWidth="1"/>
    <col min="5386" max="5386" width="5.85546875" customWidth="1"/>
    <col min="5636" max="5636" width="6.85546875" bestFit="1" customWidth="1"/>
    <col min="5637" max="5637" width="61.7109375" customWidth="1"/>
    <col min="5638" max="5638" width="6.42578125" bestFit="1" customWidth="1"/>
    <col min="5639" max="5639" width="12.28515625" customWidth="1"/>
    <col min="5640" max="5640" width="17.140625" customWidth="1"/>
    <col min="5641" max="5641" width="21.28515625" customWidth="1"/>
    <col min="5642" max="5642" width="5.85546875" customWidth="1"/>
    <col min="5892" max="5892" width="6.85546875" bestFit="1" customWidth="1"/>
    <col min="5893" max="5893" width="61.7109375" customWidth="1"/>
    <col min="5894" max="5894" width="6.42578125" bestFit="1" customWidth="1"/>
    <col min="5895" max="5895" width="12.28515625" customWidth="1"/>
    <col min="5896" max="5896" width="17.140625" customWidth="1"/>
    <col min="5897" max="5897" width="21.28515625" customWidth="1"/>
    <col min="5898" max="5898" width="5.85546875" customWidth="1"/>
    <col min="6148" max="6148" width="6.85546875" bestFit="1" customWidth="1"/>
    <col min="6149" max="6149" width="61.7109375" customWidth="1"/>
    <col min="6150" max="6150" width="6.42578125" bestFit="1" customWidth="1"/>
    <col min="6151" max="6151" width="12.28515625" customWidth="1"/>
    <col min="6152" max="6152" width="17.140625" customWidth="1"/>
    <col min="6153" max="6153" width="21.28515625" customWidth="1"/>
    <col min="6154" max="6154" width="5.85546875" customWidth="1"/>
    <col min="6404" max="6404" width="6.85546875" bestFit="1" customWidth="1"/>
    <col min="6405" max="6405" width="61.7109375" customWidth="1"/>
    <col min="6406" max="6406" width="6.42578125" bestFit="1" customWidth="1"/>
    <col min="6407" max="6407" width="12.28515625" customWidth="1"/>
    <col min="6408" max="6408" width="17.140625" customWidth="1"/>
    <col min="6409" max="6409" width="21.28515625" customWidth="1"/>
    <col min="6410" max="6410" width="5.85546875" customWidth="1"/>
    <col min="6660" max="6660" width="6.85546875" bestFit="1" customWidth="1"/>
    <col min="6661" max="6661" width="61.7109375" customWidth="1"/>
    <col min="6662" max="6662" width="6.42578125" bestFit="1" customWidth="1"/>
    <col min="6663" max="6663" width="12.28515625" customWidth="1"/>
    <col min="6664" max="6664" width="17.140625" customWidth="1"/>
    <col min="6665" max="6665" width="21.28515625" customWidth="1"/>
    <col min="6666" max="6666" width="5.85546875" customWidth="1"/>
    <col min="6916" max="6916" width="6.85546875" bestFit="1" customWidth="1"/>
    <col min="6917" max="6917" width="61.7109375" customWidth="1"/>
    <col min="6918" max="6918" width="6.42578125" bestFit="1" customWidth="1"/>
    <col min="6919" max="6919" width="12.28515625" customWidth="1"/>
    <col min="6920" max="6920" width="17.140625" customWidth="1"/>
    <col min="6921" max="6921" width="21.28515625" customWidth="1"/>
    <col min="6922" max="6922" width="5.85546875" customWidth="1"/>
    <col min="7172" max="7172" width="6.85546875" bestFit="1" customWidth="1"/>
    <col min="7173" max="7173" width="61.7109375" customWidth="1"/>
    <col min="7174" max="7174" width="6.42578125" bestFit="1" customWidth="1"/>
    <col min="7175" max="7175" width="12.28515625" customWidth="1"/>
    <col min="7176" max="7176" width="17.140625" customWidth="1"/>
    <col min="7177" max="7177" width="21.28515625" customWidth="1"/>
    <col min="7178" max="7178" width="5.85546875" customWidth="1"/>
    <col min="7428" max="7428" width="6.85546875" bestFit="1" customWidth="1"/>
    <col min="7429" max="7429" width="61.7109375" customWidth="1"/>
    <col min="7430" max="7430" width="6.42578125" bestFit="1" customWidth="1"/>
    <col min="7431" max="7431" width="12.28515625" customWidth="1"/>
    <col min="7432" max="7432" width="17.140625" customWidth="1"/>
    <col min="7433" max="7433" width="21.28515625" customWidth="1"/>
    <col min="7434" max="7434" width="5.85546875" customWidth="1"/>
    <col min="7684" max="7684" width="6.85546875" bestFit="1" customWidth="1"/>
    <col min="7685" max="7685" width="61.7109375" customWidth="1"/>
    <col min="7686" max="7686" width="6.42578125" bestFit="1" customWidth="1"/>
    <col min="7687" max="7687" width="12.28515625" customWidth="1"/>
    <col min="7688" max="7688" width="17.140625" customWidth="1"/>
    <col min="7689" max="7689" width="21.28515625" customWidth="1"/>
    <col min="7690" max="7690" width="5.85546875" customWidth="1"/>
    <col min="7940" max="7940" width="6.85546875" bestFit="1" customWidth="1"/>
    <col min="7941" max="7941" width="61.7109375" customWidth="1"/>
    <col min="7942" max="7942" width="6.42578125" bestFit="1" customWidth="1"/>
    <col min="7943" max="7943" width="12.28515625" customWidth="1"/>
    <col min="7944" max="7944" width="17.140625" customWidth="1"/>
    <col min="7945" max="7945" width="21.28515625" customWidth="1"/>
    <col min="7946" max="7946" width="5.85546875" customWidth="1"/>
    <col min="8196" max="8196" width="6.85546875" bestFit="1" customWidth="1"/>
    <col min="8197" max="8197" width="61.7109375" customWidth="1"/>
    <col min="8198" max="8198" width="6.42578125" bestFit="1" customWidth="1"/>
    <col min="8199" max="8199" width="12.28515625" customWidth="1"/>
    <col min="8200" max="8200" width="17.140625" customWidth="1"/>
    <col min="8201" max="8201" width="21.28515625" customWidth="1"/>
    <col min="8202" max="8202" width="5.85546875" customWidth="1"/>
    <col min="8452" max="8452" width="6.85546875" bestFit="1" customWidth="1"/>
    <col min="8453" max="8453" width="61.7109375" customWidth="1"/>
    <col min="8454" max="8454" width="6.42578125" bestFit="1" customWidth="1"/>
    <col min="8455" max="8455" width="12.28515625" customWidth="1"/>
    <col min="8456" max="8456" width="17.140625" customWidth="1"/>
    <col min="8457" max="8457" width="21.28515625" customWidth="1"/>
    <col min="8458" max="8458" width="5.85546875" customWidth="1"/>
    <col min="8708" max="8708" width="6.85546875" bestFit="1" customWidth="1"/>
    <col min="8709" max="8709" width="61.7109375" customWidth="1"/>
    <col min="8710" max="8710" width="6.42578125" bestFit="1" customWidth="1"/>
    <col min="8711" max="8711" width="12.28515625" customWidth="1"/>
    <col min="8712" max="8712" width="17.140625" customWidth="1"/>
    <col min="8713" max="8713" width="21.28515625" customWidth="1"/>
    <col min="8714" max="8714" width="5.85546875" customWidth="1"/>
    <col min="8964" max="8964" width="6.85546875" bestFit="1" customWidth="1"/>
    <col min="8965" max="8965" width="61.7109375" customWidth="1"/>
    <col min="8966" max="8966" width="6.42578125" bestFit="1" customWidth="1"/>
    <col min="8967" max="8967" width="12.28515625" customWidth="1"/>
    <col min="8968" max="8968" width="17.140625" customWidth="1"/>
    <col min="8969" max="8969" width="21.28515625" customWidth="1"/>
    <col min="8970" max="8970" width="5.85546875" customWidth="1"/>
    <col min="9220" max="9220" width="6.85546875" bestFit="1" customWidth="1"/>
    <col min="9221" max="9221" width="61.7109375" customWidth="1"/>
    <col min="9222" max="9222" width="6.42578125" bestFit="1" customWidth="1"/>
    <col min="9223" max="9223" width="12.28515625" customWidth="1"/>
    <col min="9224" max="9224" width="17.140625" customWidth="1"/>
    <col min="9225" max="9225" width="21.28515625" customWidth="1"/>
    <col min="9226" max="9226" width="5.85546875" customWidth="1"/>
    <col min="9476" max="9476" width="6.85546875" bestFit="1" customWidth="1"/>
    <col min="9477" max="9477" width="61.7109375" customWidth="1"/>
    <col min="9478" max="9478" width="6.42578125" bestFit="1" customWidth="1"/>
    <col min="9479" max="9479" width="12.28515625" customWidth="1"/>
    <col min="9480" max="9480" width="17.140625" customWidth="1"/>
    <col min="9481" max="9481" width="21.28515625" customWidth="1"/>
    <col min="9482" max="9482" width="5.85546875" customWidth="1"/>
    <col min="9732" max="9732" width="6.85546875" bestFit="1" customWidth="1"/>
    <col min="9733" max="9733" width="61.7109375" customWidth="1"/>
    <col min="9734" max="9734" width="6.42578125" bestFit="1" customWidth="1"/>
    <col min="9735" max="9735" width="12.28515625" customWidth="1"/>
    <col min="9736" max="9736" width="17.140625" customWidth="1"/>
    <col min="9737" max="9737" width="21.28515625" customWidth="1"/>
    <col min="9738" max="9738" width="5.85546875" customWidth="1"/>
    <col min="9988" max="9988" width="6.85546875" bestFit="1" customWidth="1"/>
    <col min="9989" max="9989" width="61.7109375" customWidth="1"/>
    <col min="9990" max="9990" width="6.42578125" bestFit="1" customWidth="1"/>
    <col min="9991" max="9991" width="12.28515625" customWidth="1"/>
    <col min="9992" max="9992" width="17.140625" customWidth="1"/>
    <col min="9993" max="9993" width="21.28515625" customWidth="1"/>
    <col min="9994" max="9994" width="5.85546875" customWidth="1"/>
    <col min="10244" max="10244" width="6.85546875" bestFit="1" customWidth="1"/>
    <col min="10245" max="10245" width="61.7109375" customWidth="1"/>
    <col min="10246" max="10246" width="6.42578125" bestFit="1" customWidth="1"/>
    <col min="10247" max="10247" width="12.28515625" customWidth="1"/>
    <col min="10248" max="10248" width="17.140625" customWidth="1"/>
    <col min="10249" max="10249" width="21.28515625" customWidth="1"/>
    <col min="10250" max="10250" width="5.85546875" customWidth="1"/>
    <col min="10500" max="10500" width="6.85546875" bestFit="1" customWidth="1"/>
    <col min="10501" max="10501" width="61.7109375" customWidth="1"/>
    <col min="10502" max="10502" width="6.42578125" bestFit="1" customWidth="1"/>
    <col min="10503" max="10503" width="12.28515625" customWidth="1"/>
    <col min="10504" max="10504" width="17.140625" customWidth="1"/>
    <col min="10505" max="10505" width="21.28515625" customWidth="1"/>
    <col min="10506" max="10506" width="5.85546875" customWidth="1"/>
    <col min="10756" max="10756" width="6.85546875" bestFit="1" customWidth="1"/>
    <col min="10757" max="10757" width="61.7109375" customWidth="1"/>
    <col min="10758" max="10758" width="6.42578125" bestFit="1" customWidth="1"/>
    <col min="10759" max="10759" width="12.28515625" customWidth="1"/>
    <col min="10760" max="10760" width="17.140625" customWidth="1"/>
    <col min="10761" max="10761" width="21.28515625" customWidth="1"/>
    <col min="10762" max="10762" width="5.85546875" customWidth="1"/>
    <col min="11012" max="11012" width="6.85546875" bestFit="1" customWidth="1"/>
    <col min="11013" max="11013" width="61.7109375" customWidth="1"/>
    <col min="11014" max="11014" width="6.42578125" bestFit="1" customWidth="1"/>
    <col min="11015" max="11015" width="12.28515625" customWidth="1"/>
    <col min="11016" max="11016" width="17.140625" customWidth="1"/>
    <col min="11017" max="11017" width="21.28515625" customWidth="1"/>
    <col min="11018" max="11018" width="5.85546875" customWidth="1"/>
    <col min="11268" max="11268" width="6.85546875" bestFit="1" customWidth="1"/>
    <col min="11269" max="11269" width="61.7109375" customWidth="1"/>
    <col min="11270" max="11270" width="6.42578125" bestFit="1" customWidth="1"/>
    <col min="11271" max="11271" width="12.28515625" customWidth="1"/>
    <col min="11272" max="11272" width="17.140625" customWidth="1"/>
    <col min="11273" max="11273" width="21.28515625" customWidth="1"/>
    <col min="11274" max="11274" width="5.85546875" customWidth="1"/>
    <col min="11524" max="11524" width="6.85546875" bestFit="1" customWidth="1"/>
    <col min="11525" max="11525" width="61.7109375" customWidth="1"/>
    <col min="11526" max="11526" width="6.42578125" bestFit="1" customWidth="1"/>
    <col min="11527" max="11527" width="12.28515625" customWidth="1"/>
    <col min="11528" max="11528" width="17.140625" customWidth="1"/>
    <col min="11529" max="11529" width="21.28515625" customWidth="1"/>
    <col min="11530" max="11530" width="5.85546875" customWidth="1"/>
    <col min="11780" max="11780" width="6.85546875" bestFit="1" customWidth="1"/>
    <col min="11781" max="11781" width="61.7109375" customWidth="1"/>
    <col min="11782" max="11782" width="6.42578125" bestFit="1" customWidth="1"/>
    <col min="11783" max="11783" width="12.28515625" customWidth="1"/>
    <col min="11784" max="11784" width="17.140625" customWidth="1"/>
    <col min="11785" max="11785" width="21.28515625" customWidth="1"/>
    <col min="11786" max="11786" width="5.85546875" customWidth="1"/>
    <col min="12036" max="12036" width="6.85546875" bestFit="1" customWidth="1"/>
    <col min="12037" max="12037" width="61.7109375" customWidth="1"/>
    <col min="12038" max="12038" width="6.42578125" bestFit="1" customWidth="1"/>
    <col min="12039" max="12039" width="12.28515625" customWidth="1"/>
    <col min="12040" max="12040" width="17.140625" customWidth="1"/>
    <col min="12041" max="12041" width="21.28515625" customWidth="1"/>
    <col min="12042" max="12042" width="5.85546875" customWidth="1"/>
    <col min="12292" max="12292" width="6.85546875" bestFit="1" customWidth="1"/>
    <col min="12293" max="12293" width="61.7109375" customWidth="1"/>
    <col min="12294" max="12294" width="6.42578125" bestFit="1" customWidth="1"/>
    <col min="12295" max="12295" width="12.28515625" customWidth="1"/>
    <col min="12296" max="12296" width="17.140625" customWidth="1"/>
    <col min="12297" max="12297" width="21.28515625" customWidth="1"/>
    <col min="12298" max="12298" width="5.85546875" customWidth="1"/>
    <col min="12548" max="12548" width="6.85546875" bestFit="1" customWidth="1"/>
    <col min="12549" max="12549" width="61.7109375" customWidth="1"/>
    <col min="12550" max="12550" width="6.42578125" bestFit="1" customWidth="1"/>
    <col min="12551" max="12551" width="12.28515625" customWidth="1"/>
    <col min="12552" max="12552" width="17.140625" customWidth="1"/>
    <col min="12553" max="12553" width="21.28515625" customWidth="1"/>
    <col min="12554" max="12554" width="5.85546875" customWidth="1"/>
    <col min="12804" max="12804" width="6.85546875" bestFit="1" customWidth="1"/>
    <col min="12805" max="12805" width="61.7109375" customWidth="1"/>
    <col min="12806" max="12806" width="6.42578125" bestFit="1" customWidth="1"/>
    <col min="12807" max="12807" width="12.28515625" customWidth="1"/>
    <col min="12808" max="12808" width="17.140625" customWidth="1"/>
    <col min="12809" max="12809" width="21.28515625" customWidth="1"/>
    <col min="12810" max="12810" width="5.85546875" customWidth="1"/>
    <col min="13060" max="13060" width="6.85546875" bestFit="1" customWidth="1"/>
    <col min="13061" max="13061" width="61.7109375" customWidth="1"/>
    <col min="13062" max="13062" width="6.42578125" bestFit="1" customWidth="1"/>
    <col min="13063" max="13063" width="12.28515625" customWidth="1"/>
    <col min="13064" max="13064" width="17.140625" customWidth="1"/>
    <col min="13065" max="13065" width="21.28515625" customWidth="1"/>
    <col min="13066" max="13066" width="5.85546875" customWidth="1"/>
    <col min="13316" max="13316" width="6.85546875" bestFit="1" customWidth="1"/>
    <col min="13317" max="13317" width="61.7109375" customWidth="1"/>
    <col min="13318" max="13318" width="6.42578125" bestFit="1" customWidth="1"/>
    <col min="13319" max="13319" width="12.28515625" customWidth="1"/>
    <col min="13320" max="13320" width="17.140625" customWidth="1"/>
    <col min="13321" max="13321" width="21.28515625" customWidth="1"/>
    <col min="13322" max="13322" width="5.85546875" customWidth="1"/>
    <col min="13572" max="13572" width="6.85546875" bestFit="1" customWidth="1"/>
    <col min="13573" max="13573" width="61.7109375" customWidth="1"/>
    <col min="13574" max="13574" width="6.42578125" bestFit="1" customWidth="1"/>
    <col min="13575" max="13575" width="12.28515625" customWidth="1"/>
    <col min="13576" max="13576" width="17.140625" customWidth="1"/>
    <col min="13577" max="13577" width="21.28515625" customWidth="1"/>
    <col min="13578" max="13578" width="5.85546875" customWidth="1"/>
    <col min="13828" max="13828" width="6.85546875" bestFit="1" customWidth="1"/>
    <col min="13829" max="13829" width="61.7109375" customWidth="1"/>
    <col min="13830" max="13830" width="6.42578125" bestFit="1" customWidth="1"/>
    <col min="13831" max="13831" width="12.28515625" customWidth="1"/>
    <col min="13832" max="13832" width="17.140625" customWidth="1"/>
    <col min="13833" max="13833" width="21.28515625" customWidth="1"/>
    <col min="13834" max="13834" width="5.85546875" customWidth="1"/>
    <col min="14084" max="14084" width="6.85546875" bestFit="1" customWidth="1"/>
    <col min="14085" max="14085" width="61.7109375" customWidth="1"/>
    <col min="14086" max="14086" width="6.42578125" bestFit="1" customWidth="1"/>
    <col min="14087" max="14087" width="12.28515625" customWidth="1"/>
    <col min="14088" max="14088" width="17.140625" customWidth="1"/>
    <col min="14089" max="14089" width="21.28515625" customWidth="1"/>
    <col min="14090" max="14090" width="5.85546875" customWidth="1"/>
    <col min="14340" max="14340" width="6.85546875" bestFit="1" customWidth="1"/>
    <col min="14341" max="14341" width="61.7109375" customWidth="1"/>
    <col min="14342" max="14342" width="6.42578125" bestFit="1" customWidth="1"/>
    <col min="14343" max="14343" width="12.28515625" customWidth="1"/>
    <col min="14344" max="14344" width="17.140625" customWidth="1"/>
    <col min="14345" max="14345" width="21.28515625" customWidth="1"/>
    <col min="14346" max="14346" width="5.85546875" customWidth="1"/>
    <col min="14596" max="14596" width="6.85546875" bestFit="1" customWidth="1"/>
    <col min="14597" max="14597" width="61.7109375" customWidth="1"/>
    <col min="14598" max="14598" width="6.42578125" bestFit="1" customWidth="1"/>
    <col min="14599" max="14599" width="12.28515625" customWidth="1"/>
    <col min="14600" max="14600" width="17.140625" customWidth="1"/>
    <col min="14601" max="14601" width="21.28515625" customWidth="1"/>
    <col min="14602" max="14602" width="5.85546875" customWidth="1"/>
    <col min="14852" max="14852" width="6.85546875" bestFit="1" customWidth="1"/>
    <col min="14853" max="14853" width="61.7109375" customWidth="1"/>
    <col min="14854" max="14854" width="6.42578125" bestFit="1" customWidth="1"/>
    <col min="14855" max="14855" width="12.28515625" customWidth="1"/>
    <col min="14856" max="14856" width="17.140625" customWidth="1"/>
    <col min="14857" max="14857" width="21.28515625" customWidth="1"/>
    <col min="14858" max="14858" width="5.85546875" customWidth="1"/>
    <col min="15108" max="15108" width="6.85546875" bestFit="1" customWidth="1"/>
    <col min="15109" max="15109" width="61.7109375" customWidth="1"/>
    <col min="15110" max="15110" width="6.42578125" bestFit="1" customWidth="1"/>
    <col min="15111" max="15111" width="12.28515625" customWidth="1"/>
    <col min="15112" max="15112" width="17.140625" customWidth="1"/>
    <col min="15113" max="15113" width="21.28515625" customWidth="1"/>
    <col min="15114" max="15114" width="5.85546875" customWidth="1"/>
    <col min="15364" max="15364" width="6.85546875" bestFit="1" customWidth="1"/>
    <col min="15365" max="15365" width="61.7109375" customWidth="1"/>
    <col min="15366" max="15366" width="6.42578125" bestFit="1" customWidth="1"/>
    <col min="15367" max="15367" width="12.28515625" customWidth="1"/>
    <col min="15368" max="15368" width="17.140625" customWidth="1"/>
    <col min="15369" max="15369" width="21.28515625" customWidth="1"/>
    <col min="15370" max="15370" width="5.85546875" customWidth="1"/>
    <col min="15620" max="15620" width="6.85546875" bestFit="1" customWidth="1"/>
    <col min="15621" max="15621" width="61.7109375" customWidth="1"/>
    <col min="15622" max="15622" width="6.42578125" bestFit="1" customWidth="1"/>
    <col min="15623" max="15623" width="12.28515625" customWidth="1"/>
    <col min="15624" max="15624" width="17.140625" customWidth="1"/>
    <col min="15625" max="15625" width="21.28515625" customWidth="1"/>
    <col min="15626" max="15626" width="5.85546875" customWidth="1"/>
    <col min="15876" max="15876" width="6.85546875" bestFit="1" customWidth="1"/>
    <col min="15877" max="15877" width="61.7109375" customWidth="1"/>
    <col min="15878" max="15878" width="6.42578125" bestFit="1" customWidth="1"/>
    <col min="15879" max="15879" width="12.28515625" customWidth="1"/>
    <col min="15880" max="15880" width="17.140625" customWidth="1"/>
    <col min="15881" max="15881" width="21.28515625" customWidth="1"/>
    <col min="15882" max="15882" width="5.85546875" customWidth="1"/>
    <col min="16132" max="16132" width="6.85546875" bestFit="1" customWidth="1"/>
    <col min="16133" max="16133" width="61.7109375" customWidth="1"/>
    <col min="16134" max="16134" width="6.42578125" bestFit="1" customWidth="1"/>
    <col min="16135" max="16135" width="12.28515625" customWidth="1"/>
    <col min="16136" max="16136" width="17.140625" customWidth="1"/>
    <col min="16137" max="16137" width="21.28515625" customWidth="1"/>
    <col min="16138" max="16138" width="5.85546875" customWidth="1"/>
  </cols>
  <sheetData>
    <row r="1" spans="2:10" ht="15.75" thickBot="1" x14ac:dyDescent="0.3"/>
    <row r="2" spans="2:10" ht="28.5" customHeight="1" thickBot="1" x14ac:dyDescent="0.3">
      <c r="B2" s="558" t="s">
        <v>52</v>
      </c>
      <c r="C2" s="559"/>
      <c r="D2" s="560"/>
      <c r="E2" s="561" t="s">
        <v>325</v>
      </c>
      <c r="F2" s="562"/>
      <c r="G2" s="562"/>
      <c r="H2" s="562"/>
      <c r="I2" s="563"/>
    </row>
    <row r="3" spans="2:10" ht="15.75" customHeight="1" thickBot="1" x14ac:dyDescent="0.3">
      <c r="B3" s="566" t="s">
        <v>14</v>
      </c>
      <c r="C3" s="568" t="s">
        <v>15</v>
      </c>
      <c r="D3" s="569"/>
      <c r="E3" s="570" t="s">
        <v>1</v>
      </c>
      <c r="F3" s="564" t="s">
        <v>11</v>
      </c>
      <c r="G3" s="564" t="s">
        <v>12</v>
      </c>
      <c r="H3" s="564" t="s">
        <v>232</v>
      </c>
      <c r="I3" s="564" t="s">
        <v>233</v>
      </c>
    </row>
    <row r="4" spans="2:10" ht="15.75" thickBot="1" x14ac:dyDescent="0.3">
      <c r="B4" s="567"/>
      <c r="C4" s="255" t="s">
        <v>16</v>
      </c>
      <c r="D4" s="255" t="s">
        <v>17</v>
      </c>
      <c r="E4" s="571"/>
      <c r="F4" s="565"/>
      <c r="G4" s="565"/>
      <c r="H4" s="565"/>
      <c r="I4" s="565"/>
    </row>
    <row r="5" spans="2:10" ht="17.25" thickBot="1" x14ac:dyDescent="0.3">
      <c r="B5" s="451"/>
      <c r="C5" s="452"/>
      <c r="D5" s="453"/>
      <c r="E5" s="454" t="s">
        <v>2</v>
      </c>
      <c r="F5" s="455"/>
      <c r="G5" s="455"/>
      <c r="H5" s="456"/>
      <c r="I5" s="4">
        <f>SUM(I6:I8)</f>
        <v>0</v>
      </c>
    </row>
    <row r="6" spans="2:10" ht="16.5" x14ac:dyDescent="0.25">
      <c r="B6" s="415" t="s">
        <v>58</v>
      </c>
      <c r="C6" s="227">
        <v>200</v>
      </c>
      <c r="D6" s="227" t="s">
        <v>59</v>
      </c>
      <c r="E6" s="17" t="s">
        <v>56</v>
      </c>
      <c r="F6" s="15" t="s">
        <v>3</v>
      </c>
      <c r="G6" s="96">
        <f>G7</f>
        <v>90</v>
      </c>
      <c r="H6" s="70">
        <f>'200.1'!I38</f>
        <v>0</v>
      </c>
      <c r="I6" s="62">
        <f t="shared" ref="I6:I8" si="0">ROUND(G6*H6,0)</f>
        <v>0</v>
      </c>
    </row>
    <row r="7" spans="2:10" ht="16.5" x14ac:dyDescent="0.25">
      <c r="B7" s="415" t="s">
        <v>217</v>
      </c>
      <c r="C7" s="227">
        <v>200</v>
      </c>
      <c r="D7" s="227" t="s">
        <v>59</v>
      </c>
      <c r="E7" s="9" t="s">
        <v>207</v>
      </c>
      <c r="F7" s="81" t="s">
        <v>6</v>
      </c>
      <c r="G7" s="82">
        <f>G17</f>
        <v>90</v>
      </c>
      <c r="H7" s="83">
        <f>'200.6'!I38</f>
        <v>0</v>
      </c>
      <c r="I7" s="62">
        <f t="shared" si="0"/>
        <v>0</v>
      </c>
    </row>
    <row r="8" spans="2:10" ht="17.25" thickBot="1" x14ac:dyDescent="0.3">
      <c r="B8" s="415" t="s">
        <v>219</v>
      </c>
      <c r="C8" s="232">
        <v>200</v>
      </c>
      <c r="D8" s="232" t="s">
        <v>59</v>
      </c>
      <c r="E8" s="17" t="s">
        <v>208</v>
      </c>
      <c r="F8" s="200" t="s">
        <v>6</v>
      </c>
      <c r="G8" s="96">
        <v>6</v>
      </c>
      <c r="H8" s="70">
        <f>'200.7'!I38</f>
        <v>0</v>
      </c>
      <c r="I8" s="62">
        <f t="shared" si="0"/>
        <v>0</v>
      </c>
    </row>
    <row r="9" spans="2:10" ht="17.25" thickBot="1" x14ac:dyDescent="0.3">
      <c r="B9" s="451"/>
      <c r="C9" s="452"/>
      <c r="D9" s="453"/>
      <c r="E9" s="454" t="s">
        <v>31</v>
      </c>
      <c r="F9" s="455"/>
      <c r="G9" s="455"/>
      <c r="H9" s="456"/>
      <c r="I9" s="4">
        <f>I10</f>
        <v>0</v>
      </c>
    </row>
    <row r="10" spans="2:10" ht="17.25" thickBot="1" x14ac:dyDescent="0.3">
      <c r="B10" s="416" t="s">
        <v>60</v>
      </c>
      <c r="C10" s="37">
        <v>200</v>
      </c>
      <c r="D10" s="37" t="s">
        <v>59</v>
      </c>
      <c r="E10" s="7" t="s">
        <v>192</v>
      </c>
      <c r="F10" s="28" t="s">
        <v>7</v>
      </c>
      <c r="G10" s="97">
        <f>((G17/1.5)+1)*2*0.1*0.1*1</f>
        <v>1.2200000000000002</v>
      </c>
      <c r="H10" s="18">
        <f>'200.2'!I38</f>
        <v>0</v>
      </c>
      <c r="I10" s="29">
        <f>ROUND(G10*H10,0)</f>
        <v>0</v>
      </c>
    </row>
    <row r="11" spans="2:10" s="103" customFormat="1" ht="17.25" thickBot="1" x14ac:dyDescent="0.3">
      <c r="B11" s="451"/>
      <c r="C11" s="452"/>
      <c r="D11" s="453"/>
      <c r="E11" s="454" t="s">
        <v>4</v>
      </c>
      <c r="F11" s="455"/>
      <c r="G11" s="455"/>
      <c r="H11" s="456"/>
      <c r="I11" s="4">
        <f>SUM(I12:I13)</f>
        <v>0</v>
      </c>
    </row>
    <row r="12" spans="2:10" s="103" customFormat="1" ht="33" x14ac:dyDescent="0.25">
      <c r="B12" s="417" t="s">
        <v>62</v>
      </c>
      <c r="C12" s="195">
        <v>700</v>
      </c>
      <c r="D12" s="75" t="s">
        <v>59</v>
      </c>
      <c r="E12" s="76" t="s">
        <v>41</v>
      </c>
      <c r="F12" s="196" t="s">
        <v>5</v>
      </c>
      <c r="G12" s="71">
        <f>0.2*G15</f>
        <v>18</v>
      </c>
      <c r="H12" s="77">
        <f>'700.2'!I38</f>
        <v>0</v>
      </c>
      <c r="I12" s="78">
        <f>G12*H12</f>
        <v>0</v>
      </c>
    </row>
    <row r="13" spans="2:10" s="103" customFormat="1" ht="33.75" thickBot="1" x14ac:dyDescent="0.3">
      <c r="B13" s="417" t="s">
        <v>63</v>
      </c>
      <c r="C13" s="198">
        <v>400</v>
      </c>
      <c r="D13" s="75" t="s">
        <v>59</v>
      </c>
      <c r="E13" s="199" t="s">
        <v>42</v>
      </c>
      <c r="F13" s="200" t="s">
        <v>6</v>
      </c>
      <c r="G13" s="70">
        <f>(G15*3)</f>
        <v>270</v>
      </c>
      <c r="H13" s="70">
        <f>'400.1'!I38</f>
        <v>0</v>
      </c>
      <c r="I13" s="78">
        <f>ROUND(G13*H13,0)</f>
        <v>0</v>
      </c>
    </row>
    <row r="14" spans="2:10" s="103" customFormat="1" ht="17.25" thickBot="1" x14ac:dyDescent="0.3">
      <c r="B14" s="451"/>
      <c r="C14" s="452"/>
      <c r="D14" s="453"/>
      <c r="E14" s="454" t="s">
        <v>8</v>
      </c>
      <c r="F14" s="455"/>
      <c r="G14" s="455"/>
      <c r="H14" s="456"/>
      <c r="I14" s="4">
        <f>SUM(I15:I15)</f>
        <v>0</v>
      </c>
    </row>
    <row r="15" spans="2:10" s="103" customFormat="1" ht="83.25" thickBot="1" x14ac:dyDescent="0.3">
      <c r="B15" s="417" t="s">
        <v>64</v>
      </c>
      <c r="C15" s="75">
        <v>500</v>
      </c>
      <c r="D15" s="75" t="s">
        <v>59</v>
      </c>
      <c r="E15" s="111" t="s">
        <v>324</v>
      </c>
      <c r="F15" s="189" t="s">
        <v>6</v>
      </c>
      <c r="G15" s="97">
        <f>SUM(G17:G17)</f>
        <v>90</v>
      </c>
      <c r="H15" s="190">
        <f>'500.6'!I38</f>
        <v>0</v>
      </c>
      <c r="I15" s="78">
        <f>ROUND(G15*H15,0)</f>
        <v>0</v>
      </c>
      <c r="J15" s="163"/>
    </row>
    <row r="16" spans="2:10" s="103" customFormat="1" ht="17.25" thickBot="1" x14ac:dyDescent="0.3">
      <c r="B16" s="451"/>
      <c r="C16" s="452"/>
      <c r="D16" s="453"/>
      <c r="E16" s="454" t="s">
        <v>9</v>
      </c>
      <c r="F16" s="455"/>
      <c r="G16" s="455"/>
      <c r="H16" s="456"/>
      <c r="I16" s="4">
        <f>SUM(I17:I17)</f>
        <v>0</v>
      </c>
      <c r="J16" s="188"/>
    </row>
    <row r="17" spans="2:12" ht="50.25" thickBot="1" x14ac:dyDescent="0.3">
      <c r="B17" s="418" t="s">
        <v>144</v>
      </c>
      <c r="C17" s="91">
        <v>500</v>
      </c>
      <c r="D17" s="91" t="s">
        <v>59</v>
      </c>
      <c r="E17" s="92" t="s">
        <v>251</v>
      </c>
      <c r="F17" s="93" t="s">
        <v>6</v>
      </c>
      <c r="G17" s="112">
        <v>90</v>
      </c>
      <c r="H17" s="94">
        <f>'500.9'!I38</f>
        <v>0</v>
      </c>
      <c r="I17" s="110">
        <f t="shared" ref="I17" si="1">ROUND(G17*H17,0)</f>
        <v>0</v>
      </c>
      <c r="J17" s="224"/>
    </row>
    <row r="18" spans="2:12" ht="17.25" thickBot="1" x14ac:dyDescent="0.3">
      <c r="B18" s="451"/>
      <c r="C18" s="452"/>
      <c r="D18" s="453"/>
      <c r="E18" s="454" t="s">
        <v>200</v>
      </c>
      <c r="F18" s="455"/>
      <c r="G18" s="455"/>
      <c r="H18" s="456"/>
      <c r="I18" s="4">
        <f>I19</f>
        <v>0</v>
      </c>
      <c r="J18" s="224"/>
      <c r="L18" s="224"/>
    </row>
    <row r="19" spans="2:12" ht="17.25" thickBot="1" x14ac:dyDescent="0.3">
      <c r="B19" s="416" t="s">
        <v>212</v>
      </c>
      <c r="C19" s="37">
        <v>900</v>
      </c>
      <c r="D19" s="37" t="s">
        <v>59</v>
      </c>
      <c r="E19" s="13" t="s">
        <v>201</v>
      </c>
      <c r="F19" s="196" t="s">
        <v>202</v>
      </c>
      <c r="G19" s="71">
        <v>1</v>
      </c>
      <c r="H19" s="77">
        <f>'900.1'!I38</f>
        <v>0</v>
      </c>
      <c r="I19" s="78">
        <f>ROUND(G19*H19,0)</f>
        <v>0</v>
      </c>
      <c r="J19" s="224"/>
    </row>
    <row r="20" spans="2:12" ht="17.25" thickBot="1" x14ac:dyDescent="0.3">
      <c r="B20" s="419"/>
      <c r="C20" s="364"/>
      <c r="D20" s="364"/>
      <c r="E20" s="365"/>
      <c r="F20" s="484" t="s">
        <v>43</v>
      </c>
      <c r="G20" s="485"/>
      <c r="H20" s="486"/>
      <c r="I20" s="114">
        <f>I5+I9+I11+I14+I16+I18</f>
        <v>0</v>
      </c>
      <c r="J20" s="224"/>
    </row>
    <row r="21" spans="2:12" ht="17.25" thickBot="1" x14ac:dyDescent="0.3">
      <c r="B21" s="420"/>
      <c r="C21" s="366"/>
      <c r="D21" s="366"/>
      <c r="E21" s="367"/>
      <c r="F21" s="484" t="s">
        <v>44</v>
      </c>
      <c r="G21" s="485"/>
      <c r="H21" s="256">
        <v>0</v>
      </c>
      <c r="I21" s="6">
        <f>I20*H21</f>
        <v>0</v>
      </c>
      <c r="J21" s="224"/>
      <c r="K21" s="224"/>
    </row>
    <row r="22" spans="2:12" ht="17.25" thickBot="1" x14ac:dyDescent="0.3">
      <c r="B22" s="420"/>
      <c r="C22" s="366"/>
      <c r="D22" s="366"/>
      <c r="E22" s="367"/>
      <c r="F22" s="484" t="s">
        <v>234</v>
      </c>
      <c r="G22" s="485"/>
      <c r="H22" s="256">
        <v>0</v>
      </c>
      <c r="I22" s="6">
        <f>I20*H22</f>
        <v>0</v>
      </c>
      <c r="J22" s="224"/>
      <c r="K22" s="224"/>
    </row>
    <row r="23" spans="2:12" ht="17.25" thickBot="1" x14ac:dyDescent="0.3">
      <c r="B23" s="420"/>
      <c r="C23" s="366"/>
      <c r="D23" s="366"/>
      <c r="E23" s="367"/>
      <c r="F23" s="484" t="s">
        <v>45</v>
      </c>
      <c r="G23" s="485"/>
      <c r="H23" s="256">
        <v>0</v>
      </c>
      <c r="I23" s="6">
        <f>I20*H23</f>
        <v>0</v>
      </c>
    </row>
    <row r="24" spans="2:12" ht="17.25" thickBot="1" x14ac:dyDescent="0.3">
      <c r="B24" s="421"/>
      <c r="C24" s="368"/>
      <c r="D24" s="368"/>
      <c r="E24" s="369"/>
      <c r="F24" s="484" t="s">
        <v>235</v>
      </c>
      <c r="G24" s="485"/>
      <c r="H24" s="486"/>
      <c r="I24" s="218">
        <f>SUM(I20:I23)</f>
        <v>0</v>
      </c>
      <c r="J24" s="113"/>
      <c r="K24" s="113"/>
    </row>
    <row r="25" spans="2:12" x14ac:dyDescent="0.25">
      <c r="I25" s="414"/>
      <c r="J25" s="113"/>
      <c r="K25" s="113"/>
    </row>
    <row r="26" spans="2:12" x14ac:dyDescent="0.25">
      <c r="I26" s="113"/>
    </row>
  </sheetData>
  <mergeCells count="26">
    <mergeCell ref="C3:D3"/>
    <mergeCell ref="E3:E4"/>
    <mergeCell ref="B9:D9"/>
    <mergeCell ref="E9:H9"/>
    <mergeCell ref="E5:H5"/>
    <mergeCell ref="F23:G23"/>
    <mergeCell ref="F24:H24"/>
    <mergeCell ref="F22:G22"/>
    <mergeCell ref="B2:D2"/>
    <mergeCell ref="E2:I2"/>
    <mergeCell ref="F20:H20"/>
    <mergeCell ref="B18:D18"/>
    <mergeCell ref="E18:H18"/>
    <mergeCell ref="I3:I4"/>
    <mergeCell ref="F3:F4"/>
    <mergeCell ref="G3:G4"/>
    <mergeCell ref="H3:H4"/>
    <mergeCell ref="B11:D11"/>
    <mergeCell ref="E11:H11"/>
    <mergeCell ref="B14:D14"/>
    <mergeCell ref="B3:B4"/>
    <mergeCell ref="E14:H14"/>
    <mergeCell ref="B16:D16"/>
    <mergeCell ref="E16:H16"/>
    <mergeCell ref="B5:D5"/>
    <mergeCell ref="F21:G21"/>
  </mergeCells>
  <pageMargins left="0.70866141732283472" right="0" top="0.74803149606299213" bottom="0.94488188976377963" header="0.31496062992125984" footer="0"/>
  <pageSetup paperSize="9" scale="54" fitToWidth="2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R44"/>
  <sheetViews>
    <sheetView view="pageBreakPreview" topLeftCell="A31" zoomScaleNormal="100" zoomScaleSheetLayoutView="100" workbookViewId="0">
      <selection activeCell="H36" sqref="H36"/>
    </sheetView>
  </sheetViews>
  <sheetFormatPr baseColWidth="10" defaultRowHeight="15" x14ac:dyDescent="0.25"/>
  <cols>
    <col min="1" max="1" width="4" customWidth="1"/>
    <col min="2" max="3" width="7.7109375" customWidth="1"/>
    <col min="4" max="4" width="6.42578125" customWidth="1"/>
    <col min="5" max="5" width="7.140625" customWidth="1"/>
    <col min="6" max="6" width="63.42578125" customWidth="1"/>
    <col min="7" max="7" width="6.42578125" bestFit="1" customWidth="1"/>
    <col min="8" max="8" width="8" customWidth="1"/>
    <col min="9" max="9" width="12.5703125" customWidth="1"/>
    <col min="10" max="10" width="15.5703125" customWidth="1"/>
    <col min="11" max="11" width="15.85546875" customWidth="1"/>
    <col min="13" max="13" width="16.28515625" bestFit="1" customWidth="1"/>
    <col min="18" max="18" width="13.5703125" bestFit="1" customWidth="1"/>
    <col min="261" max="261" width="6.85546875" bestFit="1" customWidth="1"/>
    <col min="262" max="262" width="61.7109375" customWidth="1"/>
    <col min="263" max="263" width="6.42578125" bestFit="1" customWidth="1"/>
    <col min="264" max="264" width="12.28515625" customWidth="1"/>
    <col min="265" max="265" width="17.140625" customWidth="1"/>
    <col min="266" max="266" width="21.28515625" customWidth="1"/>
    <col min="267" max="267" width="5.85546875" customWidth="1"/>
    <col min="517" max="517" width="6.85546875" bestFit="1" customWidth="1"/>
    <col min="518" max="518" width="61.7109375" customWidth="1"/>
    <col min="519" max="519" width="6.42578125" bestFit="1" customWidth="1"/>
    <col min="520" max="520" width="12.28515625" customWidth="1"/>
    <col min="521" max="521" width="17.140625" customWidth="1"/>
    <col min="522" max="522" width="21.28515625" customWidth="1"/>
    <col min="523" max="523" width="5.85546875" customWidth="1"/>
    <col min="773" max="773" width="6.85546875" bestFit="1" customWidth="1"/>
    <col min="774" max="774" width="61.7109375" customWidth="1"/>
    <col min="775" max="775" width="6.42578125" bestFit="1" customWidth="1"/>
    <col min="776" max="776" width="12.28515625" customWidth="1"/>
    <col min="777" max="777" width="17.140625" customWidth="1"/>
    <col min="778" max="778" width="21.28515625" customWidth="1"/>
    <col min="779" max="779" width="5.85546875" customWidth="1"/>
    <col min="1029" max="1029" width="6.85546875" bestFit="1" customWidth="1"/>
    <col min="1030" max="1030" width="61.7109375" customWidth="1"/>
    <col min="1031" max="1031" width="6.42578125" bestFit="1" customWidth="1"/>
    <col min="1032" max="1032" width="12.28515625" customWidth="1"/>
    <col min="1033" max="1033" width="17.140625" customWidth="1"/>
    <col min="1034" max="1034" width="21.28515625" customWidth="1"/>
    <col min="1035" max="1035" width="5.85546875" customWidth="1"/>
    <col min="1285" max="1285" width="6.85546875" bestFit="1" customWidth="1"/>
    <col min="1286" max="1286" width="61.7109375" customWidth="1"/>
    <col min="1287" max="1287" width="6.42578125" bestFit="1" customWidth="1"/>
    <col min="1288" max="1288" width="12.28515625" customWidth="1"/>
    <col min="1289" max="1289" width="17.140625" customWidth="1"/>
    <col min="1290" max="1290" width="21.28515625" customWidth="1"/>
    <col min="1291" max="1291" width="5.85546875" customWidth="1"/>
    <col min="1541" max="1541" width="6.85546875" bestFit="1" customWidth="1"/>
    <col min="1542" max="1542" width="61.7109375" customWidth="1"/>
    <col min="1543" max="1543" width="6.42578125" bestFit="1" customWidth="1"/>
    <col min="1544" max="1544" width="12.28515625" customWidth="1"/>
    <col min="1545" max="1545" width="17.140625" customWidth="1"/>
    <col min="1546" max="1546" width="21.28515625" customWidth="1"/>
    <col min="1547" max="1547" width="5.85546875" customWidth="1"/>
    <col min="1797" max="1797" width="6.85546875" bestFit="1" customWidth="1"/>
    <col min="1798" max="1798" width="61.7109375" customWidth="1"/>
    <col min="1799" max="1799" width="6.42578125" bestFit="1" customWidth="1"/>
    <col min="1800" max="1800" width="12.28515625" customWidth="1"/>
    <col min="1801" max="1801" width="17.140625" customWidth="1"/>
    <col min="1802" max="1802" width="21.28515625" customWidth="1"/>
    <col min="1803" max="1803" width="5.85546875" customWidth="1"/>
    <col min="2053" max="2053" width="6.85546875" bestFit="1" customWidth="1"/>
    <col min="2054" max="2054" width="61.7109375" customWidth="1"/>
    <col min="2055" max="2055" width="6.42578125" bestFit="1" customWidth="1"/>
    <col min="2056" max="2056" width="12.28515625" customWidth="1"/>
    <col min="2057" max="2057" width="17.140625" customWidth="1"/>
    <col min="2058" max="2058" width="21.28515625" customWidth="1"/>
    <col min="2059" max="2059" width="5.85546875" customWidth="1"/>
    <col min="2309" max="2309" width="6.85546875" bestFit="1" customWidth="1"/>
    <col min="2310" max="2310" width="61.7109375" customWidth="1"/>
    <col min="2311" max="2311" width="6.42578125" bestFit="1" customWidth="1"/>
    <col min="2312" max="2312" width="12.28515625" customWidth="1"/>
    <col min="2313" max="2313" width="17.140625" customWidth="1"/>
    <col min="2314" max="2314" width="21.28515625" customWidth="1"/>
    <col min="2315" max="2315" width="5.85546875" customWidth="1"/>
    <col min="2565" max="2565" width="6.85546875" bestFit="1" customWidth="1"/>
    <col min="2566" max="2566" width="61.7109375" customWidth="1"/>
    <col min="2567" max="2567" width="6.42578125" bestFit="1" customWidth="1"/>
    <col min="2568" max="2568" width="12.28515625" customWidth="1"/>
    <col min="2569" max="2569" width="17.140625" customWidth="1"/>
    <col min="2570" max="2570" width="21.28515625" customWidth="1"/>
    <col min="2571" max="2571" width="5.85546875" customWidth="1"/>
    <col min="2821" max="2821" width="6.85546875" bestFit="1" customWidth="1"/>
    <col min="2822" max="2822" width="61.7109375" customWidth="1"/>
    <col min="2823" max="2823" width="6.42578125" bestFit="1" customWidth="1"/>
    <col min="2824" max="2824" width="12.28515625" customWidth="1"/>
    <col min="2825" max="2825" width="17.140625" customWidth="1"/>
    <col min="2826" max="2826" width="21.28515625" customWidth="1"/>
    <col min="2827" max="2827" width="5.85546875" customWidth="1"/>
    <col min="3077" max="3077" width="6.85546875" bestFit="1" customWidth="1"/>
    <col min="3078" max="3078" width="61.7109375" customWidth="1"/>
    <col min="3079" max="3079" width="6.42578125" bestFit="1" customWidth="1"/>
    <col min="3080" max="3080" width="12.28515625" customWidth="1"/>
    <col min="3081" max="3081" width="17.140625" customWidth="1"/>
    <col min="3082" max="3082" width="21.28515625" customWidth="1"/>
    <col min="3083" max="3083" width="5.85546875" customWidth="1"/>
    <col min="3333" max="3333" width="6.85546875" bestFit="1" customWidth="1"/>
    <col min="3334" max="3334" width="61.7109375" customWidth="1"/>
    <col min="3335" max="3335" width="6.42578125" bestFit="1" customWidth="1"/>
    <col min="3336" max="3336" width="12.28515625" customWidth="1"/>
    <col min="3337" max="3337" width="17.140625" customWidth="1"/>
    <col min="3338" max="3338" width="21.28515625" customWidth="1"/>
    <col min="3339" max="3339" width="5.85546875" customWidth="1"/>
    <col min="3589" max="3589" width="6.85546875" bestFit="1" customWidth="1"/>
    <col min="3590" max="3590" width="61.7109375" customWidth="1"/>
    <col min="3591" max="3591" width="6.42578125" bestFit="1" customWidth="1"/>
    <col min="3592" max="3592" width="12.28515625" customWidth="1"/>
    <col min="3593" max="3593" width="17.140625" customWidth="1"/>
    <col min="3594" max="3594" width="21.28515625" customWidth="1"/>
    <col min="3595" max="3595" width="5.85546875" customWidth="1"/>
    <col min="3845" max="3845" width="6.85546875" bestFit="1" customWidth="1"/>
    <col min="3846" max="3846" width="61.7109375" customWidth="1"/>
    <col min="3847" max="3847" width="6.42578125" bestFit="1" customWidth="1"/>
    <col min="3848" max="3848" width="12.28515625" customWidth="1"/>
    <col min="3849" max="3849" width="17.140625" customWidth="1"/>
    <col min="3850" max="3850" width="21.28515625" customWidth="1"/>
    <col min="3851" max="3851" width="5.85546875" customWidth="1"/>
    <col min="4101" max="4101" width="6.85546875" bestFit="1" customWidth="1"/>
    <col min="4102" max="4102" width="61.7109375" customWidth="1"/>
    <col min="4103" max="4103" width="6.42578125" bestFit="1" customWidth="1"/>
    <col min="4104" max="4104" width="12.28515625" customWidth="1"/>
    <col min="4105" max="4105" width="17.140625" customWidth="1"/>
    <col min="4106" max="4106" width="21.28515625" customWidth="1"/>
    <col min="4107" max="4107" width="5.85546875" customWidth="1"/>
    <col min="4357" max="4357" width="6.85546875" bestFit="1" customWidth="1"/>
    <col min="4358" max="4358" width="61.7109375" customWidth="1"/>
    <col min="4359" max="4359" width="6.42578125" bestFit="1" customWidth="1"/>
    <col min="4360" max="4360" width="12.28515625" customWidth="1"/>
    <col min="4361" max="4361" width="17.140625" customWidth="1"/>
    <col min="4362" max="4362" width="21.28515625" customWidth="1"/>
    <col min="4363" max="4363" width="5.85546875" customWidth="1"/>
    <col min="4613" max="4613" width="6.85546875" bestFit="1" customWidth="1"/>
    <col min="4614" max="4614" width="61.7109375" customWidth="1"/>
    <col min="4615" max="4615" width="6.42578125" bestFit="1" customWidth="1"/>
    <col min="4616" max="4616" width="12.28515625" customWidth="1"/>
    <col min="4617" max="4617" width="17.140625" customWidth="1"/>
    <col min="4618" max="4618" width="21.28515625" customWidth="1"/>
    <col min="4619" max="4619" width="5.85546875" customWidth="1"/>
    <col min="4869" max="4869" width="6.85546875" bestFit="1" customWidth="1"/>
    <col min="4870" max="4870" width="61.7109375" customWidth="1"/>
    <col min="4871" max="4871" width="6.42578125" bestFit="1" customWidth="1"/>
    <col min="4872" max="4872" width="12.28515625" customWidth="1"/>
    <col min="4873" max="4873" width="17.140625" customWidth="1"/>
    <col min="4874" max="4874" width="21.28515625" customWidth="1"/>
    <col min="4875" max="4875" width="5.85546875" customWidth="1"/>
    <col min="5125" max="5125" width="6.85546875" bestFit="1" customWidth="1"/>
    <col min="5126" max="5126" width="61.7109375" customWidth="1"/>
    <col min="5127" max="5127" width="6.42578125" bestFit="1" customWidth="1"/>
    <col min="5128" max="5128" width="12.28515625" customWidth="1"/>
    <col min="5129" max="5129" width="17.140625" customWidth="1"/>
    <col min="5130" max="5130" width="21.28515625" customWidth="1"/>
    <col min="5131" max="5131" width="5.85546875" customWidth="1"/>
    <col min="5381" max="5381" width="6.85546875" bestFit="1" customWidth="1"/>
    <col min="5382" max="5382" width="61.7109375" customWidth="1"/>
    <col min="5383" max="5383" width="6.42578125" bestFit="1" customWidth="1"/>
    <col min="5384" max="5384" width="12.28515625" customWidth="1"/>
    <col min="5385" max="5385" width="17.140625" customWidth="1"/>
    <col min="5386" max="5386" width="21.28515625" customWidth="1"/>
    <col min="5387" max="5387" width="5.85546875" customWidth="1"/>
    <col min="5637" max="5637" width="6.85546875" bestFit="1" customWidth="1"/>
    <col min="5638" max="5638" width="61.7109375" customWidth="1"/>
    <col min="5639" max="5639" width="6.42578125" bestFit="1" customWidth="1"/>
    <col min="5640" max="5640" width="12.28515625" customWidth="1"/>
    <col min="5641" max="5641" width="17.140625" customWidth="1"/>
    <col min="5642" max="5642" width="21.28515625" customWidth="1"/>
    <col min="5643" max="5643" width="5.85546875" customWidth="1"/>
    <col min="5893" max="5893" width="6.85546875" bestFit="1" customWidth="1"/>
    <col min="5894" max="5894" width="61.7109375" customWidth="1"/>
    <col min="5895" max="5895" width="6.42578125" bestFit="1" customWidth="1"/>
    <col min="5896" max="5896" width="12.28515625" customWidth="1"/>
    <col min="5897" max="5897" width="17.140625" customWidth="1"/>
    <col min="5898" max="5898" width="21.28515625" customWidth="1"/>
    <col min="5899" max="5899" width="5.85546875" customWidth="1"/>
    <col min="6149" max="6149" width="6.85546875" bestFit="1" customWidth="1"/>
    <col min="6150" max="6150" width="61.7109375" customWidth="1"/>
    <col min="6151" max="6151" width="6.42578125" bestFit="1" customWidth="1"/>
    <col min="6152" max="6152" width="12.28515625" customWidth="1"/>
    <col min="6153" max="6153" width="17.140625" customWidth="1"/>
    <col min="6154" max="6154" width="21.28515625" customWidth="1"/>
    <col min="6155" max="6155" width="5.85546875" customWidth="1"/>
    <col min="6405" max="6405" width="6.85546875" bestFit="1" customWidth="1"/>
    <col min="6406" max="6406" width="61.7109375" customWidth="1"/>
    <col min="6407" max="6407" width="6.42578125" bestFit="1" customWidth="1"/>
    <col min="6408" max="6408" width="12.28515625" customWidth="1"/>
    <col min="6409" max="6409" width="17.140625" customWidth="1"/>
    <col min="6410" max="6410" width="21.28515625" customWidth="1"/>
    <col min="6411" max="6411" width="5.85546875" customWidth="1"/>
    <col min="6661" max="6661" width="6.85546875" bestFit="1" customWidth="1"/>
    <col min="6662" max="6662" width="61.7109375" customWidth="1"/>
    <col min="6663" max="6663" width="6.42578125" bestFit="1" customWidth="1"/>
    <col min="6664" max="6664" width="12.28515625" customWidth="1"/>
    <col min="6665" max="6665" width="17.140625" customWidth="1"/>
    <col min="6666" max="6666" width="21.28515625" customWidth="1"/>
    <col min="6667" max="6667" width="5.85546875" customWidth="1"/>
    <col min="6917" max="6917" width="6.85546875" bestFit="1" customWidth="1"/>
    <col min="6918" max="6918" width="61.7109375" customWidth="1"/>
    <col min="6919" max="6919" width="6.42578125" bestFit="1" customWidth="1"/>
    <col min="6920" max="6920" width="12.28515625" customWidth="1"/>
    <col min="6921" max="6921" width="17.140625" customWidth="1"/>
    <col min="6922" max="6922" width="21.28515625" customWidth="1"/>
    <col min="6923" max="6923" width="5.85546875" customWidth="1"/>
    <col min="7173" max="7173" width="6.85546875" bestFit="1" customWidth="1"/>
    <col min="7174" max="7174" width="61.7109375" customWidth="1"/>
    <col min="7175" max="7175" width="6.42578125" bestFit="1" customWidth="1"/>
    <col min="7176" max="7176" width="12.28515625" customWidth="1"/>
    <col min="7177" max="7177" width="17.140625" customWidth="1"/>
    <col min="7178" max="7178" width="21.28515625" customWidth="1"/>
    <col min="7179" max="7179" width="5.85546875" customWidth="1"/>
    <col min="7429" max="7429" width="6.85546875" bestFit="1" customWidth="1"/>
    <col min="7430" max="7430" width="61.7109375" customWidth="1"/>
    <col min="7431" max="7431" width="6.42578125" bestFit="1" customWidth="1"/>
    <col min="7432" max="7432" width="12.28515625" customWidth="1"/>
    <col min="7433" max="7433" width="17.140625" customWidth="1"/>
    <col min="7434" max="7434" width="21.28515625" customWidth="1"/>
    <col min="7435" max="7435" width="5.85546875" customWidth="1"/>
    <col min="7685" max="7685" width="6.85546875" bestFit="1" customWidth="1"/>
    <col min="7686" max="7686" width="61.7109375" customWidth="1"/>
    <col min="7687" max="7687" width="6.42578125" bestFit="1" customWidth="1"/>
    <col min="7688" max="7688" width="12.28515625" customWidth="1"/>
    <col min="7689" max="7689" width="17.140625" customWidth="1"/>
    <col min="7690" max="7690" width="21.28515625" customWidth="1"/>
    <col min="7691" max="7691" width="5.85546875" customWidth="1"/>
    <col min="7941" max="7941" width="6.85546875" bestFit="1" customWidth="1"/>
    <col min="7942" max="7942" width="61.7109375" customWidth="1"/>
    <col min="7943" max="7943" width="6.42578125" bestFit="1" customWidth="1"/>
    <col min="7944" max="7944" width="12.28515625" customWidth="1"/>
    <col min="7945" max="7945" width="17.140625" customWidth="1"/>
    <col min="7946" max="7946" width="21.28515625" customWidth="1"/>
    <col min="7947" max="7947" width="5.85546875" customWidth="1"/>
    <col min="8197" max="8197" width="6.85546875" bestFit="1" customWidth="1"/>
    <col min="8198" max="8198" width="61.7109375" customWidth="1"/>
    <col min="8199" max="8199" width="6.42578125" bestFit="1" customWidth="1"/>
    <col min="8200" max="8200" width="12.28515625" customWidth="1"/>
    <col min="8201" max="8201" width="17.140625" customWidth="1"/>
    <col min="8202" max="8202" width="21.28515625" customWidth="1"/>
    <col min="8203" max="8203" width="5.85546875" customWidth="1"/>
    <col min="8453" max="8453" width="6.85546875" bestFit="1" customWidth="1"/>
    <col min="8454" max="8454" width="61.7109375" customWidth="1"/>
    <col min="8455" max="8455" width="6.42578125" bestFit="1" customWidth="1"/>
    <col min="8456" max="8456" width="12.28515625" customWidth="1"/>
    <col min="8457" max="8457" width="17.140625" customWidth="1"/>
    <col min="8458" max="8458" width="21.28515625" customWidth="1"/>
    <col min="8459" max="8459" width="5.85546875" customWidth="1"/>
    <col min="8709" max="8709" width="6.85546875" bestFit="1" customWidth="1"/>
    <col min="8710" max="8710" width="61.7109375" customWidth="1"/>
    <col min="8711" max="8711" width="6.42578125" bestFit="1" customWidth="1"/>
    <col min="8712" max="8712" width="12.28515625" customWidth="1"/>
    <col min="8713" max="8713" width="17.140625" customWidth="1"/>
    <col min="8714" max="8714" width="21.28515625" customWidth="1"/>
    <col min="8715" max="8715" width="5.85546875" customWidth="1"/>
    <col min="8965" max="8965" width="6.85546875" bestFit="1" customWidth="1"/>
    <col min="8966" max="8966" width="61.7109375" customWidth="1"/>
    <col min="8967" max="8967" width="6.42578125" bestFit="1" customWidth="1"/>
    <col min="8968" max="8968" width="12.28515625" customWidth="1"/>
    <col min="8969" max="8969" width="17.140625" customWidth="1"/>
    <col min="8970" max="8970" width="21.28515625" customWidth="1"/>
    <col min="8971" max="8971" width="5.85546875" customWidth="1"/>
    <col min="9221" max="9221" width="6.85546875" bestFit="1" customWidth="1"/>
    <col min="9222" max="9222" width="61.7109375" customWidth="1"/>
    <col min="9223" max="9223" width="6.42578125" bestFit="1" customWidth="1"/>
    <col min="9224" max="9224" width="12.28515625" customWidth="1"/>
    <col min="9225" max="9225" width="17.140625" customWidth="1"/>
    <col min="9226" max="9226" width="21.28515625" customWidth="1"/>
    <col min="9227" max="9227" width="5.85546875" customWidth="1"/>
    <col min="9477" max="9477" width="6.85546875" bestFit="1" customWidth="1"/>
    <col min="9478" max="9478" width="61.7109375" customWidth="1"/>
    <col min="9479" max="9479" width="6.42578125" bestFit="1" customWidth="1"/>
    <col min="9480" max="9480" width="12.28515625" customWidth="1"/>
    <col min="9481" max="9481" width="17.140625" customWidth="1"/>
    <col min="9482" max="9482" width="21.28515625" customWidth="1"/>
    <col min="9483" max="9483" width="5.85546875" customWidth="1"/>
    <col min="9733" max="9733" width="6.85546875" bestFit="1" customWidth="1"/>
    <col min="9734" max="9734" width="61.7109375" customWidth="1"/>
    <col min="9735" max="9735" width="6.42578125" bestFit="1" customWidth="1"/>
    <col min="9736" max="9736" width="12.28515625" customWidth="1"/>
    <col min="9737" max="9737" width="17.140625" customWidth="1"/>
    <col min="9738" max="9738" width="21.28515625" customWidth="1"/>
    <col min="9739" max="9739" width="5.85546875" customWidth="1"/>
    <col min="9989" max="9989" width="6.85546875" bestFit="1" customWidth="1"/>
    <col min="9990" max="9990" width="61.7109375" customWidth="1"/>
    <col min="9991" max="9991" width="6.42578125" bestFit="1" customWidth="1"/>
    <col min="9992" max="9992" width="12.28515625" customWidth="1"/>
    <col min="9993" max="9993" width="17.140625" customWidth="1"/>
    <col min="9994" max="9994" width="21.28515625" customWidth="1"/>
    <col min="9995" max="9995" width="5.85546875" customWidth="1"/>
    <col min="10245" max="10245" width="6.85546875" bestFit="1" customWidth="1"/>
    <col min="10246" max="10246" width="61.7109375" customWidth="1"/>
    <col min="10247" max="10247" width="6.42578125" bestFit="1" customWidth="1"/>
    <col min="10248" max="10248" width="12.28515625" customWidth="1"/>
    <col min="10249" max="10249" width="17.140625" customWidth="1"/>
    <col min="10250" max="10250" width="21.28515625" customWidth="1"/>
    <col min="10251" max="10251" width="5.85546875" customWidth="1"/>
    <col min="10501" max="10501" width="6.85546875" bestFit="1" customWidth="1"/>
    <col min="10502" max="10502" width="61.7109375" customWidth="1"/>
    <col min="10503" max="10503" width="6.42578125" bestFit="1" customWidth="1"/>
    <col min="10504" max="10504" width="12.28515625" customWidth="1"/>
    <col min="10505" max="10505" width="17.140625" customWidth="1"/>
    <col min="10506" max="10506" width="21.28515625" customWidth="1"/>
    <col min="10507" max="10507" width="5.85546875" customWidth="1"/>
    <col min="10757" max="10757" width="6.85546875" bestFit="1" customWidth="1"/>
    <col min="10758" max="10758" width="61.7109375" customWidth="1"/>
    <col min="10759" max="10759" width="6.42578125" bestFit="1" customWidth="1"/>
    <col min="10760" max="10760" width="12.28515625" customWidth="1"/>
    <col min="10761" max="10761" width="17.140625" customWidth="1"/>
    <col min="10762" max="10762" width="21.28515625" customWidth="1"/>
    <col min="10763" max="10763" width="5.85546875" customWidth="1"/>
    <col min="11013" max="11013" width="6.85546875" bestFit="1" customWidth="1"/>
    <col min="11014" max="11014" width="61.7109375" customWidth="1"/>
    <col min="11015" max="11015" width="6.42578125" bestFit="1" customWidth="1"/>
    <col min="11016" max="11016" width="12.28515625" customWidth="1"/>
    <col min="11017" max="11017" width="17.140625" customWidth="1"/>
    <col min="11018" max="11018" width="21.28515625" customWidth="1"/>
    <col min="11019" max="11019" width="5.85546875" customWidth="1"/>
    <col min="11269" max="11269" width="6.85546875" bestFit="1" customWidth="1"/>
    <col min="11270" max="11270" width="61.7109375" customWidth="1"/>
    <col min="11271" max="11271" width="6.42578125" bestFit="1" customWidth="1"/>
    <col min="11272" max="11272" width="12.28515625" customWidth="1"/>
    <col min="11273" max="11273" width="17.140625" customWidth="1"/>
    <col min="11274" max="11274" width="21.28515625" customWidth="1"/>
    <col min="11275" max="11275" width="5.85546875" customWidth="1"/>
    <col min="11525" max="11525" width="6.85546875" bestFit="1" customWidth="1"/>
    <col min="11526" max="11526" width="61.7109375" customWidth="1"/>
    <col min="11527" max="11527" width="6.42578125" bestFit="1" customWidth="1"/>
    <col min="11528" max="11528" width="12.28515625" customWidth="1"/>
    <col min="11529" max="11529" width="17.140625" customWidth="1"/>
    <col min="11530" max="11530" width="21.28515625" customWidth="1"/>
    <col min="11531" max="11531" width="5.85546875" customWidth="1"/>
    <col min="11781" max="11781" width="6.85546875" bestFit="1" customWidth="1"/>
    <col min="11782" max="11782" width="61.7109375" customWidth="1"/>
    <col min="11783" max="11783" width="6.42578125" bestFit="1" customWidth="1"/>
    <col min="11784" max="11784" width="12.28515625" customWidth="1"/>
    <col min="11785" max="11785" width="17.140625" customWidth="1"/>
    <col min="11786" max="11786" width="21.28515625" customWidth="1"/>
    <col min="11787" max="11787" width="5.85546875" customWidth="1"/>
    <col min="12037" max="12037" width="6.85546875" bestFit="1" customWidth="1"/>
    <col min="12038" max="12038" width="61.7109375" customWidth="1"/>
    <col min="12039" max="12039" width="6.42578125" bestFit="1" customWidth="1"/>
    <col min="12040" max="12040" width="12.28515625" customWidth="1"/>
    <col min="12041" max="12041" width="17.140625" customWidth="1"/>
    <col min="12042" max="12042" width="21.28515625" customWidth="1"/>
    <col min="12043" max="12043" width="5.85546875" customWidth="1"/>
    <col min="12293" max="12293" width="6.85546875" bestFit="1" customWidth="1"/>
    <col min="12294" max="12294" width="61.7109375" customWidth="1"/>
    <col min="12295" max="12295" width="6.42578125" bestFit="1" customWidth="1"/>
    <col min="12296" max="12296" width="12.28515625" customWidth="1"/>
    <col min="12297" max="12297" width="17.140625" customWidth="1"/>
    <col min="12298" max="12298" width="21.28515625" customWidth="1"/>
    <col min="12299" max="12299" width="5.85546875" customWidth="1"/>
    <col min="12549" max="12549" width="6.85546875" bestFit="1" customWidth="1"/>
    <col min="12550" max="12550" width="61.7109375" customWidth="1"/>
    <col min="12551" max="12551" width="6.42578125" bestFit="1" customWidth="1"/>
    <col min="12552" max="12552" width="12.28515625" customWidth="1"/>
    <col min="12553" max="12553" width="17.140625" customWidth="1"/>
    <col min="12554" max="12554" width="21.28515625" customWidth="1"/>
    <col min="12555" max="12555" width="5.85546875" customWidth="1"/>
    <col min="12805" max="12805" width="6.85546875" bestFit="1" customWidth="1"/>
    <col min="12806" max="12806" width="61.7109375" customWidth="1"/>
    <col min="12807" max="12807" width="6.42578125" bestFit="1" customWidth="1"/>
    <col min="12808" max="12808" width="12.28515625" customWidth="1"/>
    <col min="12809" max="12809" width="17.140625" customWidth="1"/>
    <col min="12810" max="12810" width="21.28515625" customWidth="1"/>
    <col min="12811" max="12811" width="5.85546875" customWidth="1"/>
    <col min="13061" max="13061" width="6.85546875" bestFit="1" customWidth="1"/>
    <col min="13062" max="13062" width="61.7109375" customWidth="1"/>
    <col min="13063" max="13063" width="6.42578125" bestFit="1" customWidth="1"/>
    <col min="13064" max="13064" width="12.28515625" customWidth="1"/>
    <col min="13065" max="13065" width="17.140625" customWidth="1"/>
    <col min="13066" max="13066" width="21.28515625" customWidth="1"/>
    <col min="13067" max="13067" width="5.85546875" customWidth="1"/>
    <col min="13317" max="13317" width="6.85546875" bestFit="1" customWidth="1"/>
    <col min="13318" max="13318" width="61.7109375" customWidth="1"/>
    <col min="13319" max="13319" width="6.42578125" bestFit="1" customWidth="1"/>
    <col min="13320" max="13320" width="12.28515625" customWidth="1"/>
    <col min="13321" max="13321" width="17.140625" customWidth="1"/>
    <col min="13322" max="13322" width="21.28515625" customWidth="1"/>
    <col min="13323" max="13323" width="5.85546875" customWidth="1"/>
    <col min="13573" max="13573" width="6.85546875" bestFit="1" customWidth="1"/>
    <col min="13574" max="13574" width="61.7109375" customWidth="1"/>
    <col min="13575" max="13575" width="6.42578125" bestFit="1" customWidth="1"/>
    <col min="13576" max="13576" width="12.28515625" customWidth="1"/>
    <col min="13577" max="13577" width="17.140625" customWidth="1"/>
    <col min="13578" max="13578" width="21.28515625" customWidth="1"/>
    <col min="13579" max="13579" width="5.85546875" customWidth="1"/>
    <col min="13829" max="13829" width="6.85546875" bestFit="1" customWidth="1"/>
    <col min="13830" max="13830" width="61.7109375" customWidth="1"/>
    <col min="13831" max="13831" width="6.42578125" bestFit="1" customWidth="1"/>
    <col min="13832" max="13832" width="12.28515625" customWidth="1"/>
    <col min="13833" max="13833" width="17.140625" customWidth="1"/>
    <col min="13834" max="13834" width="21.28515625" customWidth="1"/>
    <col min="13835" max="13835" width="5.85546875" customWidth="1"/>
    <col min="14085" max="14085" width="6.85546875" bestFit="1" customWidth="1"/>
    <col min="14086" max="14086" width="61.7109375" customWidth="1"/>
    <col min="14087" max="14087" width="6.42578125" bestFit="1" customWidth="1"/>
    <col min="14088" max="14088" width="12.28515625" customWidth="1"/>
    <col min="14089" max="14089" width="17.140625" customWidth="1"/>
    <col min="14090" max="14090" width="21.28515625" customWidth="1"/>
    <col min="14091" max="14091" width="5.85546875" customWidth="1"/>
    <col min="14341" max="14341" width="6.85546875" bestFit="1" customWidth="1"/>
    <col min="14342" max="14342" width="61.7109375" customWidth="1"/>
    <col min="14343" max="14343" width="6.42578125" bestFit="1" customWidth="1"/>
    <col min="14344" max="14344" width="12.28515625" customWidth="1"/>
    <col min="14345" max="14345" width="17.140625" customWidth="1"/>
    <col min="14346" max="14346" width="21.28515625" customWidth="1"/>
    <col min="14347" max="14347" width="5.85546875" customWidth="1"/>
    <col min="14597" max="14597" width="6.85546875" bestFit="1" customWidth="1"/>
    <col min="14598" max="14598" width="61.7109375" customWidth="1"/>
    <col min="14599" max="14599" width="6.42578125" bestFit="1" customWidth="1"/>
    <col min="14600" max="14600" width="12.28515625" customWidth="1"/>
    <col min="14601" max="14601" width="17.140625" customWidth="1"/>
    <col min="14602" max="14602" width="21.28515625" customWidth="1"/>
    <col min="14603" max="14603" width="5.85546875" customWidth="1"/>
    <col min="14853" max="14853" width="6.85546875" bestFit="1" customWidth="1"/>
    <col min="14854" max="14854" width="61.7109375" customWidth="1"/>
    <col min="14855" max="14855" width="6.42578125" bestFit="1" customWidth="1"/>
    <col min="14856" max="14856" width="12.28515625" customWidth="1"/>
    <col min="14857" max="14857" width="17.140625" customWidth="1"/>
    <col min="14858" max="14858" width="21.28515625" customWidth="1"/>
    <col min="14859" max="14859" width="5.85546875" customWidth="1"/>
    <col min="15109" max="15109" width="6.85546875" bestFit="1" customWidth="1"/>
    <col min="15110" max="15110" width="61.7109375" customWidth="1"/>
    <col min="15111" max="15111" width="6.42578125" bestFit="1" customWidth="1"/>
    <col min="15112" max="15112" width="12.28515625" customWidth="1"/>
    <col min="15113" max="15113" width="17.140625" customWidth="1"/>
    <col min="15114" max="15114" width="21.28515625" customWidth="1"/>
    <col min="15115" max="15115" width="5.85546875" customWidth="1"/>
    <col min="15365" max="15365" width="6.85546875" bestFit="1" customWidth="1"/>
    <col min="15366" max="15366" width="61.7109375" customWidth="1"/>
    <col min="15367" max="15367" width="6.42578125" bestFit="1" customWidth="1"/>
    <col min="15368" max="15368" width="12.28515625" customWidth="1"/>
    <col min="15369" max="15369" width="17.140625" customWidth="1"/>
    <col min="15370" max="15370" width="21.28515625" customWidth="1"/>
    <col min="15371" max="15371" width="5.85546875" customWidth="1"/>
    <col min="15621" max="15621" width="6.85546875" bestFit="1" customWidth="1"/>
    <col min="15622" max="15622" width="61.7109375" customWidth="1"/>
    <col min="15623" max="15623" width="6.42578125" bestFit="1" customWidth="1"/>
    <col min="15624" max="15624" width="12.28515625" customWidth="1"/>
    <col min="15625" max="15625" width="17.140625" customWidth="1"/>
    <col min="15626" max="15626" width="21.28515625" customWidth="1"/>
    <col min="15627" max="15627" width="5.85546875" customWidth="1"/>
    <col min="15877" max="15877" width="6.85546875" bestFit="1" customWidth="1"/>
    <col min="15878" max="15878" width="61.7109375" customWidth="1"/>
    <col min="15879" max="15879" width="6.42578125" bestFit="1" customWidth="1"/>
    <col min="15880" max="15880" width="12.28515625" customWidth="1"/>
    <col min="15881" max="15881" width="17.140625" customWidth="1"/>
    <col min="15882" max="15882" width="21.28515625" customWidth="1"/>
    <col min="15883" max="15883" width="5.85546875" customWidth="1"/>
    <col min="16133" max="16133" width="6.85546875" bestFit="1" customWidth="1"/>
    <col min="16134" max="16134" width="61.7109375" customWidth="1"/>
    <col min="16135" max="16135" width="6.42578125" bestFit="1" customWidth="1"/>
    <col min="16136" max="16136" width="12.28515625" customWidth="1"/>
    <col min="16137" max="16137" width="17.140625" customWidth="1"/>
    <col min="16138" max="16138" width="21.28515625" customWidth="1"/>
    <col min="16139" max="16139" width="5.85546875" customWidth="1"/>
  </cols>
  <sheetData>
    <row r="1" spans="2:18" ht="15.75" thickBot="1" x14ac:dyDescent="0.3"/>
    <row r="2" spans="2:18" ht="18" customHeight="1" thickBot="1" x14ac:dyDescent="0.3">
      <c r="B2" s="425" t="s">
        <v>52</v>
      </c>
      <c r="C2" s="426"/>
      <c r="D2" s="426"/>
      <c r="E2" s="427"/>
      <c r="F2" s="428" t="s">
        <v>191</v>
      </c>
      <c r="G2" s="429"/>
      <c r="H2" s="429"/>
      <c r="I2" s="429"/>
      <c r="J2" s="430"/>
    </row>
    <row r="3" spans="2:18" ht="15.75" customHeight="1" thickBot="1" x14ac:dyDescent="0.3">
      <c r="B3" s="437" t="s">
        <v>13</v>
      </c>
      <c r="C3" s="437" t="s">
        <v>14</v>
      </c>
      <c r="D3" s="439" t="s">
        <v>15</v>
      </c>
      <c r="E3" s="440"/>
      <c r="F3" s="441" t="s">
        <v>1</v>
      </c>
      <c r="G3" s="443" t="s">
        <v>11</v>
      </c>
      <c r="H3" s="443" t="s">
        <v>12</v>
      </c>
      <c r="I3" s="443" t="s">
        <v>39</v>
      </c>
      <c r="J3" s="443" t="s">
        <v>40</v>
      </c>
    </row>
    <row r="4" spans="2:18" ht="15.75" thickBot="1" x14ac:dyDescent="0.3">
      <c r="B4" s="584"/>
      <c r="C4" s="438"/>
      <c r="D4" s="23" t="s">
        <v>16</v>
      </c>
      <c r="E4" s="23" t="s">
        <v>17</v>
      </c>
      <c r="F4" s="585"/>
      <c r="G4" s="586"/>
      <c r="H4" s="586"/>
      <c r="I4" s="586"/>
      <c r="J4" s="586"/>
    </row>
    <row r="5" spans="2:18" ht="17.25" thickBot="1" x14ac:dyDescent="0.3">
      <c r="B5" s="21" t="s">
        <v>23</v>
      </c>
      <c r="C5" s="451"/>
      <c r="D5" s="452"/>
      <c r="E5" s="453"/>
      <c r="F5" s="454" t="s">
        <v>2</v>
      </c>
      <c r="G5" s="455"/>
      <c r="H5" s="455"/>
      <c r="I5" s="456"/>
      <c r="J5" s="4" t="e">
        <f>SUM(J6:J11)</f>
        <v>#REF!</v>
      </c>
    </row>
    <row r="6" spans="2:18" ht="16.5" x14ac:dyDescent="0.25">
      <c r="B6" s="24" t="s">
        <v>24</v>
      </c>
      <c r="C6" s="37" t="s">
        <v>55</v>
      </c>
      <c r="D6" s="37" t="s">
        <v>59</v>
      </c>
      <c r="E6" s="37" t="s">
        <v>55</v>
      </c>
      <c r="F6" s="13" t="s">
        <v>203</v>
      </c>
      <c r="G6" s="11" t="s">
        <v>3</v>
      </c>
      <c r="H6" s="71">
        <f>ROUND(H7*2,0)</f>
        <v>761</v>
      </c>
      <c r="I6" s="12" t="e">
        <f>#REF!</f>
        <v>#REF!</v>
      </c>
      <c r="J6" s="62" t="e">
        <f>H6*I6</f>
        <v>#REF!</v>
      </c>
    </row>
    <row r="7" spans="2:18" ht="16.5" x14ac:dyDescent="0.25">
      <c r="B7" s="26" t="s">
        <v>26</v>
      </c>
      <c r="C7" s="37" t="s">
        <v>57</v>
      </c>
      <c r="D7" s="227" t="s">
        <v>59</v>
      </c>
      <c r="E7" s="227" t="s">
        <v>57</v>
      </c>
      <c r="F7" s="9" t="s">
        <v>204</v>
      </c>
      <c r="G7" s="8" t="s">
        <v>6</v>
      </c>
      <c r="H7" s="82">
        <f>18+H32+H37+38+13+32+49+100</f>
        <v>380.5</v>
      </c>
      <c r="I7" s="10" t="e">
        <f>#REF!</f>
        <v>#REF!</v>
      </c>
      <c r="J7" s="25" t="e">
        <f>H7*I7</f>
        <v>#REF!</v>
      </c>
    </row>
    <row r="8" spans="2:18" ht="16.5" x14ac:dyDescent="0.25">
      <c r="B8" s="27" t="s">
        <v>27</v>
      </c>
      <c r="C8" s="231" t="s">
        <v>58</v>
      </c>
      <c r="D8" s="227">
        <v>200</v>
      </c>
      <c r="E8" s="227" t="s">
        <v>59</v>
      </c>
      <c r="F8" s="17" t="s">
        <v>56</v>
      </c>
      <c r="G8" s="15" t="s">
        <v>3</v>
      </c>
      <c r="H8" s="96">
        <f>ROUND(H6,0)</f>
        <v>761</v>
      </c>
      <c r="I8" s="16">
        <f>'200.1'!I38</f>
        <v>0</v>
      </c>
      <c r="J8" s="63">
        <f>H8*I8</f>
        <v>0</v>
      </c>
    </row>
    <row r="9" spans="2:18" ht="16.5" x14ac:dyDescent="0.25">
      <c r="B9" s="87" t="s">
        <v>206</v>
      </c>
      <c r="C9" s="37" t="s">
        <v>215</v>
      </c>
      <c r="D9" s="227">
        <v>200</v>
      </c>
      <c r="E9" s="227" t="s">
        <v>59</v>
      </c>
      <c r="F9" s="9" t="s">
        <v>205</v>
      </c>
      <c r="G9" s="8" t="s">
        <v>3</v>
      </c>
      <c r="H9" s="82">
        <v>24</v>
      </c>
      <c r="I9" s="83">
        <v>85000</v>
      </c>
      <c r="J9" s="63">
        <f>H9*I9</f>
        <v>2040000</v>
      </c>
      <c r="K9" t="s">
        <v>213</v>
      </c>
    </row>
    <row r="10" spans="2:18" ht="16.5" x14ac:dyDescent="0.25">
      <c r="B10" s="87" t="s">
        <v>216</v>
      </c>
      <c r="C10" s="37" t="s">
        <v>217</v>
      </c>
      <c r="D10" s="227">
        <v>200</v>
      </c>
      <c r="E10" s="227" t="s">
        <v>59</v>
      </c>
      <c r="F10" s="9" t="s">
        <v>207</v>
      </c>
      <c r="G10" s="8" t="s">
        <v>6</v>
      </c>
      <c r="H10" s="82">
        <f>H37+H36+H35</f>
        <v>362.5</v>
      </c>
      <c r="I10" s="83">
        <v>9500</v>
      </c>
      <c r="J10" s="63">
        <f t="shared" ref="J10:J11" si="0">H10*I10</f>
        <v>3443750</v>
      </c>
      <c r="K10" t="s">
        <v>213</v>
      </c>
    </row>
    <row r="11" spans="2:18" ht="17.25" thickBot="1" x14ac:dyDescent="0.3">
      <c r="B11" s="233" t="s">
        <v>218</v>
      </c>
      <c r="C11" s="231" t="s">
        <v>219</v>
      </c>
      <c r="D11" s="232">
        <v>200</v>
      </c>
      <c r="E11" s="232" t="s">
        <v>59</v>
      </c>
      <c r="F11" s="17" t="s">
        <v>208</v>
      </c>
      <c r="G11" s="15" t="s">
        <v>6</v>
      </c>
      <c r="H11" s="96">
        <v>50</v>
      </c>
      <c r="I11" s="70">
        <v>45000</v>
      </c>
      <c r="J11" s="63">
        <f t="shared" si="0"/>
        <v>2250000</v>
      </c>
      <c r="K11" t="s">
        <v>213</v>
      </c>
    </row>
    <row r="12" spans="2:18" ht="17.25" thickBot="1" x14ac:dyDescent="0.3">
      <c r="B12" s="21" t="s">
        <v>28</v>
      </c>
      <c r="C12" s="451"/>
      <c r="D12" s="452"/>
      <c r="E12" s="453"/>
      <c r="F12" s="454" t="s">
        <v>31</v>
      </c>
      <c r="G12" s="455"/>
      <c r="H12" s="455"/>
      <c r="I12" s="456"/>
      <c r="J12" s="4">
        <f>J13</f>
        <v>0</v>
      </c>
    </row>
    <row r="13" spans="2:18" ht="17.25" thickBot="1" x14ac:dyDescent="0.3">
      <c r="B13" s="36" t="s">
        <v>30</v>
      </c>
      <c r="C13" s="37" t="s">
        <v>60</v>
      </c>
      <c r="D13" s="37">
        <v>200</v>
      </c>
      <c r="E13" s="37" t="s">
        <v>59</v>
      </c>
      <c r="F13" s="7" t="s">
        <v>192</v>
      </c>
      <c r="G13" s="28" t="s">
        <v>7</v>
      </c>
      <c r="H13" s="97">
        <f>ROUND((((18/4)*1)*(2.35*1.5*2))+8+15+5+2+6+8+25,0)</f>
        <v>101</v>
      </c>
      <c r="I13" s="18">
        <f>'200.2'!I38</f>
        <v>0</v>
      </c>
      <c r="J13" s="29">
        <f>H13*I13</f>
        <v>0</v>
      </c>
    </row>
    <row r="14" spans="2:18" ht="17.25" thickBot="1" x14ac:dyDescent="0.3">
      <c r="B14" s="21" t="s">
        <v>33</v>
      </c>
      <c r="C14" s="451"/>
      <c r="D14" s="452"/>
      <c r="E14" s="453"/>
      <c r="F14" s="454" t="s">
        <v>32</v>
      </c>
      <c r="G14" s="455"/>
      <c r="H14" s="455"/>
      <c r="I14" s="456"/>
      <c r="J14" s="4" t="e">
        <f>J15</f>
        <v>#REF!</v>
      </c>
    </row>
    <row r="15" spans="2:18" ht="18.75" customHeight="1" thickBot="1" x14ac:dyDescent="0.3">
      <c r="B15" s="30" t="s">
        <v>34</v>
      </c>
      <c r="C15" s="37" t="s">
        <v>61</v>
      </c>
      <c r="D15" s="37">
        <v>200</v>
      </c>
      <c r="E15" s="37" t="s">
        <v>59</v>
      </c>
      <c r="F15" s="19" t="s">
        <v>209</v>
      </c>
      <c r="G15" s="20" t="s">
        <v>7</v>
      </c>
      <c r="H15" s="97">
        <v>90.772248033369749</v>
      </c>
      <c r="I15" s="18" t="e">
        <f>#REF!</f>
        <v>#REF!</v>
      </c>
      <c r="J15" s="64" t="e">
        <f>H15*I15</f>
        <v>#REF!</v>
      </c>
      <c r="R15" s="72"/>
    </row>
    <row r="16" spans="2:18" ht="18.75" customHeight="1" thickBot="1" x14ac:dyDescent="0.3">
      <c r="B16" s="228" t="s">
        <v>36</v>
      </c>
      <c r="C16" s="451"/>
      <c r="D16" s="452"/>
      <c r="E16" s="453"/>
      <c r="F16" s="575" t="s">
        <v>211</v>
      </c>
      <c r="G16" s="576"/>
      <c r="H16" s="576"/>
      <c r="I16" s="577"/>
      <c r="J16" s="225" t="e">
        <f>J17</f>
        <v>#REF!</v>
      </c>
      <c r="R16" s="72"/>
    </row>
    <row r="17" spans="2:18" ht="18.75" customHeight="1" thickBot="1" x14ac:dyDescent="0.3">
      <c r="B17" s="87">
        <v>4.0999999999999996</v>
      </c>
      <c r="C17" s="231" t="s">
        <v>214</v>
      </c>
      <c r="D17" s="231">
        <v>200</v>
      </c>
      <c r="E17" s="231" t="s">
        <v>59</v>
      </c>
      <c r="F17" s="9" t="s">
        <v>210</v>
      </c>
      <c r="G17" s="81" t="s">
        <v>7</v>
      </c>
      <c r="H17" s="82">
        <f>H13-H15</f>
        <v>10.227751966630251</v>
      </c>
      <c r="I17" s="83" t="e">
        <f>#REF!</f>
        <v>#REF!</v>
      </c>
      <c r="J17" s="83" t="e">
        <f>H17*I17</f>
        <v>#REF!</v>
      </c>
      <c r="K17" t="s">
        <v>213</v>
      </c>
      <c r="R17" s="72"/>
    </row>
    <row r="18" spans="2:18" ht="17.25" thickBot="1" x14ac:dyDescent="0.3">
      <c r="B18" s="229" t="s">
        <v>50</v>
      </c>
      <c r="C18" s="451"/>
      <c r="D18" s="452"/>
      <c r="E18" s="453"/>
      <c r="F18" s="581" t="s">
        <v>119</v>
      </c>
      <c r="G18" s="582"/>
      <c r="H18" s="582"/>
      <c r="I18" s="583"/>
      <c r="J18" s="226" t="e">
        <f>SUM(J19:J21)</f>
        <v>#REF!</v>
      </c>
      <c r="R18" s="73"/>
    </row>
    <row r="19" spans="2:18" ht="16.5" x14ac:dyDescent="0.25">
      <c r="B19" s="24" t="s">
        <v>48</v>
      </c>
      <c r="C19" s="75" t="s">
        <v>132</v>
      </c>
      <c r="D19" s="75">
        <v>600</v>
      </c>
      <c r="E19" s="75" t="s">
        <v>59</v>
      </c>
      <c r="F19" s="76" t="s">
        <v>120</v>
      </c>
      <c r="G19" s="81" t="s">
        <v>6</v>
      </c>
      <c r="H19" s="82">
        <f>13*5</f>
        <v>65</v>
      </c>
      <c r="I19" s="77" t="e">
        <f>#REF!</f>
        <v>#REF!</v>
      </c>
      <c r="J19" s="78" t="e">
        <f>H19*I19</f>
        <v>#REF!</v>
      </c>
      <c r="R19" s="72"/>
    </row>
    <row r="20" spans="2:18" ht="16.5" x14ac:dyDescent="0.25">
      <c r="B20" s="87" t="s">
        <v>130</v>
      </c>
      <c r="C20" s="75" t="s">
        <v>133</v>
      </c>
      <c r="D20" s="75">
        <v>620</v>
      </c>
      <c r="E20" s="75" t="s">
        <v>59</v>
      </c>
      <c r="F20" s="80" t="s">
        <v>121</v>
      </c>
      <c r="G20" s="81" t="s">
        <v>7</v>
      </c>
      <c r="H20" s="83">
        <f>ROUND((5*2.35*1.5*0.05),0)</f>
        <v>1</v>
      </c>
      <c r="I20" s="77" t="e">
        <f>#REF!</f>
        <v>#REF!</v>
      </c>
      <c r="J20" s="78" t="e">
        <f t="shared" ref="J20:J21" si="1">H20*I20</f>
        <v>#REF!</v>
      </c>
    </row>
    <row r="21" spans="2:18" ht="17.25" thickBot="1" x14ac:dyDescent="0.3">
      <c r="B21" s="36" t="s">
        <v>131</v>
      </c>
      <c r="C21" s="75" t="s">
        <v>135</v>
      </c>
      <c r="D21" s="75">
        <v>620</v>
      </c>
      <c r="E21" s="75" t="s">
        <v>59</v>
      </c>
      <c r="F21" s="84" t="s">
        <v>122</v>
      </c>
      <c r="G21" s="79" t="s">
        <v>7</v>
      </c>
      <c r="H21" s="83">
        <f>ROUND((5*2.35*1.5*0.4),0)</f>
        <v>7</v>
      </c>
      <c r="I21" s="77" t="e">
        <f>#REF!</f>
        <v>#REF!</v>
      </c>
      <c r="J21" s="78" t="e">
        <f t="shared" si="1"/>
        <v>#REF!</v>
      </c>
    </row>
    <row r="22" spans="2:18" ht="17.25" thickBot="1" x14ac:dyDescent="0.3">
      <c r="B22" s="22" t="s">
        <v>51</v>
      </c>
      <c r="C22" s="451"/>
      <c r="D22" s="452"/>
      <c r="E22" s="453"/>
      <c r="F22" s="454" t="s">
        <v>124</v>
      </c>
      <c r="G22" s="455"/>
      <c r="H22" s="455"/>
      <c r="I22" s="456"/>
      <c r="J22" s="4" t="e">
        <f>SUM(J23:J25)</f>
        <v>#REF!</v>
      </c>
    </row>
    <row r="23" spans="2:18" ht="16.5" x14ac:dyDescent="0.25">
      <c r="B23" s="88" t="s">
        <v>49</v>
      </c>
      <c r="C23" s="75" t="s">
        <v>136</v>
      </c>
      <c r="D23" s="75">
        <v>620</v>
      </c>
      <c r="E23" s="75" t="s">
        <v>59</v>
      </c>
      <c r="F23" s="89" t="s">
        <v>125</v>
      </c>
      <c r="G23" s="79" t="s">
        <v>7</v>
      </c>
      <c r="H23" s="71">
        <f>ROUND((2.7*0.5*0.4*5),)</f>
        <v>3</v>
      </c>
      <c r="I23" s="77" t="e">
        <f>#REF!</f>
        <v>#REF!</v>
      </c>
      <c r="J23" s="78" t="e">
        <f>H23*I23</f>
        <v>#REF!</v>
      </c>
    </row>
    <row r="24" spans="2:18" ht="16.5" x14ac:dyDescent="0.25">
      <c r="B24" s="87" t="s">
        <v>193</v>
      </c>
      <c r="C24" s="75" t="s">
        <v>137</v>
      </c>
      <c r="D24" s="75">
        <v>620</v>
      </c>
      <c r="E24" s="85" t="s">
        <v>59</v>
      </c>
      <c r="F24" s="80" t="s">
        <v>126</v>
      </c>
      <c r="G24" s="81" t="s">
        <v>7</v>
      </c>
      <c r="H24" s="82">
        <f>(18*0.5*0.4)</f>
        <v>3.6</v>
      </c>
      <c r="I24" s="83" t="e">
        <f>#REF!</f>
        <v>#REF!</v>
      </c>
      <c r="J24" s="78" t="e">
        <f t="shared" ref="J24:J25" si="2">H24*I24</f>
        <v>#REF!</v>
      </c>
    </row>
    <row r="25" spans="2:18" ht="17.25" thickBot="1" x14ac:dyDescent="0.3">
      <c r="B25" s="87" t="s">
        <v>194</v>
      </c>
      <c r="C25" s="75" t="s">
        <v>138</v>
      </c>
      <c r="D25" s="75">
        <v>620</v>
      </c>
      <c r="E25" s="85" t="s">
        <v>59</v>
      </c>
      <c r="F25" s="90" t="s">
        <v>127</v>
      </c>
      <c r="G25" s="79" t="s">
        <v>3</v>
      </c>
      <c r="H25" s="96">
        <f>(18*2.5)</f>
        <v>45</v>
      </c>
      <c r="I25" s="70" t="e">
        <f>#REF!</f>
        <v>#REF!</v>
      </c>
      <c r="J25" s="78" t="e">
        <f t="shared" si="2"/>
        <v>#REF!</v>
      </c>
    </row>
    <row r="26" spans="2:18" ht="17.25" thickBot="1" x14ac:dyDescent="0.3">
      <c r="B26" s="86" t="s">
        <v>195</v>
      </c>
      <c r="C26" s="578"/>
      <c r="D26" s="579"/>
      <c r="E26" s="580"/>
      <c r="F26" s="454" t="s">
        <v>128</v>
      </c>
      <c r="G26" s="455"/>
      <c r="H26" s="455"/>
      <c r="I26" s="456"/>
      <c r="J26" s="4" t="e">
        <f>J27</f>
        <v>#REF!</v>
      </c>
    </row>
    <row r="27" spans="2:18" ht="17.25" thickBot="1" x14ac:dyDescent="0.3">
      <c r="B27" s="31" t="s">
        <v>196</v>
      </c>
      <c r="C27" s="91" t="s">
        <v>139</v>
      </c>
      <c r="D27" s="91">
        <v>8000</v>
      </c>
      <c r="E27" s="91" t="s">
        <v>59</v>
      </c>
      <c r="F27" s="92" t="s">
        <v>129</v>
      </c>
      <c r="G27" s="93" t="s">
        <v>5</v>
      </c>
      <c r="H27" s="94">
        <f>ROUND((17188*18)/262,0)</f>
        <v>1181</v>
      </c>
      <c r="I27" s="94" t="e">
        <f>#REF!</f>
        <v>#REF!</v>
      </c>
      <c r="J27" s="65" t="e">
        <f>H27*I27</f>
        <v>#REF!</v>
      </c>
    </row>
    <row r="28" spans="2:18" s="103" customFormat="1" ht="17.25" thickBot="1" x14ac:dyDescent="0.3">
      <c r="B28" s="22" t="s">
        <v>197</v>
      </c>
      <c r="C28" s="451"/>
      <c r="D28" s="452"/>
      <c r="E28" s="453"/>
      <c r="F28" s="454" t="s">
        <v>4</v>
      </c>
      <c r="G28" s="455"/>
      <c r="H28" s="455"/>
      <c r="I28" s="456"/>
      <c r="J28" s="4">
        <f>SUM(J29:J30)</f>
        <v>0</v>
      </c>
    </row>
    <row r="29" spans="2:18" s="103" customFormat="1" ht="30.75" customHeight="1" x14ac:dyDescent="0.25">
      <c r="B29" s="194">
        <v>8.1</v>
      </c>
      <c r="C29" s="75" t="s">
        <v>62</v>
      </c>
      <c r="D29" s="195">
        <v>700</v>
      </c>
      <c r="E29" s="75" t="s">
        <v>59</v>
      </c>
      <c r="F29" s="76" t="s">
        <v>41</v>
      </c>
      <c r="G29" s="196" t="s">
        <v>5</v>
      </c>
      <c r="H29" s="71">
        <f>52+36+23+8+20+30+50</f>
        <v>219</v>
      </c>
      <c r="I29" s="77">
        <f>'700.2'!I38</f>
        <v>0</v>
      </c>
      <c r="J29" s="78">
        <f>H29*I29</f>
        <v>0</v>
      </c>
    </row>
    <row r="30" spans="2:18" s="103" customFormat="1" ht="33.75" thickBot="1" x14ac:dyDescent="0.3">
      <c r="B30" s="197">
        <v>8.1999999999999993</v>
      </c>
      <c r="C30" s="75" t="s">
        <v>63</v>
      </c>
      <c r="D30" s="198">
        <v>400</v>
      </c>
      <c r="E30" s="75" t="s">
        <v>59</v>
      </c>
      <c r="F30" s="199" t="s">
        <v>42</v>
      </c>
      <c r="G30" s="200" t="s">
        <v>6</v>
      </c>
      <c r="H30" s="70">
        <f>(H32*5)+(H37*3)+(H36*3)+(13*3)+(32*3)+(49*3)+(100*3)</f>
        <v>1764.5</v>
      </c>
      <c r="I30" s="70">
        <f>'400.1'!I38</f>
        <v>0</v>
      </c>
      <c r="J30" s="78">
        <f>H30*I30</f>
        <v>0</v>
      </c>
    </row>
    <row r="31" spans="2:18" s="103" customFormat="1" ht="17.25" thickBot="1" x14ac:dyDescent="0.3">
      <c r="B31" s="22" t="s">
        <v>198</v>
      </c>
      <c r="C31" s="451"/>
      <c r="D31" s="452"/>
      <c r="E31" s="453"/>
      <c r="F31" s="454" t="s">
        <v>8</v>
      </c>
      <c r="G31" s="455"/>
      <c r="H31" s="455"/>
      <c r="I31" s="456"/>
      <c r="J31" s="4" t="e">
        <f>SUM(J32:J33)</f>
        <v>#REF!</v>
      </c>
    </row>
    <row r="32" spans="2:18" s="103" customFormat="1" ht="65.25" customHeight="1" x14ac:dyDescent="0.25">
      <c r="B32" s="206">
        <v>9.1</v>
      </c>
      <c r="C32" s="75" t="s">
        <v>184</v>
      </c>
      <c r="D32" s="75">
        <v>500</v>
      </c>
      <c r="E32" s="75" t="s">
        <v>59</v>
      </c>
      <c r="F32" s="205" t="s">
        <v>185</v>
      </c>
      <c r="G32" s="11" t="s">
        <v>6</v>
      </c>
      <c r="H32" s="14">
        <v>47.5</v>
      </c>
      <c r="I32" s="12" t="e">
        <f>#REF!</f>
        <v>#REF!</v>
      </c>
      <c r="J32" s="12" t="e">
        <f>H32*I32</f>
        <v>#REF!</v>
      </c>
      <c r="K32" s="223"/>
    </row>
    <row r="33" spans="2:13" s="103" customFormat="1" ht="67.5" customHeight="1" thickBot="1" x14ac:dyDescent="0.3">
      <c r="B33" s="108">
        <v>9.1999999999999993</v>
      </c>
      <c r="C33" s="75" t="s">
        <v>64</v>
      </c>
      <c r="D33" s="75">
        <v>500</v>
      </c>
      <c r="E33" s="75" t="s">
        <v>59</v>
      </c>
      <c r="F33" s="111" t="s">
        <v>189</v>
      </c>
      <c r="G33" s="189" t="s">
        <v>6</v>
      </c>
      <c r="H33" s="97">
        <f>H37+38+13+32+49+100</f>
        <v>315</v>
      </c>
      <c r="I33" s="190">
        <f>'500.6'!I38</f>
        <v>0</v>
      </c>
      <c r="J33" s="12">
        <f>H33*I33</f>
        <v>0</v>
      </c>
    </row>
    <row r="34" spans="2:13" s="103" customFormat="1" ht="17.25" thickBot="1" x14ac:dyDescent="0.3">
      <c r="B34" s="22" t="s">
        <v>199</v>
      </c>
      <c r="C34" s="451"/>
      <c r="D34" s="452"/>
      <c r="E34" s="453"/>
      <c r="F34" s="454" t="s">
        <v>9</v>
      </c>
      <c r="G34" s="455"/>
      <c r="H34" s="455"/>
      <c r="I34" s="456"/>
      <c r="J34" s="4" t="e">
        <f>SUM(J35:J37)</f>
        <v>#REF!</v>
      </c>
      <c r="K34" s="188"/>
    </row>
    <row r="35" spans="2:13" s="103" customFormat="1" ht="50.25" thickBot="1" x14ac:dyDescent="0.3">
      <c r="B35" s="109">
        <v>10.1</v>
      </c>
      <c r="C35" s="91" t="s">
        <v>187</v>
      </c>
      <c r="D35" s="91">
        <v>500</v>
      </c>
      <c r="E35" s="91" t="s">
        <v>59</v>
      </c>
      <c r="F35" s="92" t="s">
        <v>190</v>
      </c>
      <c r="G35" s="93" t="s">
        <v>6</v>
      </c>
      <c r="H35" s="112">
        <f>H32</f>
        <v>47.5</v>
      </c>
      <c r="I35" s="94" t="e">
        <f>#REF!</f>
        <v>#REF!</v>
      </c>
      <c r="J35" s="110" t="e">
        <f>H35*I35</f>
        <v>#REF!</v>
      </c>
    </row>
    <row r="36" spans="2:13" s="103" customFormat="1" ht="48.75" customHeight="1" thickBot="1" x14ac:dyDescent="0.3">
      <c r="B36" s="109">
        <v>10.199999999999999</v>
      </c>
      <c r="C36" s="91" t="s">
        <v>65</v>
      </c>
      <c r="D36" s="91">
        <v>500</v>
      </c>
      <c r="E36" s="91" t="s">
        <v>59</v>
      </c>
      <c r="F36" s="92" t="s">
        <v>178</v>
      </c>
      <c r="G36" s="93" t="s">
        <v>6</v>
      </c>
      <c r="H36" s="112">
        <f>38+13+32+49+100</f>
        <v>232</v>
      </c>
      <c r="I36" s="94" t="e">
        <f>#REF!</f>
        <v>#REF!</v>
      </c>
      <c r="J36" s="110" t="e">
        <f t="shared" ref="J36:J37" si="3">H36*I36</f>
        <v>#REF!</v>
      </c>
    </row>
    <row r="37" spans="2:13" ht="33.75" thickBot="1" x14ac:dyDescent="0.3">
      <c r="B37" s="31">
        <v>10.3</v>
      </c>
      <c r="C37" s="38" t="s">
        <v>144</v>
      </c>
      <c r="D37" s="38">
        <v>500</v>
      </c>
      <c r="E37" s="38" t="s">
        <v>59</v>
      </c>
      <c r="F37" s="32" t="s">
        <v>180</v>
      </c>
      <c r="G37" s="33" t="s">
        <v>6</v>
      </c>
      <c r="H37" s="34">
        <v>83</v>
      </c>
      <c r="I37" s="35">
        <f>'500.9'!I38</f>
        <v>0</v>
      </c>
      <c r="J37" s="110">
        <f t="shared" si="3"/>
        <v>0</v>
      </c>
      <c r="K37" s="224"/>
      <c r="L37" t="s">
        <v>220</v>
      </c>
      <c r="M37" s="224">
        <f>H35+H36+H37+18</f>
        <v>380.5</v>
      </c>
    </row>
    <row r="38" spans="2:13" ht="16.5" x14ac:dyDescent="0.25">
      <c r="B38" s="230" t="s">
        <v>153</v>
      </c>
      <c r="C38" s="572"/>
      <c r="D38" s="573"/>
      <c r="E38" s="574"/>
      <c r="F38" s="575" t="s">
        <v>200</v>
      </c>
      <c r="G38" s="576"/>
      <c r="H38" s="576"/>
      <c r="I38" s="577"/>
      <c r="J38" s="225">
        <f>J39</f>
        <v>540000</v>
      </c>
      <c r="K38" s="224"/>
    </row>
    <row r="39" spans="2:13" ht="17.25" thickBot="1" x14ac:dyDescent="0.3">
      <c r="B39" s="87">
        <v>11.1</v>
      </c>
      <c r="C39" s="227" t="s">
        <v>212</v>
      </c>
      <c r="D39" s="227">
        <v>900</v>
      </c>
      <c r="E39" s="227" t="s">
        <v>59</v>
      </c>
      <c r="F39" s="9" t="s">
        <v>201</v>
      </c>
      <c r="G39" s="81" t="s">
        <v>202</v>
      </c>
      <c r="H39" s="82">
        <v>1</v>
      </c>
      <c r="I39" s="83">
        <v>540000</v>
      </c>
      <c r="J39" s="83">
        <f>H39*I39</f>
        <v>540000</v>
      </c>
      <c r="K39" s="224" t="s">
        <v>213</v>
      </c>
    </row>
    <row r="40" spans="2:13" ht="17.25" thickBot="1" x14ac:dyDescent="0.3">
      <c r="B40" s="475"/>
      <c r="C40" s="476"/>
      <c r="D40" s="476"/>
      <c r="E40" s="476"/>
      <c r="F40" s="477"/>
      <c r="G40" s="484" t="s">
        <v>43</v>
      </c>
      <c r="H40" s="485"/>
      <c r="I40" s="486"/>
      <c r="J40" s="114" t="e">
        <f>J5+J12+J14+J16+J18+J22+J26+J28+J31+J34+J38</f>
        <v>#REF!</v>
      </c>
      <c r="K40" s="224"/>
    </row>
    <row r="41" spans="2:13" ht="17.25" thickBot="1" x14ac:dyDescent="0.3">
      <c r="B41" s="478"/>
      <c r="C41" s="479"/>
      <c r="D41" s="479"/>
      <c r="E41" s="479"/>
      <c r="F41" s="480"/>
      <c r="G41" s="484" t="s">
        <v>44</v>
      </c>
      <c r="H41" s="485"/>
      <c r="I41" s="53">
        <v>0.25</v>
      </c>
      <c r="J41" s="6" t="e">
        <f>J40*I41</f>
        <v>#REF!</v>
      </c>
      <c r="K41" s="224"/>
      <c r="L41" s="224"/>
    </row>
    <row r="42" spans="2:13" ht="17.25" thickBot="1" x14ac:dyDescent="0.3">
      <c r="B42" s="478"/>
      <c r="C42" s="479"/>
      <c r="D42" s="479"/>
      <c r="E42" s="479"/>
      <c r="F42" s="480"/>
      <c r="G42" s="484" t="s">
        <v>45</v>
      </c>
      <c r="H42" s="485"/>
      <c r="I42" s="53">
        <v>0.05</v>
      </c>
      <c r="J42" s="6" t="e">
        <f>J40*I42</f>
        <v>#REF!</v>
      </c>
    </row>
    <row r="43" spans="2:13" ht="17.25" thickBot="1" x14ac:dyDescent="0.3">
      <c r="B43" s="481"/>
      <c r="C43" s="482"/>
      <c r="D43" s="482"/>
      <c r="E43" s="482"/>
      <c r="F43" s="483"/>
      <c r="G43" s="484" t="s">
        <v>188</v>
      </c>
      <c r="H43" s="485"/>
      <c r="I43" s="486"/>
      <c r="J43" s="172" t="e">
        <f>J40+J41+J42</f>
        <v>#REF!</v>
      </c>
      <c r="K43" s="113"/>
    </row>
    <row r="44" spans="2:13" x14ac:dyDescent="0.25">
      <c r="K44" s="113"/>
    </row>
  </sheetData>
  <mergeCells count="37">
    <mergeCell ref="B2:E2"/>
    <mergeCell ref="F2:J2"/>
    <mergeCell ref="B3:B4"/>
    <mergeCell ref="C3:C4"/>
    <mergeCell ref="D3:E3"/>
    <mergeCell ref="F3:F4"/>
    <mergeCell ref="G3:G4"/>
    <mergeCell ref="H3:H4"/>
    <mergeCell ref="I3:I4"/>
    <mergeCell ref="J3:J4"/>
    <mergeCell ref="C5:E5"/>
    <mergeCell ref="F5:I5"/>
    <mergeCell ref="C12:E12"/>
    <mergeCell ref="F12:I12"/>
    <mergeCell ref="C14:E14"/>
    <mergeCell ref="F14:I14"/>
    <mergeCell ref="C16:E16"/>
    <mergeCell ref="F16:I16"/>
    <mergeCell ref="C18:E18"/>
    <mergeCell ref="F18:I18"/>
    <mergeCell ref="C22:E22"/>
    <mergeCell ref="F22:I22"/>
    <mergeCell ref="C26:E26"/>
    <mergeCell ref="F26:I26"/>
    <mergeCell ref="C28:E28"/>
    <mergeCell ref="F28:I28"/>
    <mergeCell ref="C31:E31"/>
    <mergeCell ref="F31:I31"/>
    <mergeCell ref="C34:E34"/>
    <mergeCell ref="F34:I34"/>
    <mergeCell ref="C38:E38"/>
    <mergeCell ref="F38:I38"/>
    <mergeCell ref="B40:F43"/>
    <mergeCell ref="G40:I40"/>
    <mergeCell ref="G41:H41"/>
    <mergeCell ref="G42:H42"/>
    <mergeCell ref="G43:I43"/>
  </mergeCells>
  <pageMargins left="0.70866141732283472" right="0" top="0.74803149606299213" bottom="0.94488188976377963" header="0.31496062992125984" footer="0"/>
  <pageSetup paperSize="9" scale="54" fitToWidth="2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3" customWidth="1"/>
    <col min="2" max="2" width="19.85546875" bestFit="1" customWidth="1"/>
    <col min="3" max="3" width="5.42578125" bestFit="1" customWidth="1"/>
    <col min="4" max="4" width="14" bestFit="1" customWidth="1"/>
    <col min="5" max="5" width="12.5703125" bestFit="1" customWidth="1"/>
    <col min="6" max="6" width="17.140625" customWidth="1"/>
    <col min="7" max="8" width="10.85546875" bestFit="1" customWidth="1"/>
    <col min="9" max="9" width="9.85546875" bestFit="1" customWidth="1"/>
  </cols>
  <sheetData>
    <row r="1" spans="1:10" ht="15.75" thickBot="1" x14ac:dyDescent="0.3"/>
    <row r="2" spans="1:10" ht="15.75" thickBot="1" x14ac:dyDescent="0.3">
      <c r="B2" s="589" t="s">
        <v>66</v>
      </c>
      <c r="C2" s="590"/>
      <c r="D2" s="590"/>
      <c r="E2" s="590"/>
      <c r="F2" s="590"/>
      <c r="G2" s="590"/>
      <c r="H2" s="590"/>
      <c r="I2" s="591"/>
    </row>
    <row r="3" spans="1:10" ht="13.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7.25" customHeight="1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40"/>
      <c r="C5" s="40"/>
      <c r="D5" s="40"/>
      <c r="E5" s="40"/>
      <c r="F5" s="40"/>
      <c r="G5" s="40"/>
      <c r="H5" s="40"/>
      <c r="I5" s="40"/>
      <c r="J5" s="39"/>
    </row>
    <row r="6" spans="1:10" ht="17.25" customHeight="1" thickBot="1" x14ac:dyDescent="0.3">
      <c r="B6" s="41" t="s">
        <v>0</v>
      </c>
      <c r="C6" s="41" t="str">
        <f>Presupuesto!B6</f>
        <v>200.1</v>
      </c>
      <c r="D6" s="598" t="str">
        <f>Presupuesto!E6</f>
        <v>Descapote</v>
      </c>
      <c r="E6" s="599"/>
      <c r="F6" s="599"/>
      <c r="G6" s="600"/>
      <c r="H6" s="41" t="s">
        <v>67</v>
      </c>
      <c r="I6" s="41" t="str">
        <f>Presupuesto!F6</f>
        <v>M2</v>
      </c>
    </row>
    <row r="7" spans="1:10" x14ac:dyDescent="0.25">
      <c r="B7" s="42"/>
      <c r="C7" s="42"/>
      <c r="D7" s="42"/>
      <c r="E7" s="42"/>
      <c r="F7" s="42"/>
      <c r="G7" s="42"/>
      <c r="H7" s="42"/>
      <c r="I7" s="42"/>
    </row>
    <row r="8" spans="1:10" ht="15.75" thickBot="1" x14ac:dyDescent="0.3">
      <c r="B8" s="43" t="s">
        <v>68</v>
      </c>
      <c r="C8" s="42"/>
      <c r="D8" s="42"/>
      <c r="E8" s="42"/>
      <c r="F8" s="42"/>
      <c r="G8" s="42"/>
      <c r="H8" s="42"/>
      <c r="I8" s="42"/>
    </row>
    <row r="9" spans="1:10" ht="15.75" thickBot="1" x14ac:dyDescent="0.3">
      <c r="B9" s="598" t="s">
        <v>69</v>
      </c>
      <c r="C9" s="599"/>
      <c r="D9" s="599"/>
      <c r="E9" s="44" t="s">
        <v>70</v>
      </c>
      <c r="F9" s="44" t="s">
        <v>71</v>
      </c>
      <c r="G9" s="44" t="s">
        <v>72</v>
      </c>
      <c r="H9" s="44" t="s">
        <v>73</v>
      </c>
      <c r="I9" s="44" t="s">
        <v>74</v>
      </c>
    </row>
    <row r="10" spans="1:10" ht="15.75" thickBot="1" x14ac:dyDescent="0.3">
      <c r="B10" s="587"/>
      <c r="C10" s="588"/>
      <c r="D10" s="588"/>
      <c r="E10" s="55"/>
      <c r="F10" s="45"/>
      <c r="G10" s="54"/>
      <c r="H10" s="46"/>
      <c r="I10" s="46">
        <f>ROUND(G10*H10,0)</f>
        <v>0</v>
      </c>
    </row>
    <row r="11" spans="1:10" ht="15.75" thickBot="1" x14ac:dyDescent="0.3">
      <c r="B11" s="601"/>
      <c r="C11" s="602"/>
      <c r="D11" s="602"/>
      <c r="E11" s="45"/>
      <c r="F11" s="45"/>
      <c r="G11" s="45"/>
      <c r="H11" s="46"/>
      <c r="I11" s="46">
        <f t="shared" ref="I11:I12" si="0">ROUND(G11*H11,0)</f>
        <v>0</v>
      </c>
    </row>
    <row r="12" spans="1:10" ht="15.75" thickBot="1" x14ac:dyDescent="0.3">
      <c r="B12" s="601"/>
      <c r="C12" s="602"/>
      <c r="D12" s="602"/>
      <c r="E12" s="45"/>
      <c r="F12" s="45"/>
      <c r="G12" s="45"/>
      <c r="H12" s="46"/>
      <c r="I12" s="46">
        <f t="shared" si="0"/>
        <v>0</v>
      </c>
    </row>
    <row r="13" spans="1:10" ht="15.75" thickBot="1" x14ac:dyDescent="0.3">
      <c r="B13" s="42"/>
      <c r="C13" s="42"/>
      <c r="D13" s="42"/>
      <c r="E13" s="42"/>
      <c r="F13" s="42"/>
      <c r="G13" s="42"/>
      <c r="H13" s="43" t="s">
        <v>75</v>
      </c>
      <c r="I13" s="47">
        <f>SUM(I10:I12)</f>
        <v>0</v>
      </c>
    </row>
    <row r="14" spans="1:10" ht="15.75" thickBot="1" x14ac:dyDescent="0.3">
      <c r="B14" s="43" t="s">
        <v>76</v>
      </c>
      <c r="C14" s="42"/>
      <c r="D14" s="42"/>
      <c r="E14" s="42"/>
      <c r="F14" s="42"/>
      <c r="G14" s="42"/>
      <c r="H14" s="42"/>
      <c r="I14" s="42"/>
    </row>
    <row r="15" spans="1:10" ht="15.75" thickBot="1" x14ac:dyDescent="0.3">
      <c r="B15" s="598" t="s">
        <v>69</v>
      </c>
      <c r="C15" s="599"/>
      <c r="D15" s="599"/>
      <c r="E15" s="44" t="s">
        <v>77</v>
      </c>
      <c r="F15" s="44" t="s">
        <v>78</v>
      </c>
      <c r="G15" s="57" t="s">
        <v>79</v>
      </c>
      <c r="H15" s="44" t="s">
        <v>73</v>
      </c>
      <c r="I15" s="44" t="s">
        <v>74</v>
      </c>
    </row>
    <row r="16" spans="1:10" ht="15.75" thickBot="1" x14ac:dyDescent="0.3">
      <c r="B16" s="587"/>
      <c r="C16" s="588"/>
      <c r="D16" s="588"/>
      <c r="E16" s="56"/>
      <c r="F16" s="46"/>
      <c r="G16" s="58"/>
      <c r="H16" s="46">
        <f>F16*G16</f>
        <v>0</v>
      </c>
      <c r="I16" s="46">
        <f>H16</f>
        <v>0</v>
      </c>
    </row>
    <row r="17" spans="2:11" ht="15.75" thickBot="1" x14ac:dyDescent="0.3">
      <c r="B17" s="587"/>
      <c r="C17" s="588"/>
      <c r="D17" s="588"/>
      <c r="E17" s="56"/>
      <c r="F17" s="46"/>
      <c r="G17" s="58"/>
      <c r="H17" s="46">
        <f t="shared" ref="H17:H20" si="1">F17*G17</f>
        <v>0</v>
      </c>
      <c r="I17" s="46">
        <f t="shared" ref="I17:I20" si="2">H17</f>
        <v>0</v>
      </c>
    </row>
    <row r="18" spans="2:11" ht="15.75" thickBot="1" x14ac:dyDescent="0.3">
      <c r="B18" s="587"/>
      <c r="C18" s="588"/>
      <c r="D18" s="588"/>
      <c r="E18" s="56"/>
      <c r="F18" s="46"/>
      <c r="G18" s="58"/>
      <c r="H18" s="46">
        <f t="shared" si="1"/>
        <v>0</v>
      </c>
      <c r="I18" s="46">
        <f t="shared" si="2"/>
        <v>0</v>
      </c>
    </row>
    <row r="19" spans="2:11" ht="15.75" thickBot="1" x14ac:dyDescent="0.3">
      <c r="B19" s="587"/>
      <c r="C19" s="588"/>
      <c r="D19" s="588"/>
      <c r="E19" s="56"/>
      <c r="F19" s="46"/>
      <c r="G19" s="58"/>
      <c r="H19" s="46">
        <f t="shared" si="1"/>
        <v>0</v>
      </c>
      <c r="I19" s="46">
        <f t="shared" si="2"/>
        <v>0</v>
      </c>
    </row>
    <row r="20" spans="2:11" ht="15.75" thickBot="1" x14ac:dyDescent="0.3">
      <c r="B20" s="587"/>
      <c r="C20" s="588"/>
      <c r="D20" s="603"/>
      <c r="E20" s="56"/>
      <c r="F20" s="46"/>
      <c r="G20" s="58"/>
      <c r="H20" s="46">
        <f t="shared" si="1"/>
        <v>0</v>
      </c>
      <c r="I20" s="46">
        <f t="shared" si="2"/>
        <v>0</v>
      </c>
    </row>
    <row r="21" spans="2:11" ht="15.75" thickBot="1" x14ac:dyDescent="0.3">
      <c r="B21" s="604"/>
      <c r="C21" s="604"/>
      <c r="D21" s="604"/>
      <c r="E21" s="396"/>
      <c r="F21" s="235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42"/>
      <c r="C22" s="42"/>
      <c r="D22" s="42"/>
      <c r="E22" s="42"/>
      <c r="F22" s="42"/>
      <c r="G22" s="42"/>
      <c r="H22" s="43" t="s">
        <v>75</v>
      </c>
      <c r="I22" s="47">
        <f>SUM(I16:I21)</f>
        <v>0</v>
      </c>
    </row>
    <row r="23" spans="2:11" ht="15.75" thickBot="1" x14ac:dyDescent="0.3">
      <c r="B23" s="43" t="s">
        <v>80</v>
      </c>
      <c r="C23" s="42"/>
      <c r="D23" s="42"/>
      <c r="E23" s="42"/>
      <c r="F23" s="42"/>
      <c r="G23" s="42"/>
      <c r="H23" s="42"/>
      <c r="I23" s="42"/>
    </row>
    <row r="24" spans="2:11" ht="15.75" thickBot="1" x14ac:dyDescent="0.3">
      <c r="B24" s="598" t="s">
        <v>81</v>
      </c>
      <c r="C24" s="600"/>
      <c r="D24" s="48" t="s">
        <v>82</v>
      </c>
      <c r="E24" s="44" t="s">
        <v>97</v>
      </c>
      <c r="F24" s="44" t="s">
        <v>98</v>
      </c>
      <c r="G24" s="44" t="s">
        <v>83</v>
      </c>
      <c r="H24" s="44" t="s">
        <v>73</v>
      </c>
      <c r="I24" s="44" t="s">
        <v>74</v>
      </c>
    </row>
    <row r="25" spans="2:11" ht="15.75" thickBot="1" x14ac:dyDescent="0.3">
      <c r="B25" s="605"/>
      <c r="C25" s="606"/>
      <c r="D25" s="49"/>
      <c r="E25" s="45"/>
      <c r="F25" s="45"/>
      <c r="G25" s="46"/>
      <c r="H25" s="46">
        <f>D25*G25</f>
        <v>0</v>
      </c>
      <c r="I25" s="46">
        <f>ROUND(H25,0)</f>
        <v>0</v>
      </c>
    </row>
    <row r="26" spans="2:11" ht="15.75" thickBot="1" x14ac:dyDescent="0.3">
      <c r="B26" s="605"/>
      <c r="C26" s="606"/>
      <c r="D26" s="50"/>
      <c r="E26" s="45"/>
      <c r="F26" s="45"/>
      <c r="G26" s="45"/>
      <c r="H26" s="45"/>
      <c r="I26" s="46">
        <f t="shared" ref="I26:I28" si="3">ROUND(H26,0)</f>
        <v>0</v>
      </c>
    </row>
    <row r="27" spans="2:11" ht="15.75" thickBot="1" x14ac:dyDescent="0.3">
      <c r="B27" s="605"/>
      <c r="C27" s="606"/>
      <c r="D27" s="50"/>
      <c r="E27" s="45"/>
      <c r="F27" s="45"/>
      <c r="G27" s="45"/>
      <c r="H27" s="45"/>
      <c r="I27" s="46">
        <f t="shared" si="3"/>
        <v>0</v>
      </c>
    </row>
    <row r="28" spans="2:11" ht="15.75" thickBot="1" x14ac:dyDescent="0.3">
      <c r="B28" s="605"/>
      <c r="C28" s="606"/>
      <c r="D28" s="50"/>
      <c r="E28" s="45"/>
      <c r="F28" s="45"/>
      <c r="G28" s="45"/>
      <c r="H28" s="45"/>
      <c r="I28" s="46">
        <f t="shared" si="3"/>
        <v>0</v>
      </c>
      <c r="K28" s="51"/>
    </row>
    <row r="29" spans="2:11" ht="15.75" thickBot="1" x14ac:dyDescent="0.3">
      <c r="B29" s="42"/>
      <c r="C29" s="42"/>
      <c r="D29" s="42"/>
      <c r="E29" s="42"/>
      <c r="F29" s="42"/>
      <c r="G29" s="42"/>
      <c r="H29" s="43" t="s">
        <v>75</v>
      </c>
      <c r="I29" s="47">
        <f>SUM(I25:I28)</f>
        <v>0</v>
      </c>
    </row>
    <row r="30" spans="2:11" ht="15.75" thickBot="1" x14ac:dyDescent="0.3">
      <c r="B30" s="43" t="s">
        <v>84</v>
      </c>
      <c r="C30" s="42"/>
      <c r="D30" s="42"/>
      <c r="E30" s="42"/>
      <c r="F30" s="42"/>
      <c r="G30" s="42"/>
      <c r="H30" s="42"/>
      <c r="I30" s="42"/>
    </row>
    <row r="31" spans="2:11" ht="15.75" thickBot="1" x14ac:dyDescent="0.3">
      <c r="B31" s="598" t="s">
        <v>85</v>
      </c>
      <c r="C31" s="600"/>
      <c r="D31" s="60" t="s">
        <v>79</v>
      </c>
      <c r="E31" s="44" t="s">
        <v>312</v>
      </c>
      <c r="F31" s="44" t="s">
        <v>86</v>
      </c>
      <c r="G31" s="44" t="s">
        <v>87</v>
      </c>
      <c r="H31" s="44" t="s">
        <v>72</v>
      </c>
      <c r="I31" s="44" t="s">
        <v>74</v>
      </c>
    </row>
    <row r="32" spans="2:11" ht="15.75" thickBot="1" x14ac:dyDescent="0.3">
      <c r="B32" s="587"/>
      <c r="C32" s="603"/>
      <c r="D32" s="61"/>
      <c r="E32" s="46"/>
      <c r="F32" s="59"/>
      <c r="G32" s="46"/>
      <c r="H32" s="46"/>
      <c r="I32" s="46">
        <v>0</v>
      </c>
    </row>
    <row r="33" spans="2:9" ht="15.75" thickBot="1" x14ac:dyDescent="0.3">
      <c r="B33" s="587"/>
      <c r="C33" s="603"/>
      <c r="D33" s="370"/>
      <c r="E33" s="46"/>
      <c r="F33" s="59"/>
      <c r="G33" s="46"/>
      <c r="H33" s="46"/>
      <c r="I33" s="46">
        <f t="shared" ref="I33:I35" si="4">ROUND(D33*G33*H33,0)</f>
        <v>0</v>
      </c>
    </row>
    <row r="34" spans="2:9" ht="15.75" thickBot="1" x14ac:dyDescent="0.3">
      <c r="B34" s="587"/>
      <c r="C34" s="603"/>
      <c r="D34" s="50"/>
      <c r="E34" s="46"/>
      <c r="F34" s="52"/>
      <c r="G34" s="45"/>
      <c r="H34" s="45"/>
      <c r="I34" s="46">
        <f t="shared" si="4"/>
        <v>0</v>
      </c>
    </row>
    <row r="35" spans="2:9" ht="15.75" thickBot="1" x14ac:dyDescent="0.3">
      <c r="B35" s="587"/>
      <c r="C35" s="603"/>
      <c r="D35" s="50"/>
      <c r="E35" s="46"/>
      <c r="F35" s="52"/>
      <c r="G35" s="45"/>
      <c r="H35" s="45"/>
      <c r="I35" s="46">
        <f t="shared" si="4"/>
        <v>0</v>
      </c>
    </row>
    <row r="36" spans="2:9" ht="15.75" thickBot="1" x14ac:dyDescent="0.3">
      <c r="B36" s="42"/>
      <c r="C36" s="42"/>
      <c r="D36" s="42"/>
      <c r="E36" s="42"/>
      <c r="F36" s="42"/>
      <c r="G36" s="42"/>
      <c r="H36" s="43" t="s">
        <v>75</v>
      </c>
      <c r="I36" s="47">
        <f>SUM(I32:I35)</f>
        <v>0</v>
      </c>
    </row>
    <row r="37" spans="2:9" ht="15.75" thickBot="1" x14ac:dyDescent="0.3">
      <c r="B37" s="42"/>
      <c r="C37" s="42"/>
      <c r="D37" s="42"/>
      <c r="E37" s="42"/>
      <c r="F37" s="42"/>
      <c r="G37" s="42"/>
      <c r="H37" s="42"/>
      <c r="I37" s="42"/>
    </row>
    <row r="38" spans="2:9" ht="15.75" thickBot="1" x14ac:dyDescent="0.3">
      <c r="B38" s="42"/>
      <c r="C38" s="42"/>
      <c r="D38" s="42"/>
      <c r="E38" s="42"/>
      <c r="F38" s="42"/>
      <c r="G38" s="605" t="s">
        <v>88</v>
      </c>
      <c r="H38" s="606"/>
      <c r="I38" s="47">
        <f>ROUND(I13+I22+I29+I36,0)</f>
        <v>0</v>
      </c>
    </row>
    <row r="39" spans="2:9" x14ac:dyDescent="0.25">
      <c r="B39" s="42"/>
      <c r="C39" s="42"/>
      <c r="D39" s="42"/>
      <c r="E39" s="42"/>
      <c r="F39" s="42"/>
      <c r="G39" s="42"/>
      <c r="H39" s="42"/>
      <c r="I39" s="42"/>
    </row>
    <row r="40" spans="2:9" x14ac:dyDescent="0.25">
      <c r="B40" s="42"/>
      <c r="C40" s="42"/>
      <c r="D40" s="42"/>
      <c r="E40" s="42"/>
      <c r="F40" s="42"/>
      <c r="G40" s="42"/>
      <c r="H40" s="42"/>
      <c r="I40" s="42"/>
    </row>
    <row r="41" spans="2:9" ht="15.75" thickBot="1" x14ac:dyDescent="0.3">
      <c r="B41" s="43" t="s">
        <v>89</v>
      </c>
      <c r="C41" s="42"/>
      <c r="D41" s="42"/>
      <c r="E41" s="42"/>
      <c r="F41" s="42"/>
      <c r="G41" s="42"/>
      <c r="H41" s="42"/>
      <c r="I41" s="42"/>
    </row>
    <row r="42" spans="2:9" ht="15.75" thickBot="1" x14ac:dyDescent="0.3">
      <c r="B42" s="598" t="s">
        <v>69</v>
      </c>
      <c r="C42" s="599"/>
      <c r="D42" s="599"/>
      <c r="E42" s="599"/>
      <c r="F42" s="599"/>
      <c r="G42" s="600"/>
      <c r="H42" s="44" t="s">
        <v>90</v>
      </c>
      <c r="I42" s="44" t="s">
        <v>74</v>
      </c>
    </row>
    <row r="43" spans="2:9" ht="15.75" thickBot="1" x14ac:dyDescent="0.3">
      <c r="B43" s="610" t="s">
        <v>91</v>
      </c>
      <c r="C43" s="611"/>
      <c r="D43" s="611"/>
      <c r="E43" s="611"/>
      <c r="F43" s="611"/>
      <c r="G43" s="612"/>
      <c r="H43" s="291">
        <v>0</v>
      </c>
      <c r="I43" s="46">
        <f>I38*H43</f>
        <v>0</v>
      </c>
    </row>
    <row r="44" spans="2:9" ht="15.75" thickBot="1" x14ac:dyDescent="0.3">
      <c r="B44" s="610" t="s">
        <v>92</v>
      </c>
      <c r="C44" s="611"/>
      <c r="D44" s="611"/>
      <c r="E44" s="611"/>
      <c r="F44" s="611"/>
      <c r="G44" s="612"/>
      <c r="H44" s="292">
        <v>0</v>
      </c>
      <c r="I44" s="46">
        <f>I38*H44</f>
        <v>0</v>
      </c>
    </row>
    <row r="45" spans="2:9" ht="15.75" thickBot="1" x14ac:dyDescent="0.3">
      <c r="B45" s="610" t="s">
        <v>93</v>
      </c>
      <c r="C45" s="611"/>
      <c r="D45" s="611"/>
      <c r="E45" s="611"/>
      <c r="F45" s="611"/>
      <c r="G45" s="612"/>
      <c r="H45" s="291">
        <v>0</v>
      </c>
      <c r="I45" s="46">
        <f>I38*H45</f>
        <v>0</v>
      </c>
    </row>
    <row r="46" spans="2:9" ht="15.75" thickBot="1" x14ac:dyDescent="0.3">
      <c r="B46" s="42"/>
      <c r="C46" s="42"/>
      <c r="D46" s="42"/>
      <c r="E46" s="42"/>
      <c r="F46" s="42"/>
      <c r="G46" s="42"/>
      <c r="H46" s="43" t="s">
        <v>75</v>
      </c>
      <c r="I46" s="47">
        <f>SUM(I43:I45)</f>
        <v>0</v>
      </c>
    </row>
    <row r="48" spans="2:9" ht="15.75" thickBot="1" x14ac:dyDescent="0.3"/>
    <row r="49" spans="6:9" ht="15.75" thickBot="1" x14ac:dyDescent="0.3">
      <c r="F49" s="607" t="s">
        <v>94</v>
      </c>
      <c r="G49" s="608"/>
      <c r="H49" s="609"/>
      <c r="I49" s="47">
        <f>SUM(+I38+I46)</f>
        <v>0</v>
      </c>
    </row>
  </sheetData>
  <mergeCells count="30">
    <mergeCell ref="F49:H49"/>
    <mergeCell ref="B35:C35"/>
    <mergeCell ref="G38:H38"/>
    <mergeCell ref="B42:G42"/>
    <mergeCell ref="B43:G43"/>
    <mergeCell ref="B44:G44"/>
    <mergeCell ref="B45:G45"/>
    <mergeCell ref="B34:C34"/>
    <mergeCell ref="B19:D19"/>
    <mergeCell ref="B20:D20"/>
    <mergeCell ref="B21:D21"/>
    <mergeCell ref="B24:C24"/>
    <mergeCell ref="B25:C25"/>
    <mergeCell ref="B26:C26"/>
    <mergeCell ref="B27:C27"/>
    <mergeCell ref="B28:C28"/>
    <mergeCell ref="B31:C31"/>
    <mergeCell ref="B32:C32"/>
    <mergeCell ref="B33:C33"/>
    <mergeCell ref="B18:D18"/>
    <mergeCell ref="B2:I2"/>
    <mergeCell ref="B3:I4"/>
    <mergeCell ref="D6:G6"/>
    <mergeCell ref="B9:D9"/>
    <mergeCell ref="B10:D10"/>
    <mergeCell ref="B11:D11"/>
    <mergeCell ref="B12:D12"/>
    <mergeCell ref="B15:D15"/>
    <mergeCell ref="B16:D16"/>
    <mergeCell ref="B17:D17"/>
  </mergeCells>
  <pageMargins left="0.7" right="0.7" top="0.75" bottom="0.75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2" max="2" width="19.7109375" bestFit="1" customWidth="1"/>
    <col min="3" max="3" width="4.85546875" bestFit="1" customWidth="1"/>
    <col min="4" max="4" width="14.28515625" bestFit="1" customWidth="1"/>
    <col min="5" max="5" width="11" bestFit="1" customWidth="1"/>
    <col min="6" max="6" width="15.5703125" bestFit="1" customWidth="1"/>
    <col min="7" max="8" width="9.28515625" bestFit="1" customWidth="1"/>
    <col min="9" max="9" width="9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15.75" thickBot="1" x14ac:dyDescent="0.3">
      <c r="B6" s="372" t="s">
        <v>0</v>
      </c>
      <c r="C6" s="372" t="str">
        <f>Presupuesto!B10</f>
        <v>200.2</v>
      </c>
      <c r="D6" s="618" t="str">
        <f>Presupuesto!E10</f>
        <v xml:space="preserve">Excavación de terreno de 0 a 2,0 mts. </v>
      </c>
      <c r="E6" s="619"/>
      <c r="F6" s="619"/>
      <c r="G6" s="620"/>
      <c r="H6" s="372" t="s">
        <v>67</v>
      </c>
      <c r="I6" s="372" t="str">
        <f>Presupuesto!F10</f>
        <v>M3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/>
      <c r="I10" s="377">
        <f>ROUND(G10*H10,0)</f>
        <v>0</v>
      </c>
    </row>
    <row r="11" spans="1:10" ht="15.75" thickBot="1" x14ac:dyDescent="0.3">
      <c r="B11" s="621"/>
      <c r="C11" s="622"/>
      <c r="D11" s="622"/>
      <c r="E11" s="376"/>
      <c r="F11" s="376"/>
      <c r="G11" s="376"/>
      <c r="H11" s="377"/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thickBot="1" x14ac:dyDescent="0.3">
      <c r="B16" s="613"/>
      <c r="C16" s="614"/>
      <c r="D16" s="614"/>
      <c r="E16" s="382"/>
      <c r="F16" s="377"/>
      <c r="G16" s="383"/>
      <c r="H16" s="377">
        <f>F16*G16</f>
        <v>0</v>
      </c>
      <c r="I16" s="377">
        <f>H16</f>
        <v>0</v>
      </c>
    </row>
    <row r="17" spans="2:11" ht="15.75" thickBot="1" x14ac:dyDescent="0.3">
      <c r="B17" s="613"/>
      <c r="C17" s="614"/>
      <c r="D17" s="614"/>
      <c r="E17" s="382"/>
      <c r="F17" s="377"/>
      <c r="G17" s="383"/>
      <c r="H17" s="377">
        <f t="shared" ref="H17:H20" si="1">F17*G17</f>
        <v>0</v>
      </c>
      <c r="I17" s="377">
        <f t="shared" ref="I17:I20" si="2">H17</f>
        <v>0</v>
      </c>
    </row>
    <row r="18" spans="2:11" ht="15.75" thickBot="1" x14ac:dyDescent="0.3">
      <c r="B18" s="613"/>
      <c r="C18" s="614"/>
      <c r="D18" s="614"/>
      <c r="E18" s="382"/>
      <c r="F18" s="377"/>
      <c r="G18" s="383"/>
      <c r="H18" s="377">
        <f t="shared" si="1"/>
        <v>0</v>
      </c>
      <c r="I18" s="377">
        <f t="shared" si="2"/>
        <v>0</v>
      </c>
    </row>
    <row r="19" spans="2:11" ht="15.75" thickBot="1" x14ac:dyDescent="0.3">
      <c r="B19" s="613"/>
      <c r="C19" s="614"/>
      <c r="D19" s="614"/>
      <c r="E19" s="382"/>
      <c r="F19" s="377"/>
      <c r="G19" s="383"/>
      <c r="H19" s="377">
        <f t="shared" si="1"/>
        <v>0</v>
      </c>
      <c r="I19" s="377">
        <f t="shared" si="2"/>
        <v>0</v>
      </c>
    </row>
    <row r="20" spans="2:11" ht="15.75" thickBot="1" x14ac:dyDescent="0.3">
      <c r="B20" s="613"/>
      <c r="C20" s="614"/>
      <c r="D20" s="623"/>
      <c r="E20" s="382"/>
      <c r="F20" s="377"/>
      <c r="G20" s="383"/>
      <c r="H20" s="377">
        <f t="shared" si="1"/>
        <v>0</v>
      </c>
      <c r="I20" s="377">
        <f t="shared" si="2"/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thickBot="1" x14ac:dyDescent="0.3">
      <c r="B25" s="625"/>
      <c r="C25" s="626"/>
      <c r="D25" s="385"/>
      <c r="E25" s="376"/>
      <c r="F25" s="376"/>
      <c r="G25" s="377"/>
      <c r="H25" s="377">
        <f>D25*G25</f>
        <v>0</v>
      </c>
      <c r="I25" s="377">
        <f>ROUND(H25,0)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376"/>
      <c r="I26" s="377">
        <f t="shared" ref="I26:I28" si="3">ROUND(H26,0)</f>
        <v>0</v>
      </c>
    </row>
    <row r="27" spans="2:11" ht="15.75" thickBot="1" x14ac:dyDescent="0.3">
      <c r="B27" s="625"/>
      <c r="C27" s="626"/>
      <c r="D27" s="386"/>
      <c r="E27" s="376"/>
      <c r="F27" s="376"/>
      <c r="G27" s="376"/>
      <c r="H27" s="376"/>
      <c r="I27" s="377">
        <f t="shared" si="3"/>
        <v>0</v>
      </c>
    </row>
    <row r="28" spans="2:11" ht="15.75" thickBot="1" x14ac:dyDescent="0.3">
      <c r="B28" s="625"/>
      <c r="C28" s="626"/>
      <c r="D28" s="386"/>
      <c r="E28" s="376"/>
      <c r="F28" s="376"/>
      <c r="G28" s="376"/>
      <c r="H28" s="376"/>
      <c r="I28" s="377">
        <f t="shared" si="3"/>
        <v>0</v>
      </c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312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/>
      <c r="I32" s="377">
        <v>0</v>
      </c>
    </row>
    <row r="33" spans="2:9" ht="15.75" thickBot="1" x14ac:dyDescent="0.3">
      <c r="B33" s="613"/>
      <c r="C33" s="623"/>
      <c r="D33" s="388"/>
      <c r="E33" s="377"/>
      <c r="F33" s="389"/>
      <c r="G33" s="377"/>
      <c r="H33" s="377"/>
      <c r="I33" s="377">
        <f t="shared" ref="I33:I35" si="4">ROUND(D33*G33*H33,0)</f>
        <v>0</v>
      </c>
    </row>
    <row r="34" spans="2:9" ht="15.75" thickBot="1" x14ac:dyDescent="0.3">
      <c r="B34" s="613"/>
      <c r="C34" s="623"/>
      <c r="D34" s="386"/>
      <c r="E34" s="377"/>
      <c r="F34" s="390"/>
      <c r="G34" s="376"/>
      <c r="H34" s="376"/>
      <c r="I34" s="377">
        <f t="shared" si="4"/>
        <v>0</v>
      </c>
    </row>
    <row r="35" spans="2:9" ht="15.75" thickBot="1" x14ac:dyDescent="0.3">
      <c r="B35" s="613"/>
      <c r="C35" s="623"/>
      <c r="D35" s="386"/>
      <c r="E35" s="377"/>
      <c r="F35" s="390"/>
      <c r="G35" s="376"/>
      <c r="H35" s="376"/>
      <c r="I35" s="377">
        <f t="shared" si="4"/>
        <v>0</v>
      </c>
    </row>
    <row r="36" spans="2:9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9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9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</row>
    <row r="39" spans="2:9" x14ac:dyDescent="0.25">
      <c r="B39" s="373"/>
      <c r="C39" s="373"/>
      <c r="D39" s="373"/>
      <c r="E39" s="373"/>
      <c r="F39" s="373"/>
      <c r="G39" s="373"/>
      <c r="H39" s="373"/>
      <c r="I39" s="373"/>
    </row>
    <row r="40" spans="2:9" x14ac:dyDescent="0.25">
      <c r="B40" s="373"/>
      <c r="C40" s="373"/>
      <c r="D40" s="373"/>
      <c r="E40" s="373"/>
      <c r="F40" s="373"/>
      <c r="G40" s="373"/>
      <c r="H40" s="373"/>
      <c r="I40" s="373"/>
    </row>
    <row r="41" spans="2:9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9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9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9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v>0</v>
      </c>
      <c r="I44" s="377">
        <f>I38*H44</f>
        <v>0</v>
      </c>
    </row>
    <row r="45" spans="2:9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9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9" x14ac:dyDescent="0.25">
      <c r="B47" s="373"/>
      <c r="C47" s="373"/>
      <c r="D47" s="373"/>
      <c r="E47" s="373"/>
      <c r="F47" s="373"/>
      <c r="G47" s="373"/>
      <c r="H47" s="373"/>
      <c r="I47" s="373"/>
    </row>
    <row r="48" spans="2:9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F49:H49"/>
    <mergeCell ref="B35:C35"/>
    <mergeCell ref="G38:H38"/>
    <mergeCell ref="B42:G42"/>
    <mergeCell ref="B43:G43"/>
    <mergeCell ref="B44:G44"/>
    <mergeCell ref="B45:G45"/>
    <mergeCell ref="B34:C34"/>
    <mergeCell ref="B19:D19"/>
    <mergeCell ref="B20:D20"/>
    <mergeCell ref="B21:D21"/>
    <mergeCell ref="B24:C24"/>
    <mergeCell ref="B25:C25"/>
    <mergeCell ref="B26:C26"/>
    <mergeCell ref="B27:C27"/>
    <mergeCell ref="B28:C28"/>
    <mergeCell ref="B31:C31"/>
    <mergeCell ref="B32:C32"/>
    <mergeCell ref="B33:C33"/>
    <mergeCell ref="B18:D18"/>
    <mergeCell ref="B2:I2"/>
    <mergeCell ref="B3:I4"/>
    <mergeCell ref="D6:G6"/>
    <mergeCell ref="B9:D9"/>
    <mergeCell ref="B10:D10"/>
    <mergeCell ref="B11:D11"/>
    <mergeCell ref="B12:D12"/>
    <mergeCell ref="B15:D15"/>
    <mergeCell ref="B16:D16"/>
    <mergeCell ref="B17:D17"/>
  </mergeCells>
  <pageMargins left="0.7" right="0.7" top="0.75" bottom="0.75" header="0.3" footer="0.3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4" max="4" width="14" bestFit="1" customWidth="1"/>
    <col min="5" max="5" width="12.5703125" bestFit="1" customWidth="1"/>
    <col min="6" max="6" width="17.140625" bestFit="1" customWidth="1"/>
    <col min="7" max="7" width="10.85546875" bestFit="1" customWidth="1"/>
    <col min="8" max="9" width="11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18" customHeight="1" thickBot="1" x14ac:dyDescent="0.3">
      <c r="B6" s="372" t="s">
        <v>0</v>
      </c>
      <c r="C6" s="372" t="str">
        <f>Presupuesto!B7</f>
        <v>200.6</v>
      </c>
      <c r="D6" s="631" t="str">
        <f>Presupuesto!E7</f>
        <v>Cerramiento</v>
      </c>
      <c r="E6" s="632"/>
      <c r="F6" s="632"/>
      <c r="G6" s="633"/>
      <c r="H6" s="372" t="s">
        <v>67</v>
      </c>
      <c r="I6" s="372" t="str">
        <f>Presupuesto!F7</f>
        <v>ML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/>
      <c r="I10" s="377">
        <f>ROUND(G10*H10,0)</f>
        <v>0</v>
      </c>
    </row>
    <row r="11" spans="1:10" ht="15.75" thickBot="1" x14ac:dyDescent="0.3">
      <c r="B11" s="621"/>
      <c r="C11" s="622"/>
      <c r="D11" s="622"/>
      <c r="E11" s="376"/>
      <c r="F11" s="376"/>
      <c r="G11" s="376"/>
      <c r="H11" s="377"/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thickBot="1" x14ac:dyDescent="0.3">
      <c r="B16" s="613"/>
      <c r="C16" s="614"/>
      <c r="D16" s="614"/>
      <c r="E16" s="376"/>
      <c r="F16" s="377"/>
      <c r="G16" s="376"/>
      <c r="H16" s="377"/>
      <c r="I16" s="377">
        <f>ROUND(H16,0)</f>
        <v>0</v>
      </c>
    </row>
    <row r="17" spans="2:11" ht="15.75" thickBot="1" x14ac:dyDescent="0.3">
      <c r="B17" s="613"/>
      <c r="C17" s="614"/>
      <c r="D17" s="614"/>
      <c r="E17" s="376"/>
      <c r="F17" s="377"/>
      <c r="G17" s="376"/>
      <c r="H17" s="377"/>
      <c r="I17" s="377">
        <f t="shared" ref="I17:I19" si="1">ROUND(H17,0)</f>
        <v>0</v>
      </c>
    </row>
    <row r="18" spans="2:11" ht="15.75" thickBot="1" x14ac:dyDescent="0.3">
      <c r="B18" s="613"/>
      <c r="C18" s="614"/>
      <c r="D18" s="614"/>
      <c r="E18" s="382"/>
      <c r="F18" s="377"/>
      <c r="G18" s="383"/>
      <c r="H18" s="377"/>
      <c r="I18" s="377">
        <f t="shared" si="1"/>
        <v>0</v>
      </c>
    </row>
    <row r="19" spans="2:11" ht="15.75" thickBot="1" x14ac:dyDescent="0.3">
      <c r="B19" s="613"/>
      <c r="C19" s="614"/>
      <c r="D19" s="614"/>
      <c r="E19" s="382"/>
      <c r="F19" s="377"/>
      <c r="G19" s="383"/>
      <c r="H19" s="377"/>
      <c r="I19" s="377">
        <f t="shared" si="1"/>
        <v>0</v>
      </c>
    </row>
    <row r="20" spans="2:11" ht="15.75" thickBot="1" x14ac:dyDescent="0.3">
      <c r="B20" s="613"/>
      <c r="C20" s="614"/>
      <c r="D20" s="623"/>
      <c r="E20" s="382"/>
      <c r="F20" s="377"/>
      <c r="G20" s="383"/>
      <c r="H20" s="377">
        <f t="shared" ref="H20" si="2">F20*G20</f>
        <v>0</v>
      </c>
      <c r="I20" s="377">
        <f t="shared" ref="I20" si="3">H20</f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thickBot="1" x14ac:dyDescent="0.3">
      <c r="B25" s="625"/>
      <c r="C25" s="626"/>
      <c r="D25" s="385"/>
      <c r="E25" s="376"/>
      <c r="F25" s="376"/>
      <c r="G25" s="377"/>
      <c r="H25" s="377">
        <f>D25*G25</f>
        <v>0</v>
      </c>
      <c r="I25" s="377">
        <f>ROUND(H25,0)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377">
        <f t="shared" ref="H26:H28" si="4">D26*G26</f>
        <v>0</v>
      </c>
      <c r="I26" s="377">
        <f t="shared" ref="I26:I28" si="5">ROUND(H26,0)</f>
        <v>0</v>
      </c>
    </row>
    <row r="27" spans="2:11" ht="15.75" thickBot="1" x14ac:dyDescent="0.3">
      <c r="B27" s="625"/>
      <c r="C27" s="626"/>
      <c r="D27" s="386"/>
      <c r="E27" s="376"/>
      <c r="F27" s="376"/>
      <c r="G27" s="376"/>
      <c r="H27" s="377">
        <f t="shared" si="4"/>
        <v>0</v>
      </c>
      <c r="I27" s="377">
        <f t="shared" si="5"/>
        <v>0</v>
      </c>
    </row>
    <row r="28" spans="2:11" ht="15.75" thickBot="1" x14ac:dyDescent="0.3">
      <c r="B28" s="625"/>
      <c r="C28" s="626"/>
      <c r="D28" s="386"/>
      <c r="E28" s="376"/>
      <c r="F28" s="376"/>
      <c r="G28" s="376"/>
      <c r="H28" s="377">
        <f t="shared" si="4"/>
        <v>0</v>
      </c>
      <c r="I28" s="377">
        <f t="shared" si="5"/>
        <v>0</v>
      </c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312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/>
      <c r="I32" s="377">
        <v>0</v>
      </c>
    </row>
    <row r="33" spans="2:9" ht="15.75" thickBot="1" x14ac:dyDescent="0.3">
      <c r="B33" s="613"/>
      <c r="C33" s="623"/>
      <c r="D33" s="388"/>
      <c r="E33" s="377"/>
      <c r="F33" s="389"/>
      <c r="G33" s="377"/>
      <c r="H33" s="377"/>
      <c r="I33" s="377">
        <f t="shared" ref="I33:I35" si="6">ROUND(D33*G33*H33,0)</f>
        <v>0</v>
      </c>
    </row>
    <row r="34" spans="2:9" ht="15.75" thickBot="1" x14ac:dyDescent="0.3">
      <c r="B34" s="613"/>
      <c r="C34" s="623"/>
      <c r="D34" s="386"/>
      <c r="E34" s="377"/>
      <c r="F34" s="390"/>
      <c r="G34" s="376"/>
      <c r="H34" s="376"/>
      <c r="I34" s="377">
        <f t="shared" si="6"/>
        <v>0</v>
      </c>
    </row>
    <row r="35" spans="2:9" ht="15.75" thickBot="1" x14ac:dyDescent="0.3">
      <c r="B35" s="613"/>
      <c r="C35" s="623"/>
      <c r="D35" s="386"/>
      <c r="E35" s="377"/>
      <c r="F35" s="390"/>
      <c r="G35" s="376"/>
      <c r="H35" s="376"/>
      <c r="I35" s="377">
        <f t="shared" si="6"/>
        <v>0</v>
      </c>
    </row>
    <row r="36" spans="2:9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9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9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</row>
    <row r="39" spans="2:9" x14ac:dyDescent="0.25">
      <c r="B39" s="373"/>
      <c r="C39" s="373"/>
      <c r="D39" s="373"/>
      <c r="E39" s="373"/>
      <c r="F39" s="373"/>
      <c r="G39" s="373"/>
      <c r="H39" s="373"/>
      <c r="I39" s="373"/>
    </row>
    <row r="40" spans="2:9" x14ac:dyDescent="0.25">
      <c r="B40" s="373"/>
      <c r="C40" s="373"/>
      <c r="D40" s="373"/>
      <c r="E40" s="373"/>
      <c r="F40" s="373"/>
      <c r="G40" s="373"/>
      <c r="H40" s="373"/>
      <c r="I40" s="373"/>
    </row>
    <row r="41" spans="2:9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9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9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9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v>0</v>
      </c>
      <c r="I44" s="377">
        <f>I38*H44</f>
        <v>0</v>
      </c>
    </row>
    <row r="45" spans="2:9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9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9" x14ac:dyDescent="0.25">
      <c r="B47" s="373"/>
      <c r="C47" s="373"/>
      <c r="D47" s="373"/>
      <c r="E47" s="373"/>
      <c r="F47" s="373"/>
      <c r="G47" s="373"/>
      <c r="H47" s="373"/>
      <c r="I47" s="373"/>
    </row>
    <row r="48" spans="2:9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B18:D18"/>
    <mergeCell ref="B2:I2"/>
    <mergeCell ref="B3:I4"/>
    <mergeCell ref="D6:G6"/>
    <mergeCell ref="B9:D9"/>
    <mergeCell ref="B10:D10"/>
    <mergeCell ref="B11:D11"/>
    <mergeCell ref="B12:D12"/>
    <mergeCell ref="B15:D15"/>
    <mergeCell ref="B16:D16"/>
    <mergeCell ref="B17:D17"/>
    <mergeCell ref="B34:C34"/>
    <mergeCell ref="B19:D19"/>
    <mergeCell ref="B20:D20"/>
    <mergeCell ref="B21:D21"/>
    <mergeCell ref="B24:C24"/>
    <mergeCell ref="B25:C25"/>
    <mergeCell ref="B26:C26"/>
    <mergeCell ref="B27:C27"/>
    <mergeCell ref="B28:C28"/>
    <mergeCell ref="B31:C31"/>
    <mergeCell ref="B32:C32"/>
    <mergeCell ref="B33:C33"/>
    <mergeCell ref="F49:H49"/>
    <mergeCell ref="B35:C35"/>
    <mergeCell ref="G38:H38"/>
    <mergeCell ref="B42:G42"/>
    <mergeCell ref="B43:G43"/>
    <mergeCell ref="B44:G44"/>
    <mergeCell ref="B45:G45"/>
  </mergeCells>
  <pageMargins left="0.7" right="0.7" top="0.75" bottom="0.75" header="0.3" footer="0.3"/>
  <pageSetup paperSize="9" scale="8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4" max="4" width="14" bestFit="1" customWidth="1"/>
    <col min="5" max="5" width="12.5703125" bestFit="1" customWidth="1"/>
    <col min="6" max="6" width="17.140625" bestFit="1" customWidth="1"/>
    <col min="7" max="7" width="10.85546875" bestFit="1" customWidth="1"/>
    <col min="8" max="9" width="11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15" customHeight="1" thickBot="1" x14ac:dyDescent="0.3">
      <c r="B6" s="372" t="s">
        <v>0</v>
      </c>
      <c r="C6" s="372" t="str">
        <f>Presupuesto!B8</f>
        <v>200.7</v>
      </c>
      <c r="D6" s="631" t="str">
        <f>Presupuesto!E8</f>
        <v>Acceso provisional de viviendas</v>
      </c>
      <c r="E6" s="632"/>
      <c r="F6" s="632"/>
      <c r="G6" s="633"/>
      <c r="H6" s="372" t="s">
        <v>67</v>
      </c>
      <c r="I6" s="372" t="str">
        <f>Presupuesto!F8</f>
        <v>ML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/>
      <c r="I10" s="377">
        <f>ROUND(G10*H10,0)</f>
        <v>0</v>
      </c>
    </row>
    <row r="11" spans="1:10" ht="15.75" thickBot="1" x14ac:dyDescent="0.3">
      <c r="B11" s="621"/>
      <c r="C11" s="622"/>
      <c r="D11" s="622"/>
      <c r="E11" s="376"/>
      <c r="F11" s="376"/>
      <c r="G11" s="376"/>
      <c r="H11" s="377"/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thickBot="1" x14ac:dyDescent="0.3">
      <c r="B16" s="634"/>
      <c r="C16" s="635"/>
      <c r="D16" s="635"/>
      <c r="E16" s="409"/>
      <c r="F16" s="397"/>
      <c r="G16" s="398"/>
      <c r="H16" s="377">
        <f>F16*G16</f>
        <v>0</v>
      </c>
      <c r="I16" s="377">
        <f>ROUND(H16,0)</f>
        <v>0</v>
      </c>
    </row>
    <row r="17" spans="2:11" ht="15.75" thickBot="1" x14ac:dyDescent="0.3">
      <c r="B17" s="634"/>
      <c r="C17" s="635"/>
      <c r="D17" s="635"/>
      <c r="E17" s="409"/>
      <c r="F17" s="397"/>
      <c r="G17" s="398"/>
      <c r="H17" s="377">
        <f>F17*G17</f>
        <v>0</v>
      </c>
      <c r="I17" s="377">
        <f t="shared" ref="I17:I19" si="1">ROUND(H17,0)</f>
        <v>0</v>
      </c>
    </row>
    <row r="18" spans="2:11" ht="15.75" thickBot="1" x14ac:dyDescent="0.3">
      <c r="B18" s="634"/>
      <c r="C18" s="635"/>
      <c r="D18" s="635"/>
      <c r="E18" s="409"/>
      <c r="F18" s="397"/>
      <c r="G18" s="398"/>
      <c r="H18" s="377">
        <f>F18*G18</f>
        <v>0</v>
      </c>
      <c r="I18" s="377">
        <f t="shared" si="1"/>
        <v>0</v>
      </c>
    </row>
    <row r="19" spans="2:11" ht="15.75" thickBot="1" x14ac:dyDescent="0.3">
      <c r="B19" s="634"/>
      <c r="C19" s="635"/>
      <c r="D19" s="635"/>
      <c r="E19" s="409"/>
      <c r="F19" s="397"/>
      <c r="G19" s="398"/>
      <c r="H19" s="377"/>
      <c r="I19" s="377">
        <f t="shared" si="1"/>
        <v>0</v>
      </c>
    </row>
    <row r="20" spans="2:11" ht="15.75" thickBot="1" x14ac:dyDescent="0.3">
      <c r="B20" s="613"/>
      <c r="C20" s="614"/>
      <c r="D20" s="623"/>
      <c r="E20" s="382"/>
      <c r="F20" s="377"/>
      <c r="G20" s="383"/>
      <c r="H20" s="377">
        <f t="shared" ref="H20" si="2">F20*G20</f>
        <v>0</v>
      </c>
      <c r="I20" s="377">
        <f t="shared" ref="I20" si="3">H20</f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thickBot="1" x14ac:dyDescent="0.3">
      <c r="B25" s="636"/>
      <c r="C25" s="637"/>
      <c r="D25" s="399"/>
      <c r="E25" s="375"/>
      <c r="F25" s="375"/>
      <c r="G25" s="400"/>
      <c r="H25" s="400"/>
      <c r="I25" s="377">
        <f>ROUND(H25,0)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400">
        <f t="shared" ref="H26:H28" si="4">G26*D26</f>
        <v>0</v>
      </c>
      <c r="I26" s="377">
        <f t="shared" ref="I26:I28" si="5">ROUND(H26,0)</f>
        <v>0</v>
      </c>
    </row>
    <row r="27" spans="2:11" ht="15.75" thickBot="1" x14ac:dyDescent="0.3">
      <c r="B27" s="625"/>
      <c r="C27" s="626"/>
      <c r="D27" s="386"/>
      <c r="E27" s="376"/>
      <c r="F27" s="376"/>
      <c r="G27" s="376"/>
      <c r="H27" s="400">
        <f t="shared" si="4"/>
        <v>0</v>
      </c>
      <c r="I27" s="377">
        <f t="shared" si="5"/>
        <v>0</v>
      </c>
    </row>
    <row r="28" spans="2:11" ht="15.75" thickBot="1" x14ac:dyDescent="0.3">
      <c r="B28" s="625"/>
      <c r="C28" s="626"/>
      <c r="D28" s="386"/>
      <c r="E28" s="376"/>
      <c r="F28" s="376"/>
      <c r="G28" s="376"/>
      <c r="H28" s="400">
        <f t="shared" si="4"/>
        <v>0</v>
      </c>
      <c r="I28" s="377">
        <f t="shared" si="5"/>
        <v>0</v>
      </c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96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/>
      <c r="I32" s="377">
        <v>0</v>
      </c>
    </row>
    <row r="33" spans="2:9" ht="15.75" thickBot="1" x14ac:dyDescent="0.3">
      <c r="B33" s="613"/>
      <c r="C33" s="623"/>
      <c r="D33" s="388"/>
      <c r="E33" s="377"/>
      <c r="F33" s="389"/>
      <c r="G33" s="377"/>
      <c r="H33" s="377"/>
      <c r="I33" s="377">
        <v>0</v>
      </c>
    </row>
    <row r="34" spans="2:9" ht="15.75" thickBot="1" x14ac:dyDescent="0.3">
      <c r="B34" s="613"/>
      <c r="C34" s="623"/>
      <c r="D34" s="386"/>
      <c r="E34" s="377"/>
      <c r="F34" s="390"/>
      <c r="G34" s="376"/>
      <c r="H34" s="376"/>
      <c r="I34" s="377">
        <v>0</v>
      </c>
    </row>
    <row r="35" spans="2:9" ht="15.75" thickBot="1" x14ac:dyDescent="0.3">
      <c r="B35" s="613"/>
      <c r="C35" s="623"/>
      <c r="D35" s="386"/>
      <c r="E35" s="377"/>
      <c r="F35" s="390"/>
      <c r="G35" s="376"/>
      <c r="H35" s="376"/>
      <c r="I35" s="377">
        <v>0</v>
      </c>
    </row>
    <row r="36" spans="2:9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9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9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</row>
    <row r="39" spans="2:9" x14ac:dyDescent="0.25">
      <c r="B39" s="373"/>
      <c r="C39" s="373"/>
      <c r="D39" s="373"/>
      <c r="E39" s="373"/>
      <c r="F39" s="373"/>
      <c r="G39" s="373"/>
      <c r="H39" s="373"/>
      <c r="I39" s="373"/>
    </row>
    <row r="40" spans="2:9" x14ac:dyDescent="0.25">
      <c r="B40" s="373"/>
      <c r="C40" s="373"/>
      <c r="D40" s="373"/>
      <c r="E40" s="373"/>
      <c r="F40" s="373"/>
      <c r="G40" s="373"/>
      <c r="H40" s="373"/>
      <c r="I40" s="373"/>
    </row>
    <row r="41" spans="2:9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9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9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9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v>0</v>
      </c>
      <c r="I44" s="377">
        <f>I38*H44</f>
        <v>0</v>
      </c>
    </row>
    <row r="45" spans="2:9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9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9" x14ac:dyDescent="0.25">
      <c r="B47" s="373"/>
      <c r="C47" s="373"/>
      <c r="D47" s="373"/>
      <c r="E47" s="373"/>
      <c r="F47" s="373"/>
      <c r="G47" s="373"/>
      <c r="H47" s="373"/>
      <c r="I47" s="373"/>
    </row>
    <row r="48" spans="2:9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B2:I2"/>
    <mergeCell ref="B3:I4"/>
    <mergeCell ref="D6:G6"/>
    <mergeCell ref="B9:D9"/>
    <mergeCell ref="B10:D10"/>
    <mergeCell ref="B11:D11"/>
    <mergeCell ref="B12:D12"/>
    <mergeCell ref="B15:D15"/>
    <mergeCell ref="B34:C34"/>
    <mergeCell ref="B16:D16"/>
    <mergeCell ref="B17:D17"/>
    <mergeCell ref="B18:D18"/>
    <mergeCell ref="B24:C24"/>
    <mergeCell ref="B25:C25"/>
    <mergeCell ref="B26:C26"/>
    <mergeCell ref="B27:C27"/>
    <mergeCell ref="B28:C28"/>
    <mergeCell ref="B31:C31"/>
    <mergeCell ref="B32:C32"/>
    <mergeCell ref="B33:C33"/>
    <mergeCell ref="B19:D19"/>
    <mergeCell ref="B20:D20"/>
    <mergeCell ref="B21:D21"/>
    <mergeCell ref="F49:H49"/>
    <mergeCell ref="B35:C35"/>
    <mergeCell ref="G38:H38"/>
    <mergeCell ref="B42:G42"/>
    <mergeCell ref="B43:G43"/>
    <mergeCell ref="B44:G44"/>
    <mergeCell ref="B45:G45"/>
  </mergeCells>
  <pageMargins left="0.7" right="0.7" top="0.75" bottom="0.75" header="0.3" footer="0.3"/>
  <pageSetup paperSize="9" scale="8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4" max="4" width="14" bestFit="1" customWidth="1"/>
    <col min="5" max="5" width="12.5703125" bestFit="1" customWidth="1"/>
    <col min="6" max="6" width="17.140625" bestFit="1" customWidth="1"/>
    <col min="7" max="7" width="10.85546875" bestFit="1" customWidth="1"/>
    <col min="8" max="9" width="11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36" customHeight="1" thickBot="1" x14ac:dyDescent="0.3">
      <c r="B6" s="372" t="s">
        <v>0</v>
      </c>
      <c r="C6" s="372" t="str">
        <f>Presupuesto!B13</f>
        <v>400.1</v>
      </c>
      <c r="D6" s="638" t="str">
        <f>Presupuesto!E13</f>
        <v xml:space="preserve">Suministro y aplicación de manto en las vigas superiores durmientes longitudinales de 4" x 4" donde se atornilla la madera sintética </v>
      </c>
      <c r="E6" s="639"/>
      <c r="F6" s="639"/>
      <c r="G6" s="640"/>
      <c r="H6" s="372" t="s">
        <v>67</v>
      </c>
      <c r="I6" s="372" t="str">
        <f>Presupuesto!F13</f>
        <v>ML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/>
      <c r="I10" s="377">
        <f>ROUND(G10*H10,0)</f>
        <v>0</v>
      </c>
    </row>
    <row r="11" spans="1:10" ht="15.75" thickBot="1" x14ac:dyDescent="0.3">
      <c r="B11" s="621"/>
      <c r="C11" s="622"/>
      <c r="D11" s="622"/>
      <c r="E11" s="376"/>
      <c r="F11" s="376"/>
      <c r="G11" s="376"/>
      <c r="H11" s="377"/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thickBot="1" x14ac:dyDescent="0.3">
      <c r="B16" s="634"/>
      <c r="C16" s="635"/>
      <c r="D16" s="635"/>
      <c r="E16" s="378"/>
      <c r="F16" s="377"/>
      <c r="G16" s="410"/>
      <c r="H16" s="377">
        <f>F16*G16</f>
        <v>0</v>
      </c>
      <c r="I16" s="377">
        <f>ROUND(H16,0)</f>
        <v>0</v>
      </c>
    </row>
    <row r="17" spans="2:11" ht="15.75" thickBot="1" x14ac:dyDescent="0.3">
      <c r="B17" s="613"/>
      <c r="C17" s="614"/>
      <c r="D17" s="614"/>
      <c r="E17" s="382"/>
      <c r="F17" s="377"/>
      <c r="G17" s="383"/>
      <c r="H17" s="377">
        <f>F17*G17</f>
        <v>0</v>
      </c>
      <c r="I17" s="377">
        <f t="shared" ref="I17:I20" si="1">ROUND(H17,0)</f>
        <v>0</v>
      </c>
    </row>
    <row r="18" spans="2:11" ht="15.75" thickBot="1" x14ac:dyDescent="0.3">
      <c r="B18" s="613"/>
      <c r="C18" s="614"/>
      <c r="D18" s="614"/>
      <c r="E18" s="382"/>
      <c r="F18" s="377"/>
      <c r="G18" s="383"/>
      <c r="H18" s="377">
        <f t="shared" ref="H18:H20" si="2">F18*G18</f>
        <v>0</v>
      </c>
      <c r="I18" s="377">
        <f t="shared" si="1"/>
        <v>0</v>
      </c>
    </row>
    <row r="19" spans="2:11" ht="15.75" thickBot="1" x14ac:dyDescent="0.3">
      <c r="B19" s="613"/>
      <c r="C19" s="614"/>
      <c r="D19" s="614"/>
      <c r="E19" s="382"/>
      <c r="F19" s="377"/>
      <c r="G19" s="383"/>
      <c r="H19" s="377">
        <f t="shared" si="2"/>
        <v>0</v>
      </c>
      <c r="I19" s="377">
        <f t="shared" si="1"/>
        <v>0</v>
      </c>
    </row>
    <row r="20" spans="2:11" ht="15.75" thickBot="1" x14ac:dyDescent="0.3">
      <c r="B20" s="613"/>
      <c r="C20" s="614"/>
      <c r="D20" s="623"/>
      <c r="E20" s="382"/>
      <c r="F20" s="377"/>
      <c r="G20" s="383"/>
      <c r="H20" s="377">
        <f t="shared" si="2"/>
        <v>0</v>
      </c>
      <c r="I20" s="377">
        <f t="shared" si="1"/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thickBot="1" x14ac:dyDescent="0.3">
      <c r="B25" s="636"/>
      <c r="C25" s="637"/>
      <c r="D25" s="399"/>
      <c r="E25" s="375">
        <v>1</v>
      </c>
      <c r="F25" s="375"/>
      <c r="G25" s="400"/>
      <c r="H25" s="400">
        <f>G25*D25</f>
        <v>0</v>
      </c>
      <c r="I25" s="377">
        <f>ROUND(H25,0)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400">
        <f t="shared" ref="H26:H28" si="3">G26*D26</f>
        <v>0</v>
      </c>
      <c r="I26" s="377">
        <f t="shared" ref="I26:I28" si="4">ROUND(H26,0)</f>
        <v>0</v>
      </c>
    </row>
    <row r="27" spans="2:11" ht="15.75" thickBot="1" x14ac:dyDescent="0.3">
      <c r="B27" s="625"/>
      <c r="C27" s="626"/>
      <c r="D27" s="386"/>
      <c r="E27" s="376"/>
      <c r="F27" s="376"/>
      <c r="G27" s="376"/>
      <c r="H27" s="400">
        <f t="shared" si="3"/>
        <v>0</v>
      </c>
      <c r="I27" s="377">
        <f t="shared" si="4"/>
        <v>0</v>
      </c>
    </row>
    <row r="28" spans="2:11" ht="15.75" thickBot="1" x14ac:dyDescent="0.3">
      <c r="B28" s="625"/>
      <c r="C28" s="626"/>
      <c r="D28" s="386"/>
      <c r="E28" s="376"/>
      <c r="F28" s="376"/>
      <c r="G28" s="376"/>
      <c r="H28" s="400">
        <f t="shared" si="3"/>
        <v>0</v>
      </c>
      <c r="I28" s="377">
        <f t="shared" si="4"/>
        <v>0</v>
      </c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96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/>
      <c r="I32" s="377">
        <v>0</v>
      </c>
    </row>
    <row r="33" spans="2:9" ht="15.75" thickBot="1" x14ac:dyDescent="0.3">
      <c r="B33" s="613"/>
      <c r="C33" s="623"/>
      <c r="D33" s="388"/>
      <c r="E33" s="377"/>
      <c r="F33" s="389"/>
      <c r="G33" s="377"/>
      <c r="H33" s="377"/>
      <c r="I33" s="377">
        <v>0</v>
      </c>
    </row>
    <row r="34" spans="2:9" ht="15.75" thickBot="1" x14ac:dyDescent="0.3">
      <c r="B34" s="613"/>
      <c r="C34" s="623"/>
      <c r="D34" s="386"/>
      <c r="E34" s="377"/>
      <c r="F34" s="390"/>
      <c r="G34" s="376"/>
      <c r="H34" s="376"/>
      <c r="I34" s="377">
        <v>0</v>
      </c>
    </row>
    <row r="35" spans="2:9" ht="15.75" thickBot="1" x14ac:dyDescent="0.3">
      <c r="B35" s="613"/>
      <c r="C35" s="623"/>
      <c r="D35" s="386"/>
      <c r="E35" s="377"/>
      <c r="F35" s="390"/>
      <c r="G35" s="376"/>
      <c r="H35" s="376"/>
      <c r="I35" s="377">
        <v>0</v>
      </c>
    </row>
    <row r="36" spans="2:9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9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9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</row>
    <row r="39" spans="2:9" x14ac:dyDescent="0.25">
      <c r="B39" s="373"/>
      <c r="C39" s="373"/>
      <c r="D39" s="373"/>
      <c r="E39" s="373"/>
      <c r="F39" s="373"/>
      <c r="G39" s="373"/>
      <c r="H39" s="373"/>
      <c r="I39" s="373"/>
    </row>
    <row r="40" spans="2:9" x14ac:dyDescent="0.25">
      <c r="B40" s="373"/>
      <c r="C40" s="373"/>
      <c r="D40" s="373"/>
      <c r="E40" s="373"/>
      <c r="F40" s="373"/>
      <c r="G40" s="373"/>
      <c r="H40" s="373"/>
      <c r="I40" s="373"/>
    </row>
    <row r="41" spans="2:9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9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9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9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v>0</v>
      </c>
      <c r="I44" s="377">
        <f>I38*H44</f>
        <v>0</v>
      </c>
    </row>
    <row r="45" spans="2:9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9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9" x14ac:dyDescent="0.25">
      <c r="B47" s="373"/>
      <c r="C47" s="373"/>
      <c r="D47" s="373"/>
      <c r="E47" s="373"/>
      <c r="F47" s="373"/>
      <c r="G47" s="373"/>
      <c r="H47" s="373"/>
      <c r="I47" s="373"/>
    </row>
    <row r="48" spans="2:9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F49:H49"/>
    <mergeCell ref="B35:C35"/>
    <mergeCell ref="G38:H38"/>
    <mergeCell ref="B42:G42"/>
    <mergeCell ref="B43:G43"/>
    <mergeCell ref="B44:G44"/>
    <mergeCell ref="B45:G45"/>
    <mergeCell ref="B27:C27"/>
    <mergeCell ref="B28:C28"/>
    <mergeCell ref="B31:C31"/>
    <mergeCell ref="B33:C33"/>
    <mergeCell ref="B34:C34"/>
    <mergeCell ref="B32:C32"/>
    <mergeCell ref="B26:C26"/>
    <mergeCell ref="B12:D12"/>
    <mergeCell ref="B15:D15"/>
    <mergeCell ref="B16:D16"/>
    <mergeCell ref="B17:D17"/>
    <mergeCell ref="B18:D18"/>
    <mergeCell ref="B19:D19"/>
    <mergeCell ref="B20:D20"/>
    <mergeCell ref="B21:D21"/>
    <mergeCell ref="B24:C24"/>
    <mergeCell ref="B25:C25"/>
    <mergeCell ref="B11:D11"/>
    <mergeCell ref="B2:I2"/>
    <mergeCell ref="B3:I4"/>
    <mergeCell ref="D6:G6"/>
    <mergeCell ref="B9:D9"/>
    <mergeCell ref="B10:D10"/>
  </mergeCells>
  <pageMargins left="0.7" right="0.7" top="0.75" bottom="0.75" header="0.3" footer="0.3"/>
  <pageSetup paperSize="9" scale="8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4" max="4" width="14.140625" bestFit="1" customWidth="1"/>
    <col min="5" max="5" width="12.7109375" bestFit="1" customWidth="1"/>
    <col min="6" max="6" width="17.28515625" bestFit="1" customWidth="1"/>
    <col min="7" max="7" width="11" bestFit="1" customWidth="1"/>
    <col min="8" max="9" width="11.28515625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61.5" customHeight="1" thickBot="1" x14ac:dyDescent="0.3">
      <c r="B6" s="372" t="s">
        <v>0</v>
      </c>
      <c r="C6" s="372" t="str">
        <f>Presupuesto!B15</f>
        <v>500.6</v>
      </c>
      <c r="D6" s="638" t="str">
        <f>Presupuesto!E15</f>
        <v xml:space="preserve">Suministro, transporte e instalación de madera natural en Truncado, Níspero o similar para la conformación de un tramo  de puente con  puntales de 5" x 5" x 3,00 mts., vientos diagonales de 2" x 4" x 2,50 mts., vigas riostras superiores de 5" x 3" x 1,00 mts., vigas durmientes longitudinales de 4" x 4" x 3,00 mts. </v>
      </c>
      <c r="E6" s="639"/>
      <c r="F6" s="639"/>
      <c r="G6" s="640"/>
      <c r="H6" s="372" t="s">
        <v>67</v>
      </c>
      <c r="I6" s="372" t="str">
        <f>Presupuesto!F15</f>
        <v>ML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/>
      <c r="I10" s="377">
        <f>ROUND(G10*H10,0)</f>
        <v>0</v>
      </c>
    </row>
    <row r="11" spans="1:10" ht="15.75" thickBot="1" x14ac:dyDescent="0.3">
      <c r="B11" s="621"/>
      <c r="C11" s="622"/>
      <c r="D11" s="622"/>
      <c r="E11" s="376"/>
      <c r="F11" s="376"/>
      <c r="G11" s="376"/>
      <c r="H11" s="377"/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thickBot="1" x14ac:dyDescent="0.3">
      <c r="B16" s="613"/>
      <c r="C16" s="614"/>
      <c r="D16" s="614"/>
      <c r="E16" s="382"/>
      <c r="F16" s="397"/>
      <c r="G16" s="398"/>
      <c r="H16" s="377"/>
      <c r="I16" s="377">
        <f>ROUND(H16,0)</f>
        <v>0</v>
      </c>
    </row>
    <row r="17" spans="2:11" ht="15.75" thickBot="1" x14ac:dyDescent="0.3">
      <c r="B17" s="613"/>
      <c r="C17" s="614"/>
      <c r="D17" s="614"/>
      <c r="E17" s="382"/>
      <c r="F17" s="397"/>
      <c r="G17" s="398"/>
      <c r="H17" s="377"/>
      <c r="I17" s="377">
        <f t="shared" ref="I17:I20" si="1">ROUND(H17,0)</f>
        <v>0</v>
      </c>
    </row>
    <row r="18" spans="2:11" ht="15.75" thickBot="1" x14ac:dyDescent="0.3">
      <c r="B18" s="613"/>
      <c r="C18" s="614"/>
      <c r="D18" s="614"/>
      <c r="E18" s="382"/>
      <c r="F18" s="397"/>
      <c r="G18" s="398"/>
      <c r="H18" s="377"/>
      <c r="I18" s="377">
        <f t="shared" si="1"/>
        <v>0</v>
      </c>
    </row>
    <row r="19" spans="2:11" ht="15.75" thickBot="1" x14ac:dyDescent="0.3">
      <c r="B19" s="613"/>
      <c r="C19" s="614"/>
      <c r="D19" s="614"/>
      <c r="E19" s="382"/>
      <c r="F19" s="397"/>
      <c r="G19" s="398"/>
      <c r="H19" s="377"/>
      <c r="I19" s="377">
        <f t="shared" si="1"/>
        <v>0</v>
      </c>
    </row>
    <row r="20" spans="2:11" ht="15.75" thickBot="1" x14ac:dyDescent="0.3">
      <c r="B20" s="613"/>
      <c r="C20" s="614"/>
      <c r="D20" s="614"/>
      <c r="E20" s="382"/>
      <c r="F20" s="397"/>
      <c r="G20" s="398"/>
      <c r="H20" s="377"/>
      <c r="I20" s="377">
        <f t="shared" si="1"/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customHeight="1" thickBot="1" x14ac:dyDescent="0.3">
      <c r="B25" s="636"/>
      <c r="C25" s="637"/>
      <c r="D25" s="399"/>
      <c r="E25" s="375"/>
      <c r="F25" s="375"/>
      <c r="G25" s="411"/>
      <c r="H25" s="400">
        <f t="shared" ref="H25:H28" si="2">G25*D25</f>
        <v>0</v>
      </c>
      <c r="I25" s="401">
        <f>ROUND(H25,0)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400">
        <f t="shared" si="2"/>
        <v>0</v>
      </c>
      <c r="I26" s="401">
        <f t="shared" ref="I26:I28" si="3">ROUND(H26,0)</f>
        <v>0</v>
      </c>
    </row>
    <row r="27" spans="2:11" ht="15.75" thickBot="1" x14ac:dyDescent="0.3">
      <c r="B27" s="625"/>
      <c r="C27" s="626"/>
      <c r="D27" s="386"/>
      <c r="E27" s="376"/>
      <c r="F27" s="376"/>
      <c r="G27" s="376"/>
      <c r="H27" s="400">
        <f t="shared" si="2"/>
        <v>0</v>
      </c>
      <c r="I27" s="401">
        <f t="shared" si="3"/>
        <v>0</v>
      </c>
    </row>
    <row r="28" spans="2:11" ht="15.75" thickBot="1" x14ac:dyDescent="0.3">
      <c r="B28" s="625"/>
      <c r="C28" s="626"/>
      <c r="D28" s="386"/>
      <c r="E28" s="376"/>
      <c r="F28" s="376"/>
      <c r="G28" s="376"/>
      <c r="H28" s="400">
        <f t="shared" si="2"/>
        <v>0</v>
      </c>
      <c r="I28" s="401">
        <f t="shared" si="3"/>
        <v>0</v>
      </c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96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/>
      <c r="I32" s="377">
        <v>0</v>
      </c>
    </row>
    <row r="33" spans="2:10" ht="15.75" thickBot="1" x14ac:dyDescent="0.3">
      <c r="B33" s="613"/>
      <c r="C33" s="623"/>
      <c r="D33" s="388"/>
      <c r="E33" s="377"/>
      <c r="F33" s="389"/>
      <c r="G33" s="377"/>
      <c r="H33" s="377"/>
      <c r="I33" s="377">
        <v>0</v>
      </c>
    </row>
    <row r="34" spans="2:10" ht="15.75" thickBot="1" x14ac:dyDescent="0.3">
      <c r="B34" s="613"/>
      <c r="C34" s="623"/>
      <c r="D34" s="386"/>
      <c r="E34" s="377"/>
      <c r="F34" s="390"/>
      <c r="G34" s="376"/>
      <c r="H34" s="376"/>
      <c r="I34" s="377">
        <v>0</v>
      </c>
    </row>
    <row r="35" spans="2:10" ht="15.75" thickBot="1" x14ac:dyDescent="0.3">
      <c r="B35" s="613"/>
      <c r="C35" s="623"/>
      <c r="D35" s="386"/>
      <c r="E35" s="377"/>
      <c r="F35" s="390"/>
      <c r="G35" s="376"/>
      <c r="H35" s="376"/>
      <c r="I35" s="377">
        <v>0</v>
      </c>
    </row>
    <row r="36" spans="2:10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10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10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  <c r="J38" s="51"/>
    </row>
    <row r="39" spans="2:10" x14ac:dyDescent="0.25">
      <c r="B39" s="373"/>
      <c r="C39" s="373"/>
      <c r="D39" s="373"/>
      <c r="E39" s="373"/>
      <c r="F39" s="373"/>
      <c r="G39" s="373"/>
      <c r="H39" s="373"/>
      <c r="I39" s="373"/>
    </row>
    <row r="40" spans="2:10" x14ac:dyDescent="0.25">
      <c r="B40" s="373"/>
      <c r="C40" s="373"/>
      <c r="D40" s="373"/>
      <c r="E40" s="373"/>
      <c r="F40" s="373"/>
      <c r="G40" s="373"/>
      <c r="H40" s="373"/>
      <c r="I40" s="373"/>
    </row>
    <row r="41" spans="2:10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10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10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10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v>0</v>
      </c>
      <c r="I44" s="377">
        <f>I38*H44</f>
        <v>0</v>
      </c>
    </row>
    <row r="45" spans="2:10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10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10" x14ac:dyDescent="0.25">
      <c r="B47" s="373"/>
      <c r="C47" s="373"/>
      <c r="D47" s="373"/>
      <c r="E47" s="373"/>
      <c r="F47" s="373"/>
      <c r="G47" s="373"/>
      <c r="H47" s="373"/>
      <c r="I47" s="373"/>
    </row>
    <row r="48" spans="2:10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F49:H49"/>
    <mergeCell ref="B35:C35"/>
    <mergeCell ref="G38:H38"/>
    <mergeCell ref="B42:G42"/>
    <mergeCell ref="B43:G43"/>
    <mergeCell ref="B44:G44"/>
    <mergeCell ref="B45:G45"/>
    <mergeCell ref="B34:C34"/>
    <mergeCell ref="B19:D19"/>
    <mergeCell ref="B20:D20"/>
    <mergeCell ref="B21:D21"/>
    <mergeCell ref="B24:C24"/>
    <mergeCell ref="B25:C25"/>
    <mergeCell ref="B26:C26"/>
    <mergeCell ref="B27:C27"/>
    <mergeCell ref="B28:C28"/>
    <mergeCell ref="B31:C31"/>
    <mergeCell ref="B32:C32"/>
    <mergeCell ref="B33:C33"/>
    <mergeCell ref="B18:D18"/>
    <mergeCell ref="B2:I2"/>
    <mergeCell ref="B3:I4"/>
    <mergeCell ref="D6:G6"/>
    <mergeCell ref="B9:D9"/>
    <mergeCell ref="B10:D10"/>
    <mergeCell ref="B11:D11"/>
    <mergeCell ref="B12:D12"/>
    <mergeCell ref="B15:D15"/>
    <mergeCell ref="B16:D16"/>
    <mergeCell ref="B17:D17"/>
  </mergeCells>
  <pageMargins left="0.7" right="0.7" top="0.75" bottom="0.75" header="0.3" footer="0.3"/>
  <pageSetup paperSize="9" scale="8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4" max="4" width="14.140625" customWidth="1"/>
    <col min="5" max="5" width="12.7109375" bestFit="1" customWidth="1"/>
    <col min="6" max="6" width="17.28515625" bestFit="1" customWidth="1"/>
    <col min="7" max="7" width="11" bestFit="1" customWidth="1"/>
    <col min="8" max="9" width="11.28515625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38.25" customHeight="1" thickBot="1" x14ac:dyDescent="0.3">
      <c r="B6" s="403" t="s">
        <v>0</v>
      </c>
      <c r="C6" s="403" t="str">
        <f>Presupuesto!B17</f>
        <v>500.9</v>
      </c>
      <c r="D6" s="641" t="str">
        <f>Presupuesto!E17</f>
        <v>Instalación de madera sintética en tablillas de 120cm x 12cm x 4cm, sujetos a las vigas durmientes longitudinales con tornillos de 6,5" X D= 3/8" (Incluye la recuperacion de la tablillas existente)</v>
      </c>
      <c r="E6" s="642"/>
      <c r="F6" s="642"/>
      <c r="G6" s="643"/>
      <c r="H6" s="403" t="s">
        <v>67</v>
      </c>
      <c r="I6" s="403" t="str">
        <f>Presupuesto!F17</f>
        <v>ML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/>
      <c r="I10" s="377">
        <f>ROUND(G10*H10,0)</f>
        <v>0</v>
      </c>
    </row>
    <row r="11" spans="1:10" ht="15.75" thickBot="1" x14ac:dyDescent="0.3">
      <c r="B11" s="621"/>
      <c r="C11" s="622"/>
      <c r="D11" s="622"/>
      <c r="E11" s="376"/>
      <c r="F11" s="376"/>
      <c r="G11" s="376"/>
      <c r="H11" s="377"/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customHeight="1" thickBot="1" x14ac:dyDescent="0.3">
      <c r="B16" s="636"/>
      <c r="C16" s="644"/>
      <c r="D16" s="644"/>
      <c r="E16" s="404"/>
      <c r="F16" s="412"/>
      <c r="G16" s="405"/>
      <c r="H16" s="401">
        <f t="shared" ref="H16:H18" si="1">F16*G16</f>
        <v>0</v>
      </c>
      <c r="I16" s="401">
        <f>ROUND(H16,0)</f>
        <v>0</v>
      </c>
    </row>
    <row r="17" spans="2:11" ht="15.75" customHeight="1" thickBot="1" x14ac:dyDescent="0.3">
      <c r="B17" s="636"/>
      <c r="C17" s="644"/>
      <c r="D17" s="644"/>
      <c r="E17" s="404"/>
      <c r="F17" s="412"/>
      <c r="G17" s="405"/>
      <c r="H17" s="401">
        <f t="shared" si="1"/>
        <v>0</v>
      </c>
      <c r="I17" s="401">
        <f t="shared" ref="I17:I20" si="2">ROUND(H17,0)</f>
        <v>0</v>
      </c>
    </row>
    <row r="18" spans="2:11" ht="15.75" thickBot="1" x14ac:dyDescent="0.3">
      <c r="B18" s="613"/>
      <c r="C18" s="614"/>
      <c r="D18" s="614"/>
      <c r="E18" s="404"/>
      <c r="F18" s="412"/>
      <c r="G18" s="405"/>
      <c r="H18" s="401">
        <f t="shared" si="1"/>
        <v>0</v>
      </c>
      <c r="I18" s="401">
        <f t="shared" si="2"/>
        <v>0</v>
      </c>
    </row>
    <row r="19" spans="2:11" ht="15.75" thickBot="1" x14ac:dyDescent="0.3">
      <c r="B19" s="613"/>
      <c r="C19" s="614"/>
      <c r="D19" s="614"/>
      <c r="E19" s="404"/>
      <c r="F19" s="401"/>
      <c r="G19" s="405"/>
      <c r="H19" s="401">
        <f t="shared" ref="H19:H20" si="3">F19*G19</f>
        <v>0</v>
      </c>
      <c r="I19" s="401">
        <f t="shared" si="2"/>
        <v>0</v>
      </c>
    </row>
    <row r="20" spans="2:11" ht="15.75" thickBot="1" x14ac:dyDescent="0.3">
      <c r="B20" s="613"/>
      <c r="C20" s="614"/>
      <c r="D20" s="623"/>
      <c r="E20" s="404"/>
      <c r="F20" s="401"/>
      <c r="G20" s="405"/>
      <c r="H20" s="401">
        <f t="shared" si="3"/>
        <v>0</v>
      </c>
      <c r="I20" s="401">
        <f t="shared" si="2"/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customHeight="1" thickBot="1" x14ac:dyDescent="0.3">
      <c r="B25" s="636"/>
      <c r="C25" s="637"/>
      <c r="D25" s="399"/>
      <c r="E25" s="375"/>
      <c r="F25" s="375"/>
      <c r="G25" s="400"/>
      <c r="H25" s="400">
        <f>G25*D25</f>
        <v>0</v>
      </c>
      <c r="I25" s="401">
        <f>ROUND(H25,0)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400">
        <f t="shared" ref="H26:H28" si="4">G26*D26</f>
        <v>0</v>
      </c>
      <c r="I26" s="401">
        <f t="shared" ref="I26:I28" si="5">ROUND(H26,0)</f>
        <v>0</v>
      </c>
    </row>
    <row r="27" spans="2:11" ht="15.75" thickBot="1" x14ac:dyDescent="0.3">
      <c r="B27" s="625"/>
      <c r="C27" s="626"/>
      <c r="D27" s="386"/>
      <c r="E27" s="376"/>
      <c r="F27" s="376"/>
      <c r="G27" s="376"/>
      <c r="H27" s="400">
        <f t="shared" si="4"/>
        <v>0</v>
      </c>
      <c r="I27" s="401">
        <f t="shared" si="5"/>
        <v>0</v>
      </c>
    </row>
    <row r="28" spans="2:11" ht="15.75" thickBot="1" x14ac:dyDescent="0.3">
      <c r="B28" s="625"/>
      <c r="C28" s="626"/>
      <c r="D28" s="386"/>
      <c r="E28" s="376"/>
      <c r="F28" s="376"/>
      <c r="G28" s="376"/>
      <c r="H28" s="400">
        <f t="shared" si="4"/>
        <v>0</v>
      </c>
      <c r="I28" s="401">
        <f t="shared" si="5"/>
        <v>0</v>
      </c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96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/>
      <c r="I32" s="377">
        <v>0</v>
      </c>
    </row>
    <row r="33" spans="2:9" ht="15.75" thickBot="1" x14ac:dyDescent="0.3">
      <c r="B33" s="613"/>
      <c r="C33" s="623"/>
      <c r="D33" s="388"/>
      <c r="E33" s="377"/>
      <c r="F33" s="389"/>
      <c r="G33" s="377"/>
      <c r="H33" s="377"/>
      <c r="I33" s="377">
        <v>0</v>
      </c>
    </row>
    <row r="34" spans="2:9" ht="15.75" thickBot="1" x14ac:dyDescent="0.3">
      <c r="B34" s="613"/>
      <c r="C34" s="623"/>
      <c r="D34" s="386"/>
      <c r="E34" s="377"/>
      <c r="F34" s="390"/>
      <c r="G34" s="376"/>
      <c r="H34" s="376"/>
      <c r="I34" s="377">
        <v>0</v>
      </c>
    </row>
    <row r="35" spans="2:9" ht="15.75" thickBot="1" x14ac:dyDescent="0.3">
      <c r="B35" s="613"/>
      <c r="C35" s="623"/>
      <c r="D35" s="386"/>
      <c r="E35" s="377"/>
      <c r="F35" s="390"/>
      <c r="G35" s="376"/>
      <c r="H35" s="376"/>
      <c r="I35" s="377">
        <v>0</v>
      </c>
    </row>
    <row r="36" spans="2:9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9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9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</row>
    <row r="39" spans="2:9" x14ac:dyDescent="0.25">
      <c r="B39" s="373"/>
      <c r="C39" s="373"/>
      <c r="D39" s="373"/>
      <c r="E39" s="373"/>
      <c r="F39" s="373"/>
      <c r="G39" s="373"/>
      <c r="H39" s="373"/>
      <c r="I39" s="373"/>
    </row>
    <row r="40" spans="2:9" x14ac:dyDescent="0.25">
      <c r="B40" s="373"/>
      <c r="C40" s="373"/>
      <c r="D40" s="373"/>
      <c r="E40" s="373"/>
      <c r="F40" s="373"/>
      <c r="G40" s="373"/>
      <c r="H40" s="373"/>
      <c r="I40" s="373"/>
    </row>
    <row r="41" spans="2:9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9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9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9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v>0</v>
      </c>
      <c r="I44" s="377">
        <f>I38*H44</f>
        <v>0</v>
      </c>
    </row>
    <row r="45" spans="2:9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9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9" x14ac:dyDescent="0.25">
      <c r="B47" s="373"/>
      <c r="C47" s="373"/>
      <c r="D47" s="373"/>
      <c r="E47" s="373"/>
      <c r="F47" s="373"/>
      <c r="G47" s="373"/>
      <c r="H47" s="373"/>
      <c r="I47" s="373"/>
    </row>
    <row r="48" spans="2:9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F49:H49"/>
    <mergeCell ref="B35:C35"/>
    <mergeCell ref="G38:H38"/>
    <mergeCell ref="B42:G42"/>
    <mergeCell ref="B43:G43"/>
    <mergeCell ref="B44:G44"/>
    <mergeCell ref="B45:G45"/>
    <mergeCell ref="B34:C34"/>
    <mergeCell ref="B19:D19"/>
    <mergeCell ref="B20:D20"/>
    <mergeCell ref="B21:D21"/>
    <mergeCell ref="B24:C24"/>
    <mergeCell ref="B25:C25"/>
    <mergeCell ref="B26:C26"/>
    <mergeCell ref="B27:C27"/>
    <mergeCell ref="B28:C28"/>
    <mergeCell ref="B31:C31"/>
    <mergeCell ref="B32:C32"/>
    <mergeCell ref="B33:C33"/>
    <mergeCell ref="B18:D18"/>
    <mergeCell ref="B2:I2"/>
    <mergeCell ref="B3:I4"/>
    <mergeCell ref="D6:G6"/>
    <mergeCell ref="B9:D9"/>
    <mergeCell ref="B10:D10"/>
    <mergeCell ref="B11:D11"/>
    <mergeCell ref="B12:D12"/>
    <mergeCell ref="B15:D15"/>
    <mergeCell ref="B16:D16"/>
    <mergeCell ref="B17:D17"/>
  </mergeCells>
  <pageMargins left="0.7" right="0.7" top="0.75" bottom="0.75" header="0.3" footer="0.3"/>
  <pageSetup paperSize="9" scale="8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4" max="4" width="14.140625" customWidth="1"/>
    <col min="5" max="5" width="12.5703125" bestFit="1" customWidth="1"/>
    <col min="6" max="6" width="17.140625" bestFit="1" customWidth="1"/>
    <col min="7" max="7" width="10.85546875" bestFit="1" customWidth="1"/>
    <col min="8" max="9" width="12.42578125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27.75" customHeight="1" thickBot="1" x14ac:dyDescent="0.3">
      <c r="B6" s="372" t="s">
        <v>0</v>
      </c>
      <c r="C6" s="372" t="str">
        <f>Presupuesto!B12</f>
        <v>700.2</v>
      </c>
      <c r="D6" s="638" t="str">
        <f>Presupuesto!E12</f>
        <v xml:space="preserve">Curado e impermeabilización de madera con pintura bituminosa tipo vareta color negro </v>
      </c>
      <c r="E6" s="639"/>
      <c r="F6" s="639"/>
      <c r="G6" s="640"/>
      <c r="H6" s="372" t="s">
        <v>67</v>
      </c>
      <c r="I6" s="372" t="str">
        <f>Presupuesto!F12</f>
        <v>KG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/>
      <c r="I10" s="377">
        <f>ROUND(G10*H10,0)</f>
        <v>0</v>
      </c>
    </row>
    <row r="11" spans="1:10" ht="15.75" thickBot="1" x14ac:dyDescent="0.3">
      <c r="B11" s="621"/>
      <c r="C11" s="622"/>
      <c r="D11" s="622"/>
      <c r="E11" s="376"/>
      <c r="F11" s="376"/>
      <c r="G11" s="376"/>
      <c r="H11" s="377"/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thickBot="1" x14ac:dyDescent="0.3">
      <c r="B16" s="634"/>
      <c r="C16" s="635"/>
      <c r="D16" s="635"/>
      <c r="E16" s="378"/>
      <c r="F16" s="377"/>
      <c r="G16" s="413"/>
      <c r="H16" s="377">
        <f>F16*G16</f>
        <v>0</v>
      </c>
      <c r="I16" s="377">
        <f>ROUND(H16,0)</f>
        <v>0</v>
      </c>
    </row>
    <row r="17" spans="2:11" ht="15.75" thickBot="1" x14ac:dyDescent="0.3">
      <c r="B17" s="613"/>
      <c r="C17" s="614"/>
      <c r="D17" s="614"/>
      <c r="E17" s="378"/>
      <c r="F17" s="377"/>
      <c r="G17" s="413"/>
      <c r="H17" s="377">
        <f t="shared" ref="H17:H20" si="1">F17*G17</f>
        <v>0</v>
      </c>
      <c r="I17" s="377">
        <f t="shared" ref="I17:I20" si="2">ROUND(H17,0)</f>
        <v>0</v>
      </c>
    </row>
    <row r="18" spans="2:11" ht="15.75" thickBot="1" x14ac:dyDescent="0.3">
      <c r="B18" s="613"/>
      <c r="C18" s="614"/>
      <c r="D18" s="614"/>
      <c r="E18" s="382"/>
      <c r="F18" s="377"/>
      <c r="G18" s="383"/>
      <c r="H18" s="377">
        <f t="shared" si="1"/>
        <v>0</v>
      </c>
      <c r="I18" s="377">
        <f t="shared" si="2"/>
        <v>0</v>
      </c>
    </row>
    <row r="19" spans="2:11" ht="15.75" thickBot="1" x14ac:dyDescent="0.3">
      <c r="B19" s="613"/>
      <c r="C19" s="614"/>
      <c r="D19" s="614"/>
      <c r="E19" s="382"/>
      <c r="F19" s="377"/>
      <c r="G19" s="383"/>
      <c r="H19" s="377">
        <f t="shared" si="1"/>
        <v>0</v>
      </c>
      <c r="I19" s="377">
        <f t="shared" si="2"/>
        <v>0</v>
      </c>
    </row>
    <row r="20" spans="2:11" ht="15.75" thickBot="1" x14ac:dyDescent="0.3">
      <c r="B20" s="613"/>
      <c r="C20" s="614"/>
      <c r="D20" s="623"/>
      <c r="E20" s="404"/>
      <c r="F20" s="401"/>
      <c r="G20" s="405"/>
      <c r="H20" s="401">
        <f t="shared" si="1"/>
        <v>0</v>
      </c>
      <c r="I20" s="401">
        <f t="shared" si="2"/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thickBot="1" x14ac:dyDescent="0.3">
      <c r="B25" s="636"/>
      <c r="C25" s="637"/>
      <c r="D25" s="399"/>
      <c r="E25" s="375"/>
      <c r="F25" s="375"/>
      <c r="G25" s="400"/>
      <c r="H25" s="400">
        <f>D25*G25</f>
        <v>0</v>
      </c>
      <c r="I25" s="401">
        <f>H25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400">
        <f t="shared" ref="H26:H28" si="3">D26*G26</f>
        <v>0</v>
      </c>
      <c r="I26" s="376"/>
    </row>
    <row r="27" spans="2:11" ht="15.75" thickBot="1" x14ac:dyDescent="0.3">
      <c r="B27" s="625"/>
      <c r="C27" s="626"/>
      <c r="D27" s="386"/>
      <c r="E27" s="376"/>
      <c r="F27" s="376"/>
      <c r="G27" s="376"/>
      <c r="H27" s="400">
        <f t="shared" si="3"/>
        <v>0</v>
      </c>
      <c r="I27" s="376"/>
    </row>
    <row r="28" spans="2:11" ht="15.75" thickBot="1" x14ac:dyDescent="0.3">
      <c r="B28" s="625"/>
      <c r="C28" s="626"/>
      <c r="D28" s="386"/>
      <c r="E28" s="376"/>
      <c r="F28" s="376"/>
      <c r="G28" s="376"/>
      <c r="H28" s="400">
        <f t="shared" si="3"/>
        <v>0</v>
      </c>
      <c r="I28" s="376"/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96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>
        <v>0</v>
      </c>
      <c r="I32" s="377">
        <v>0</v>
      </c>
    </row>
    <row r="33" spans="2:9" ht="15.75" thickBot="1" x14ac:dyDescent="0.3">
      <c r="B33" s="613"/>
      <c r="C33" s="623"/>
      <c r="D33" s="388"/>
      <c r="E33" s="377"/>
      <c r="F33" s="389"/>
      <c r="G33" s="377"/>
      <c r="H33" s="377"/>
      <c r="I33" s="377">
        <v>0</v>
      </c>
    </row>
    <row r="34" spans="2:9" ht="15.75" thickBot="1" x14ac:dyDescent="0.3">
      <c r="B34" s="613"/>
      <c r="C34" s="623"/>
      <c r="D34" s="386"/>
      <c r="E34" s="377"/>
      <c r="F34" s="390"/>
      <c r="G34" s="376"/>
      <c r="H34" s="376"/>
      <c r="I34" s="377">
        <v>0</v>
      </c>
    </row>
    <row r="35" spans="2:9" ht="15.75" thickBot="1" x14ac:dyDescent="0.3">
      <c r="B35" s="613"/>
      <c r="C35" s="623"/>
      <c r="D35" s="386"/>
      <c r="E35" s="377"/>
      <c r="F35" s="390"/>
      <c r="G35" s="376"/>
      <c r="H35" s="376"/>
      <c r="I35" s="377">
        <v>0</v>
      </c>
    </row>
    <row r="36" spans="2:9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9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9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</row>
    <row r="39" spans="2:9" x14ac:dyDescent="0.25">
      <c r="B39" s="373"/>
      <c r="C39" s="373"/>
      <c r="D39" s="373"/>
      <c r="E39" s="373"/>
      <c r="F39" s="373"/>
      <c r="G39" s="373"/>
      <c r="H39" s="373"/>
      <c r="I39" s="373"/>
    </row>
    <row r="40" spans="2:9" x14ac:dyDescent="0.25">
      <c r="B40" s="373"/>
      <c r="C40" s="373"/>
      <c r="D40" s="373"/>
      <c r="E40" s="373"/>
      <c r="F40" s="373"/>
      <c r="G40" s="373"/>
      <c r="H40" s="373"/>
      <c r="I40" s="373"/>
    </row>
    <row r="41" spans="2:9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9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9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9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v>0</v>
      </c>
      <c r="I44" s="377">
        <f>I38*H44</f>
        <v>0</v>
      </c>
    </row>
    <row r="45" spans="2:9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9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9" x14ac:dyDescent="0.25">
      <c r="B47" s="373"/>
      <c r="C47" s="373"/>
      <c r="D47" s="373"/>
      <c r="E47" s="373"/>
      <c r="F47" s="373"/>
      <c r="G47" s="373"/>
      <c r="H47" s="373"/>
      <c r="I47" s="373"/>
    </row>
    <row r="48" spans="2:9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F49:H49"/>
    <mergeCell ref="B35:C35"/>
    <mergeCell ref="G38:H38"/>
    <mergeCell ref="B42:G42"/>
    <mergeCell ref="B43:G43"/>
    <mergeCell ref="B44:G44"/>
    <mergeCell ref="B45:G45"/>
    <mergeCell ref="B34:C34"/>
    <mergeCell ref="B19:D19"/>
    <mergeCell ref="B20:D20"/>
    <mergeCell ref="B21:D21"/>
    <mergeCell ref="B24:C24"/>
    <mergeCell ref="B25:C25"/>
    <mergeCell ref="B26:C26"/>
    <mergeCell ref="B27:C27"/>
    <mergeCell ref="B28:C28"/>
    <mergeCell ref="B31:C31"/>
    <mergeCell ref="B32:C32"/>
    <mergeCell ref="B33:C33"/>
    <mergeCell ref="B18:D18"/>
    <mergeCell ref="B2:I2"/>
    <mergeCell ref="B3:I4"/>
    <mergeCell ref="D6:G6"/>
    <mergeCell ref="B9:D9"/>
    <mergeCell ref="B10:D10"/>
    <mergeCell ref="B11:D11"/>
    <mergeCell ref="B12:D12"/>
    <mergeCell ref="B15:D15"/>
    <mergeCell ref="B16:D16"/>
    <mergeCell ref="B17:D17"/>
  </mergeCells>
  <pageMargins left="0.7" right="0.7" top="0.75" bottom="0.75" header="0.3" footer="0.3"/>
  <pageSetup paperSize="9" scale="8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view="pageBreakPreview" zoomScaleNormal="100" zoomScaleSheetLayoutView="100" workbookViewId="0">
      <selection activeCell="B3" sqref="B3:I4"/>
    </sheetView>
  </sheetViews>
  <sheetFormatPr baseColWidth="10" defaultRowHeight="15" x14ac:dyDescent="0.25"/>
  <cols>
    <col min="1" max="1" width="4.42578125" customWidth="1"/>
    <col min="3" max="3" width="9" customWidth="1"/>
    <col min="4" max="4" width="14" bestFit="1" customWidth="1"/>
    <col min="5" max="5" width="12.5703125" bestFit="1" customWidth="1"/>
    <col min="6" max="6" width="17.140625" bestFit="1" customWidth="1"/>
    <col min="7" max="8" width="10.85546875" bestFit="1" customWidth="1"/>
    <col min="9" max="9" width="11" bestFit="1" customWidth="1"/>
  </cols>
  <sheetData>
    <row r="1" spans="1:10" ht="15.75" thickBot="1" x14ac:dyDescent="0.3"/>
    <row r="2" spans="1:10" ht="15.75" thickBot="1" x14ac:dyDescent="0.3">
      <c r="B2" s="615" t="s">
        <v>66</v>
      </c>
      <c r="C2" s="616"/>
      <c r="D2" s="616"/>
      <c r="E2" s="616"/>
      <c r="F2" s="616"/>
      <c r="G2" s="616"/>
      <c r="H2" s="616"/>
      <c r="I2" s="617"/>
    </row>
    <row r="3" spans="1:10" ht="15" customHeight="1" x14ac:dyDescent="0.25">
      <c r="B3" s="592" t="s">
        <v>326</v>
      </c>
      <c r="C3" s="593"/>
      <c r="D3" s="593"/>
      <c r="E3" s="593"/>
      <c r="F3" s="593"/>
      <c r="G3" s="593"/>
      <c r="H3" s="593"/>
      <c r="I3" s="594"/>
    </row>
    <row r="4" spans="1:10" ht="15.75" thickBot="1" x14ac:dyDescent="0.3">
      <c r="B4" s="595"/>
      <c r="C4" s="596"/>
      <c r="D4" s="596"/>
      <c r="E4" s="596"/>
      <c r="F4" s="596"/>
      <c r="G4" s="596"/>
      <c r="H4" s="596"/>
      <c r="I4" s="597"/>
    </row>
    <row r="5" spans="1:10" ht="15.75" thickBot="1" x14ac:dyDescent="0.3">
      <c r="A5" s="39"/>
      <c r="B5" s="371"/>
      <c r="C5" s="371"/>
      <c r="D5" s="371"/>
      <c r="E5" s="371"/>
      <c r="F5" s="371"/>
      <c r="G5" s="371"/>
      <c r="H5" s="371"/>
      <c r="I5" s="371"/>
      <c r="J5" s="39"/>
    </row>
    <row r="6" spans="1:10" ht="15.75" customHeight="1" thickBot="1" x14ac:dyDescent="0.3">
      <c r="B6" s="372" t="s">
        <v>0</v>
      </c>
      <c r="C6" s="372" t="str">
        <f>Presupuesto!B19</f>
        <v>900.1</v>
      </c>
      <c r="D6" s="631" t="str">
        <f>Presupuesto!E19</f>
        <v>Limpieza general de la obra</v>
      </c>
      <c r="E6" s="632"/>
      <c r="F6" s="632"/>
      <c r="G6" s="633"/>
      <c r="H6" s="372" t="s">
        <v>67</v>
      </c>
      <c r="I6" s="372" t="str">
        <f>Presupuesto!F19</f>
        <v>Gbl</v>
      </c>
    </row>
    <row r="7" spans="1:10" x14ac:dyDescent="0.25">
      <c r="B7" s="373"/>
      <c r="C7" s="373"/>
      <c r="D7" s="373"/>
      <c r="E7" s="373"/>
      <c r="F7" s="373"/>
      <c r="G7" s="373"/>
      <c r="H7" s="373"/>
      <c r="I7" s="373"/>
    </row>
    <row r="8" spans="1:10" ht="15.75" thickBot="1" x14ac:dyDescent="0.3">
      <c r="B8" s="374" t="s">
        <v>68</v>
      </c>
      <c r="C8" s="373"/>
      <c r="D8" s="373"/>
      <c r="E8" s="373"/>
      <c r="F8" s="373"/>
      <c r="G8" s="373"/>
      <c r="H8" s="373"/>
      <c r="I8" s="373"/>
    </row>
    <row r="9" spans="1:10" ht="15.75" thickBot="1" x14ac:dyDescent="0.3">
      <c r="B9" s="618" t="s">
        <v>69</v>
      </c>
      <c r="C9" s="619"/>
      <c r="D9" s="619"/>
      <c r="E9" s="375" t="s">
        <v>70</v>
      </c>
      <c r="F9" s="375" t="s">
        <v>71</v>
      </c>
      <c r="G9" s="375" t="s">
        <v>72</v>
      </c>
      <c r="H9" s="375" t="s">
        <v>73</v>
      </c>
      <c r="I9" s="375" t="s">
        <v>74</v>
      </c>
    </row>
    <row r="10" spans="1:10" ht="15.75" thickBot="1" x14ac:dyDescent="0.3">
      <c r="B10" s="613"/>
      <c r="C10" s="614"/>
      <c r="D10" s="614"/>
      <c r="E10" s="378"/>
      <c r="F10" s="376"/>
      <c r="G10" s="379"/>
      <c r="H10" s="377">
        <f>I35</f>
        <v>0</v>
      </c>
      <c r="I10" s="377">
        <f>ROUND(G10*H10,0)</f>
        <v>0</v>
      </c>
    </row>
    <row r="11" spans="1:10" ht="15.75" thickBot="1" x14ac:dyDescent="0.3">
      <c r="B11" s="613"/>
      <c r="C11" s="614"/>
      <c r="D11" s="614"/>
      <c r="E11" s="378"/>
      <c r="F11" s="377"/>
      <c r="G11" s="408"/>
      <c r="H11" s="377">
        <f>F11*G11</f>
        <v>0</v>
      </c>
      <c r="I11" s="377">
        <f t="shared" ref="I11:I12" si="0">ROUND(G11*H11,0)</f>
        <v>0</v>
      </c>
    </row>
    <row r="12" spans="1:10" ht="15.75" thickBot="1" x14ac:dyDescent="0.3">
      <c r="B12" s="621"/>
      <c r="C12" s="622"/>
      <c r="D12" s="622"/>
      <c r="E12" s="376"/>
      <c r="F12" s="376"/>
      <c r="G12" s="376"/>
      <c r="H12" s="377"/>
      <c r="I12" s="377">
        <f t="shared" si="0"/>
        <v>0</v>
      </c>
    </row>
    <row r="13" spans="1:10" ht="15.75" thickBot="1" x14ac:dyDescent="0.3">
      <c r="B13" s="373"/>
      <c r="C13" s="373"/>
      <c r="D13" s="373"/>
      <c r="E13" s="373"/>
      <c r="F13" s="373"/>
      <c r="G13" s="373"/>
      <c r="H13" s="374" t="s">
        <v>75</v>
      </c>
      <c r="I13" s="380">
        <f>SUM(I10:I12)</f>
        <v>0</v>
      </c>
    </row>
    <row r="14" spans="1:10" ht="15.75" thickBot="1" x14ac:dyDescent="0.3">
      <c r="B14" s="374" t="s">
        <v>76</v>
      </c>
      <c r="C14" s="373"/>
      <c r="D14" s="373"/>
      <c r="E14" s="373"/>
      <c r="F14" s="373"/>
      <c r="G14" s="373"/>
      <c r="H14" s="373"/>
      <c r="I14" s="373"/>
    </row>
    <row r="15" spans="1:10" ht="15.75" thickBot="1" x14ac:dyDescent="0.3">
      <c r="B15" s="618" t="s">
        <v>69</v>
      </c>
      <c r="C15" s="619"/>
      <c r="D15" s="619"/>
      <c r="E15" s="375" t="s">
        <v>77</v>
      </c>
      <c r="F15" s="375" t="s">
        <v>78</v>
      </c>
      <c r="G15" s="381" t="s">
        <v>79</v>
      </c>
      <c r="H15" s="375" t="s">
        <v>73</v>
      </c>
      <c r="I15" s="375" t="s">
        <v>74</v>
      </c>
    </row>
    <row r="16" spans="1:10" ht="15.75" thickBot="1" x14ac:dyDescent="0.3">
      <c r="B16" s="634"/>
      <c r="C16" s="635"/>
      <c r="D16" s="635"/>
      <c r="E16" s="382"/>
      <c r="F16" s="377"/>
      <c r="G16" s="383"/>
      <c r="H16" s="377">
        <f>F16*G16</f>
        <v>0</v>
      </c>
      <c r="I16" s="377">
        <f>ROUND(H16,0)</f>
        <v>0</v>
      </c>
    </row>
    <row r="17" spans="2:11" ht="15.75" thickBot="1" x14ac:dyDescent="0.3">
      <c r="B17" s="613"/>
      <c r="C17" s="614"/>
      <c r="D17" s="614"/>
      <c r="E17" s="382"/>
      <c r="F17" s="377"/>
      <c r="G17" s="383"/>
      <c r="H17" s="377">
        <f>F17*G17</f>
        <v>0</v>
      </c>
      <c r="I17" s="377">
        <f t="shared" ref="I17:I20" si="1">ROUND(H17,0)</f>
        <v>0</v>
      </c>
    </row>
    <row r="18" spans="2:11" ht="15.75" thickBot="1" x14ac:dyDescent="0.3">
      <c r="B18" s="613"/>
      <c r="C18" s="614"/>
      <c r="D18" s="614"/>
      <c r="E18" s="382"/>
      <c r="F18" s="377"/>
      <c r="G18" s="383"/>
      <c r="H18" s="377">
        <f t="shared" ref="H18:H20" si="2">F18*G18</f>
        <v>0</v>
      </c>
      <c r="I18" s="377">
        <f t="shared" si="1"/>
        <v>0</v>
      </c>
    </row>
    <row r="19" spans="2:11" ht="15.75" thickBot="1" x14ac:dyDescent="0.3">
      <c r="B19" s="613"/>
      <c r="C19" s="614"/>
      <c r="D19" s="614"/>
      <c r="E19" s="382"/>
      <c r="F19" s="377"/>
      <c r="G19" s="383"/>
      <c r="H19" s="377">
        <f t="shared" si="2"/>
        <v>0</v>
      </c>
      <c r="I19" s="377">
        <f t="shared" si="1"/>
        <v>0</v>
      </c>
    </row>
    <row r="20" spans="2:11" ht="15.75" thickBot="1" x14ac:dyDescent="0.3">
      <c r="B20" s="613"/>
      <c r="C20" s="614"/>
      <c r="D20" s="623"/>
      <c r="E20" s="404"/>
      <c r="F20" s="401"/>
      <c r="G20" s="405"/>
      <c r="H20" s="401">
        <f t="shared" si="2"/>
        <v>0</v>
      </c>
      <c r="I20" s="401">
        <f t="shared" si="1"/>
        <v>0</v>
      </c>
    </row>
    <row r="21" spans="2:11" ht="15.75" thickBot="1" x14ac:dyDescent="0.3">
      <c r="B21" s="624"/>
      <c r="C21" s="624"/>
      <c r="D21" s="624"/>
      <c r="E21" s="406"/>
      <c r="F21" s="407"/>
      <c r="G21" s="395" t="s">
        <v>134</v>
      </c>
      <c r="H21" s="393">
        <v>0</v>
      </c>
      <c r="I21" s="394">
        <f>SUM(I16:I20)*H21</f>
        <v>0</v>
      </c>
    </row>
    <row r="22" spans="2:11" ht="15.75" thickBot="1" x14ac:dyDescent="0.3">
      <c r="B22" s="373"/>
      <c r="C22" s="373"/>
      <c r="D22" s="373"/>
      <c r="E22" s="373"/>
      <c r="F22" s="373"/>
      <c r="G22" s="373"/>
      <c r="H22" s="374" t="s">
        <v>75</v>
      </c>
      <c r="I22" s="380">
        <f>SUM(I16:I21)</f>
        <v>0</v>
      </c>
    </row>
    <row r="23" spans="2:11" ht="15.75" thickBot="1" x14ac:dyDescent="0.3">
      <c r="B23" s="374" t="s">
        <v>80</v>
      </c>
      <c r="C23" s="373"/>
      <c r="D23" s="373"/>
      <c r="E23" s="373"/>
      <c r="F23" s="373"/>
      <c r="G23" s="373"/>
      <c r="H23" s="373"/>
      <c r="I23" s="373"/>
    </row>
    <row r="24" spans="2:11" ht="15.75" thickBot="1" x14ac:dyDescent="0.3">
      <c r="B24" s="618" t="s">
        <v>81</v>
      </c>
      <c r="C24" s="620"/>
      <c r="D24" s="384" t="s">
        <v>82</v>
      </c>
      <c r="E24" s="375" t="s">
        <v>97</v>
      </c>
      <c r="F24" s="375" t="s">
        <v>98</v>
      </c>
      <c r="G24" s="375" t="s">
        <v>83</v>
      </c>
      <c r="H24" s="375" t="s">
        <v>73</v>
      </c>
      <c r="I24" s="375" t="s">
        <v>74</v>
      </c>
    </row>
    <row r="25" spans="2:11" ht="15.75" thickBot="1" x14ac:dyDescent="0.3">
      <c r="B25" s="636"/>
      <c r="C25" s="637"/>
      <c r="D25" s="399"/>
      <c r="E25" s="375">
        <v>1</v>
      </c>
      <c r="F25" s="375"/>
      <c r="G25" s="400"/>
      <c r="H25" s="400">
        <f>G25*D25</f>
        <v>0</v>
      </c>
      <c r="I25" s="377">
        <f>ROUND(H25,0)</f>
        <v>0</v>
      </c>
    </row>
    <row r="26" spans="2:11" ht="15.75" thickBot="1" x14ac:dyDescent="0.3">
      <c r="B26" s="625"/>
      <c r="C26" s="626"/>
      <c r="D26" s="386"/>
      <c r="E26" s="376"/>
      <c r="F26" s="376"/>
      <c r="G26" s="376"/>
      <c r="H26" s="400">
        <f t="shared" ref="H26:H28" si="3">G26*D26</f>
        <v>0</v>
      </c>
      <c r="I26" s="377">
        <f t="shared" ref="I26:I28" si="4">ROUND(H26,0)</f>
        <v>0</v>
      </c>
    </row>
    <row r="27" spans="2:11" ht="15.75" thickBot="1" x14ac:dyDescent="0.3">
      <c r="B27" s="625"/>
      <c r="C27" s="626"/>
      <c r="D27" s="386"/>
      <c r="E27" s="376"/>
      <c r="F27" s="376"/>
      <c r="G27" s="376"/>
      <c r="H27" s="400">
        <f t="shared" si="3"/>
        <v>0</v>
      </c>
      <c r="I27" s="377">
        <f t="shared" si="4"/>
        <v>0</v>
      </c>
    </row>
    <row r="28" spans="2:11" ht="15.75" thickBot="1" x14ac:dyDescent="0.3">
      <c r="B28" s="625"/>
      <c r="C28" s="626"/>
      <c r="D28" s="386"/>
      <c r="E28" s="376"/>
      <c r="F28" s="376"/>
      <c r="G28" s="376"/>
      <c r="H28" s="400">
        <f t="shared" si="3"/>
        <v>0</v>
      </c>
      <c r="I28" s="377">
        <f t="shared" si="4"/>
        <v>0</v>
      </c>
      <c r="K28" s="51"/>
    </row>
    <row r="29" spans="2:11" ht="15.75" thickBot="1" x14ac:dyDescent="0.3">
      <c r="B29" s="373"/>
      <c r="C29" s="373"/>
      <c r="D29" s="373"/>
      <c r="E29" s="373"/>
      <c r="F29" s="373"/>
      <c r="G29" s="373"/>
      <c r="H29" s="374" t="s">
        <v>75</v>
      </c>
      <c r="I29" s="380">
        <f>SUM(I25:I28)</f>
        <v>0</v>
      </c>
    </row>
    <row r="30" spans="2:11" ht="15.75" thickBot="1" x14ac:dyDescent="0.3">
      <c r="B30" s="374" t="s">
        <v>84</v>
      </c>
      <c r="C30" s="373"/>
      <c r="D30" s="373"/>
      <c r="E30" s="373"/>
      <c r="F30" s="373"/>
      <c r="G30" s="373"/>
      <c r="H30" s="373"/>
      <c r="I30" s="373"/>
    </row>
    <row r="31" spans="2:11" ht="15.75" thickBot="1" x14ac:dyDescent="0.3">
      <c r="B31" s="618" t="s">
        <v>85</v>
      </c>
      <c r="C31" s="620"/>
      <c r="D31" s="387" t="s">
        <v>79</v>
      </c>
      <c r="E31" s="375" t="s">
        <v>312</v>
      </c>
      <c r="F31" s="375" t="s">
        <v>86</v>
      </c>
      <c r="G31" s="375" t="s">
        <v>87</v>
      </c>
      <c r="H31" s="375" t="s">
        <v>72</v>
      </c>
      <c r="I31" s="375" t="s">
        <v>74</v>
      </c>
    </row>
    <row r="32" spans="2:11" ht="15.75" thickBot="1" x14ac:dyDescent="0.3">
      <c r="B32" s="613"/>
      <c r="C32" s="623"/>
      <c r="D32" s="402"/>
      <c r="E32" s="377"/>
      <c r="F32" s="389"/>
      <c r="G32" s="377"/>
      <c r="H32" s="377">
        <v>0</v>
      </c>
      <c r="I32" s="377">
        <v>0</v>
      </c>
    </row>
    <row r="33" spans="2:9" ht="15.75" thickBot="1" x14ac:dyDescent="0.3">
      <c r="B33" s="613"/>
      <c r="C33" s="623"/>
      <c r="D33" s="388"/>
      <c r="E33" s="377"/>
      <c r="F33" s="389"/>
      <c r="G33" s="377"/>
      <c r="H33" s="377"/>
      <c r="I33" s="377">
        <v>0</v>
      </c>
    </row>
    <row r="34" spans="2:9" ht="15.75" thickBot="1" x14ac:dyDescent="0.3">
      <c r="B34" s="613"/>
      <c r="C34" s="623"/>
      <c r="D34" s="386"/>
      <c r="E34" s="377"/>
      <c r="F34" s="390"/>
      <c r="G34" s="376"/>
      <c r="H34" s="376"/>
      <c r="I34" s="377">
        <v>0</v>
      </c>
    </row>
    <row r="35" spans="2:9" ht="15.75" thickBot="1" x14ac:dyDescent="0.3">
      <c r="B35" s="613"/>
      <c r="C35" s="623"/>
      <c r="D35" s="386"/>
      <c r="E35" s="377"/>
      <c r="F35" s="390"/>
      <c r="G35" s="376"/>
      <c r="H35" s="376"/>
      <c r="I35" s="377">
        <v>0</v>
      </c>
    </row>
    <row r="36" spans="2:9" ht="15.75" thickBot="1" x14ac:dyDescent="0.3">
      <c r="B36" s="373"/>
      <c r="C36" s="373"/>
      <c r="D36" s="373"/>
      <c r="E36" s="373"/>
      <c r="F36" s="373"/>
      <c r="G36" s="373"/>
      <c r="H36" s="374" t="s">
        <v>75</v>
      </c>
      <c r="I36" s="380">
        <f>SUM(I32:I35)</f>
        <v>0</v>
      </c>
    </row>
    <row r="37" spans="2:9" ht="15.75" thickBot="1" x14ac:dyDescent="0.3">
      <c r="B37" s="373"/>
      <c r="C37" s="373"/>
      <c r="D37" s="373"/>
      <c r="E37" s="373"/>
      <c r="F37" s="373"/>
      <c r="G37" s="373"/>
      <c r="H37" s="373"/>
      <c r="I37" s="373"/>
    </row>
    <row r="38" spans="2:9" ht="15.75" thickBot="1" x14ac:dyDescent="0.3">
      <c r="B38" s="373"/>
      <c r="C38" s="373"/>
      <c r="D38" s="373"/>
      <c r="E38" s="373"/>
      <c r="F38" s="373"/>
      <c r="G38" s="625" t="s">
        <v>88</v>
      </c>
      <c r="H38" s="626"/>
      <c r="I38" s="380">
        <f>ROUND(I13+I22+I29+I36,0)</f>
        <v>0</v>
      </c>
    </row>
    <row r="39" spans="2:9" x14ac:dyDescent="0.25">
      <c r="B39" s="373"/>
      <c r="C39" s="373"/>
      <c r="D39" s="373"/>
      <c r="E39" s="373"/>
      <c r="F39" s="373"/>
      <c r="G39" s="373"/>
      <c r="H39" s="373"/>
      <c r="I39" s="373"/>
    </row>
    <row r="40" spans="2:9" x14ac:dyDescent="0.25">
      <c r="B40" s="373"/>
      <c r="C40" s="373"/>
      <c r="D40" s="373"/>
      <c r="E40" s="373"/>
      <c r="F40" s="373"/>
      <c r="G40" s="373"/>
      <c r="H40" s="373"/>
      <c r="I40" s="373"/>
    </row>
    <row r="41" spans="2:9" ht="15.75" thickBot="1" x14ac:dyDescent="0.3">
      <c r="B41" s="374" t="s">
        <v>89</v>
      </c>
      <c r="C41" s="373"/>
      <c r="D41" s="373"/>
      <c r="E41" s="373"/>
      <c r="F41" s="373"/>
      <c r="G41" s="373"/>
      <c r="H41" s="373"/>
      <c r="I41" s="373"/>
    </row>
    <row r="42" spans="2:9" ht="15.75" thickBot="1" x14ac:dyDescent="0.3">
      <c r="B42" s="618" t="s">
        <v>69</v>
      </c>
      <c r="C42" s="619"/>
      <c r="D42" s="619"/>
      <c r="E42" s="619"/>
      <c r="F42" s="619"/>
      <c r="G42" s="620"/>
      <c r="H42" s="375" t="s">
        <v>90</v>
      </c>
      <c r="I42" s="375" t="s">
        <v>74</v>
      </c>
    </row>
    <row r="43" spans="2:9" ht="15.75" thickBot="1" x14ac:dyDescent="0.3">
      <c r="B43" s="628" t="s">
        <v>91</v>
      </c>
      <c r="C43" s="629"/>
      <c r="D43" s="629"/>
      <c r="E43" s="629"/>
      <c r="F43" s="629"/>
      <c r="G43" s="630"/>
      <c r="H43" s="391">
        <v>0</v>
      </c>
      <c r="I43" s="377">
        <f>I38*H43</f>
        <v>0</v>
      </c>
    </row>
    <row r="44" spans="2:9" ht="15.75" thickBot="1" x14ac:dyDescent="0.3">
      <c r="B44" s="628" t="s">
        <v>92</v>
      </c>
      <c r="C44" s="629"/>
      <c r="D44" s="629"/>
      <c r="E44" s="629"/>
      <c r="F44" s="629"/>
      <c r="G44" s="630"/>
      <c r="H44" s="392">
        <f>Presupuesto!H22</f>
        <v>0</v>
      </c>
      <c r="I44" s="377">
        <f>I38*H44</f>
        <v>0</v>
      </c>
    </row>
    <row r="45" spans="2:9" ht="15.75" thickBot="1" x14ac:dyDescent="0.3">
      <c r="B45" s="628" t="s">
        <v>93</v>
      </c>
      <c r="C45" s="629"/>
      <c r="D45" s="629"/>
      <c r="E45" s="629"/>
      <c r="F45" s="629"/>
      <c r="G45" s="630"/>
      <c r="H45" s="391">
        <v>0</v>
      </c>
      <c r="I45" s="377">
        <f>I38*H45</f>
        <v>0</v>
      </c>
    </row>
    <row r="46" spans="2:9" ht="15.75" thickBot="1" x14ac:dyDescent="0.3">
      <c r="B46" s="373"/>
      <c r="C46" s="373"/>
      <c r="D46" s="373"/>
      <c r="E46" s="373"/>
      <c r="F46" s="373"/>
      <c r="G46" s="373"/>
      <c r="H46" s="374" t="s">
        <v>75</v>
      </c>
      <c r="I46" s="380">
        <f>SUM(I43:I45)</f>
        <v>0</v>
      </c>
    </row>
    <row r="47" spans="2:9" x14ac:dyDescent="0.25">
      <c r="B47" s="373"/>
      <c r="C47" s="373"/>
      <c r="D47" s="373"/>
      <c r="E47" s="373"/>
      <c r="F47" s="373"/>
      <c r="G47" s="373"/>
      <c r="H47" s="373"/>
      <c r="I47" s="373"/>
    </row>
    <row r="48" spans="2:9" ht="15.75" thickBot="1" x14ac:dyDescent="0.3">
      <c r="B48" s="373"/>
      <c r="C48" s="373"/>
      <c r="D48" s="373"/>
      <c r="E48" s="373"/>
      <c r="F48" s="373"/>
      <c r="G48" s="373"/>
      <c r="H48" s="373"/>
      <c r="I48" s="373"/>
    </row>
    <row r="49" spans="2:9" ht="15.75" thickBot="1" x14ac:dyDescent="0.3">
      <c r="B49" s="373"/>
      <c r="C49" s="373"/>
      <c r="D49" s="373"/>
      <c r="E49" s="373"/>
      <c r="F49" s="621" t="s">
        <v>94</v>
      </c>
      <c r="G49" s="622"/>
      <c r="H49" s="627"/>
      <c r="I49" s="380">
        <f>SUM(+I38+I46)</f>
        <v>0</v>
      </c>
    </row>
  </sheetData>
  <mergeCells count="30">
    <mergeCell ref="B11:D11"/>
    <mergeCell ref="B2:I2"/>
    <mergeCell ref="B3:I4"/>
    <mergeCell ref="D6:G6"/>
    <mergeCell ref="B9:D9"/>
    <mergeCell ref="B10:D10"/>
    <mergeCell ref="B26:C26"/>
    <mergeCell ref="B12:D12"/>
    <mergeCell ref="B15:D15"/>
    <mergeCell ref="B16:D16"/>
    <mergeCell ref="B17:D17"/>
    <mergeCell ref="B18:D18"/>
    <mergeCell ref="B19:D19"/>
    <mergeCell ref="B20:D20"/>
    <mergeCell ref="B21:D21"/>
    <mergeCell ref="B24:C24"/>
    <mergeCell ref="B25:C25"/>
    <mergeCell ref="F49:H49"/>
    <mergeCell ref="B27:C27"/>
    <mergeCell ref="B28:C28"/>
    <mergeCell ref="B31:C31"/>
    <mergeCell ref="B32:C32"/>
    <mergeCell ref="B33:C33"/>
    <mergeCell ref="B34:C34"/>
    <mergeCell ref="G38:H38"/>
    <mergeCell ref="B42:G42"/>
    <mergeCell ref="B43:G43"/>
    <mergeCell ref="B44:G44"/>
    <mergeCell ref="B45:G45"/>
    <mergeCell ref="B35:C35"/>
  </mergeCells>
  <pageMargins left="0.7" right="0.7" top="0.75" bottom="0.75" header="0.3" footer="0.3"/>
  <pageSetup paperSize="9" scale="8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view="pageBreakPreview" zoomScaleNormal="100" zoomScaleSheetLayoutView="100" workbookViewId="0">
      <selection activeCell="N20" sqref="N20"/>
    </sheetView>
  </sheetViews>
  <sheetFormatPr baseColWidth="10" defaultRowHeight="15" x14ac:dyDescent="0.25"/>
  <cols>
    <col min="1" max="1" width="2.28515625" customWidth="1"/>
    <col min="2" max="2" width="2.85546875" customWidth="1"/>
    <col min="3" max="3" width="5.28515625" bestFit="1" customWidth="1"/>
    <col min="4" max="4" width="39.7109375" bestFit="1" customWidth="1"/>
    <col min="5" max="5" width="7.85546875" bestFit="1" customWidth="1"/>
    <col min="6" max="6" width="8.7109375" customWidth="1"/>
    <col min="7" max="7" width="11.42578125" customWidth="1"/>
    <col min="8" max="8" width="7.7109375" customWidth="1"/>
    <col min="9" max="9" width="12.28515625" customWidth="1"/>
    <col min="10" max="10" width="24.28515625" customWidth="1"/>
    <col min="11" max="11" width="2.42578125" customWidth="1"/>
    <col min="12" max="12" width="12.7109375" bestFit="1" customWidth="1"/>
    <col min="14" max="14" width="12.5703125" bestFit="1" customWidth="1"/>
  </cols>
  <sheetData>
    <row r="2" spans="1:14" ht="15.75" thickBot="1" x14ac:dyDescent="0.3"/>
    <row r="3" spans="1:14" ht="12.75" customHeight="1" thickBot="1" x14ac:dyDescent="0.3">
      <c r="C3" s="605" t="s">
        <v>250</v>
      </c>
      <c r="D3" s="654"/>
      <c r="E3" s="654"/>
      <c r="F3" s="654"/>
      <c r="G3" s="654"/>
      <c r="H3" s="654"/>
      <c r="I3" s="654"/>
      <c r="J3" s="606"/>
    </row>
    <row r="4" spans="1:14" ht="12.75" customHeight="1" x14ac:dyDescent="0.25">
      <c r="C4" s="592" t="s">
        <v>326</v>
      </c>
      <c r="D4" s="593"/>
      <c r="E4" s="593"/>
      <c r="F4" s="593"/>
      <c r="G4" s="593"/>
      <c r="H4" s="593"/>
      <c r="I4" s="593"/>
      <c r="J4" s="594"/>
    </row>
    <row r="5" spans="1:14" ht="17.25" customHeight="1" thickBot="1" x14ac:dyDescent="0.3">
      <c r="C5" s="595"/>
      <c r="D5" s="596"/>
      <c r="E5" s="596"/>
      <c r="F5" s="596"/>
      <c r="G5" s="596"/>
      <c r="H5" s="596"/>
      <c r="I5" s="596"/>
      <c r="J5" s="597"/>
    </row>
    <row r="6" spans="1:14" ht="11.25" customHeight="1" thickBot="1" x14ac:dyDescent="0.3">
      <c r="A6" s="39"/>
      <c r="B6" s="39"/>
      <c r="C6" s="655"/>
      <c r="D6" s="656"/>
      <c r="E6" s="656"/>
      <c r="F6" s="656"/>
      <c r="G6" s="656"/>
      <c r="H6" s="656"/>
      <c r="I6" s="656"/>
      <c r="J6" s="657"/>
    </row>
    <row r="7" spans="1:14" ht="25.5" customHeight="1" x14ac:dyDescent="0.25">
      <c r="C7" s="257"/>
      <c r="D7" s="258" t="s">
        <v>69</v>
      </c>
      <c r="E7" s="258" t="s">
        <v>79</v>
      </c>
      <c r="F7" s="258" t="s">
        <v>221</v>
      </c>
      <c r="G7" s="259" t="s">
        <v>222</v>
      </c>
      <c r="H7" s="259" t="s">
        <v>236</v>
      </c>
      <c r="I7" s="258" t="s">
        <v>223</v>
      </c>
      <c r="J7" s="260" t="s">
        <v>224</v>
      </c>
    </row>
    <row r="8" spans="1:14" ht="16.5" customHeight="1" x14ac:dyDescent="0.25">
      <c r="C8" s="261" t="s">
        <v>225</v>
      </c>
      <c r="D8" s="244" t="s">
        <v>226</v>
      </c>
      <c r="E8" s="242"/>
      <c r="F8" s="243"/>
      <c r="G8" s="245"/>
      <c r="H8" s="245"/>
      <c r="I8" s="242"/>
      <c r="J8" s="262"/>
      <c r="L8" s="39"/>
      <c r="M8" s="39"/>
    </row>
    <row r="9" spans="1:14" ht="12.75" customHeight="1" x14ac:dyDescent="0.25">
      <c r="C9" s="261" t="s">
        <v>237</v>
      </c>
      <c r="D9" s="244" t="s">
        <v>227</v>
      </c>
      <c r="E9" s="246"/>
      <c r="F9" s="247"/>
      <c r="G9" s="247"/>
      <c r="H9" s="246"/>
      <c r="I9" s="249"/>
      <c r="J9" s="263"/>
      <c r="L9" s="39"/>
      <c r="M9" s="39"/>
    </row>
    <row r="10" spans="1:14" ht="13.5" customHeight="1" x14ac:dyDescent="0.25">
      <c r="C10" s="264" t="s">
        <v>238</v>
      </c>
      <c r="D10" s="248" t="s">
        <v>229</v>
      </c>
      <c r="E10" s="246">
        <v>1</v>
      </c>
      <c r="F10" s="265" t="s">
        <v>239</v>
      </c>
      <c r="G10" s="249">
        <f>Presupuesto!I24*'Discriminacion del AIU'!H10</f>
        <v>0</v>
      </c>
      <c r="H10" s="250">
        <v>0.01</v>
      </c>
      <c r="I10" s="249">
        <f>G10</f>
        <v>0</v>
      </c>
      <c r="J10" s="266" t="e">
        <f>I10/Presupuesto!I20</f>
        <v>#DIV/0!</v>
      </c>
      <c r="L10" s="267"/>
      <c r="M10" s="39"/>
    </row>
    <row r="11" spans="1:14" ht="13.5" customHeight="1" x14ac:dyDescent="0.25">
      <c r="C11" s="264" t="s">
        <v>240</v>
      </c>
      <c r="D11" s="248" t="s">
        <v>230</v>
      </c>
      <c r="E11" s="246">
        <v>1</v>
      </c>
      <c r="F11" s="265" t="s">
        <v>239</v>
      </c>
      <c r="G11" s="249">
        <f>Presupuesto!I24*'Discriminacion del AIU'!H11</f>
        <v>0</v>
      </c>
      <c r="H11" s="250">
        <v>0.02</v>
      </c>
      <c r="I11" s="249">
        <f t="shared" ref="I11:I15" si="0">G11</f>
        <v>0</v>
      </c>
      <c r="J11" s="266" t="e">
        <f>I11/Presupuesto!I20</f>
        <v>#DIV/0!</v>
      </c>
      <c r="L11" s="267"/>
      <c r="M11" s="39"/>
    </row>
    <row r="12" spans="1:14" ht="13.5" customHeight="1" x14ac:dyDescent="0.25">
      <c r="C12" s="264" t="s">
        <v>241</v>
      </c>
      <c r="D12" s="248" t="s">
        <v>242</v>
      </c>
      <c r="E12" s="246">
        <v>1</v>
      </c>
      <c r="F12" s="265" t="s">
        <v>239</v>
      </c>
      <c r="G12" s="249">
        <f>Presupuesto!I24*'Discriminacion del AIU'!H12</f>
        <v>0</v>
      </c>
      <c r="H12" s="250">
        <v>0.04</v>
      </c>
      <c r="I12" s="249">
        <f t="shared" si="0"/>
        <v>0</v>
      </c>
      <c r="J12" s="266" t="e">
        <f>I12/Presupuesto!I20</f>
        <v>#DIV/0!</v>
      </c>
      <c r="L12" s="267"/>
      <c r="M12" s="39"/>
    </row>
    <row r="13" spans="1:14" ht="14.25" customHeight="1" x14ac:dyDescent="0.25">
      <c r="C13" s="264" t="s">
        <v>243</v>
      </c>
      <c r="D13" s="248" t="s">
        <v>244</v>
      </c>
      <c r="E13" s="246">
        <v>1</v>
      </c>
      <c r="F13" s="265" t="s">
        <v>239</v>
      </c>
      <c r="G13" s="249">
        <f>Presupuesto!I24*'Discriminacion del AIU'!H13</f>
        <v>0</v>
      </c>
      <c r="H13" s="250">
        <v>0.02</v>
      </c>
      <c r="I13" s="249">
        <f t="shared" si="0"/>
        <v>0</v>
      </c>
      <c r="J13" s="266" t="e">
        <f>I13/Presupuesto!I20</f>
        <v>#DIV/0!</v>
      </c>
      <c r="L13" s="267"/>
      <c r="M13" s="39"/>
    </row>
    <row r="14" spans="1:14" ht="15" customHeight="1" x14ac:dyDescent="0.25">
      <c r="C14" s="264" t="s">
        <v>245</v>
      </c>
      <c r="D14" s="248" t="s">
        <v>246</v>
      </c>
      <c r="E14" s="246">
        <v>1</v>
      </c>
      <c r="F14" s="265" t="s">
        <v>239</v>
      </c>
      <c r="G14" s="249">
        <f>Presupuesto!I24*'Discriminacion del AIU'!H14</f>
        <v>0</v>
      </c>
      <c r="H14" s="250">
        <v>0.05</v>
      </c>
      <c r="I14" s="249">
        <f t="shared" si="0"/>
        <v>0</v>
      </c>
      <c r="J14" s="266" t="e">
        <f>I14/Presupuesto!I20</f>
        <v>#DIV/0!</v>
      </c>
      <c r="L14" s="267"/>
      <c r="M14" s="39"/>
      <c r="N14" s="254"/>
    </row>
    <row r="15" spans="1:14" ht="14.25" customHeight="1" thickBot="1" x14ac:dyDescent="0.3">
      <c r="C15" s="268" t="s">
        <v>247</v>
      </c>
      <c r="D15" s="269" t="s">
        <v>248</v>
      </c>
      <c r="E15" s="270">
        <v>1</v>
      </c>
      <c r="F15" s="265" t="s">
        <v>239</v>
      </c>
      <c r="G15" s="249">
        <f>Presupuesto!I24*'Discriminacion del AIU'!H15</f>
        <v>0</v>
      </c>
      <c r="H15" s="271">
        <v>0.01</v>
      </c>
      <c r="I15" s="249">
        <f t="shared" si="0"/>
        <v>0</v>
      </c>
      <c r="J15" s="266" t="e">
        <f>I15/Presupuesto!I20</f>
        <v>#DIV/0!</v>
      </c>
      <c r="L15" s="267"/>
      <c r="M15" s="39"/>
    </row>
    <row r="16" spans="1:14" ht="15.75" thickBot="1" x14ac:dyDescent="0.3">
      <c r="C16" s="658"/>
      <c r="D16" s="252" t="s">
        <v>226</v>
      </c>
      <c r="E16" s="661"/>
      <c r="F16" s="662"/>
      <c r="G16" s="662"/>
      <c r="H16" s="662"/>
      <c r="I16" s="251">
        <f>SUM(I10:I15)</f>
        <v>0</v>
      </c>
      <c r="J16" s="272" t="e">
        <f>SUM(J10:J15)</f>
        <v>#DIV/0!</v>
      </c>
      <c r="K16" s="273"/>
      <c r="L16" s="274"/>
      <c r="M16" s="39"/>
    </row>
    <row r="17" spans="3:13" ht="15.75" thickBot="1" x14ac:dyDescent="0.3">
      <c r="C17" s="659"/>
      <c r="D17" s="275" t="s">
        <v>92</v>
      </c>
      <c r="E17" s="661"/>
      <c r="F17" s="662"/>
      <c r="G17" s="663"/>
      <c r="H17" s="276">
        <v>0</v>
      </c>
      <c r="I17" s="277">
        <v>0</v>
      </c>
      <c r="J17" s="272">
        <v>0</v>
      </c>
      <c r="L17" s="274"/>
    </row>
    <row r="18" spans="3:13" ht="15.75" thickBot="1" x14ac:dyDescent="0.3">
      <c r="C18" s="660"/>
      <c r="D18" s="252" t="s">
        <v>93</v>
      </c>
      <c r="E18" s="664"/>
      <c r="F18" s="665"/>
      <c r="G18" s="666"/>
      <c r="H18" s="278" t="e">
        <f>24%-J16</f>
        <v>#DIV/0!</v>
      </c>
      <c r="I18" s="251" t="e">
        <f>I22*H18</f>
        <v>#DIV/0!</v>
      </c>
      <c r="J18" s="272" t="e">
        <f>I18/I22</f>
        <v>#DIV/0!</v>
      </c>
      <c r="L18" s="274"/>
    </row>
    <row r="19" spans="3:13" ht="14.25" customHeight="1" thickBot="1" x14ac:dyDescent="0.3">
      <c r="C19" s="645"/>
      <c r="D19" s="646"/>
      <c r="E19" s="646"/>
      <c r="F19" s="646"/>
      <c r="G19" s="646"/>
      <c r="H19" s="646"/>
      <c r="I19" s="646"/>
      <c r="J19" s="647"/>
      <c r="L19" s="279"/>
    </row>
    <row r="20" spans="3:13" ht="15.75" thickBot="1" x14ac:dyDescent="0.3">
      <c r="C20" s="648" t="s">
        <v>249</v>
      </c>
      <c r="D20" s="649"/>
      <c r="E20" s="649"/>
      <c r="F20" s="649"/>
      <c r="G20" s="649"/>
      <c r="H20" s="650"/>
      <c r="I20" s="251" t="e">
        <f>SUM(I16:I18)</f>
        <v>#DIV/0!</v>
      </c>
      <c r="J20" s="272" t="e">
        <f>SUM(J16:J18)</f>
        <v>#DIV/0!</v>
      </c>
      <c r="K20" s="51"/>
    </row>
    <row r="21" spans="3:13" ht="11.25" customHeight="1" thickBot="1" x14ac:dyDescent="0.3">
      <c r="C21" s="280"/>
      <c r="D21" s="281"/>
      <c r="E21" s="282"/>
      <c r="F21" s="283"/>
      <c r="G21" s="284"/>
      <c r="H21" s="284"/>
      <c r="I21" s="285"/>
      <c r="J21" s="286"/>
    </row>
    <row r="22" spans="3:13" ht="15.75" thickBot="1" x14ac:dyDescent="0.3">
      <c r="C22" s="651" t="s">
        <v>228</v>
      </c>
      <c r="D22" s="652"/>
      <c r="E22" s="652"/>
      <c r="F22" s="652"/>
      <c r="G22" s="652"/>
      <c r="H22" s="653"/>
      <c r="I22" s="251">
        <f>Presupuesto!I20</f>
        <v>0</v>
      </c>
      <c r="J22" s="287"/>
    </row>
    <row r="23" spans="3:13" ht="10.5" customHeight="1" thickBot="1" x14ac:dyDescent="0.3">
      <c r="C23" s="280"/>
      <c r="D23" s="281"/>
      <c r="E23" s="284"/>
      <c r="F23" s="281"/>
      <c r="G23" s="284"/>
      <c r="H23" s="284"/>
      <c r="I23" s="251"/>
      <c r="J23" s="288"/>
      <c r="M23" s="289"/>
    </row>
    <row r="24" spans="3:13" ht="15.75" thickBot="1" x14ac:dyDescent="0.3">
      <c r="C24" s="651" t="s">
        <v>231</v>
      </c>
      <c r="D24" s="652"/>
      <c r="E24" s="652"/>
      <c r="F24" s="652"/>
      <c r="G24" s="652"/>
      <c r="H24" s="653"/>
      <c r="I24" s="251" t="e">
        <f>I22+I20</f>
        <v>#DIV/0!</v>
      </c>
      <c r="J24" s="277"/>
      <c r="K24" s="254"/>
    </row>
    <row r="25" spans="3:13" ht="12" customHeight="1" x14ac:dyDescent="0.25">
      <c r="C25" s="237"/>
      <c r="D25" s="237"/>
      <c r="E25" s="238"/>
      <c r="F25" s="235"/>
      <c r="G25" s="239"/>
      <c r="H25" s="235"/>
      <c r="I25" s="235"/>
      <c r="J25" s="235"/>
      <c r="K25" s="253"/>
    </row>
    <row r="26" spans="3:13" x14ac:dyDescent="0.25">
      <c r="C26" s="240"/>
      <c r="D26" s="240"/>
      <c r="E26" s="240"/>
      <c r="F26" s="240"/>
      <c r="G26" s="290"/>
      <c r="H26" s="240"/>
      <c r="I26" s="235"/>
      <c r="J26" s="235"/>
    </row>
    <row r="27" spans="3:13" x14ac:dyDescent="0.25">
      <c r="C27" s="240"/>
      <c r="D27" s="240"/>
      <c r="E27" s="240"/>
      <c r="F27" s="240"/>
      <c r="G27" s="240"/>
      <c r="H27" s="240"/>
      <c r="I27" s="235"/>
      <c r="J27" s="235"/>
    </row>
    <row r="28" spans="3:13" x14ac:dyDescent="0.25">
      <c r="C28" s="240"/>
      <c r="D28" s="240"/>
      <c r="E28" s="240"/>
      <c r="F28" s="240"/>
      <c r="G28" s="240"/>
      <c r="H28" s="240"/>
      <c r="I28" s="235"/>
      <c r="J28" s="235"/>
    </row>
    <row r="29" spans="3:13" x14ac:dyDescent="0.25">
      <c r="C29" s="234"/>
      <c r="D29" s="234"/>
      <c r="E29" s="234"/>
      <c r="F29" s="234"/>
      <c r="G29" s="234"/>
      <c r="H29" s="234"/>
      <c r="I29" s="236"/>
      <c r="J29" s="236"/>
    </row>
    <row r="30" spans="3:13" x14ac:dyDescent="0.25">
      <c r="C30" s="39"/>
      <c r="D30" s="39"/>
      <c r="E30" s="39"/>
      <c r="F30" s="39"/>
      <c r="G30" s="39"/>
      <c r="H30" s="39"/>
      <c r="I30" s="39"/>
      <c r="J30" s="39"/>
    </row>
    <row r="31" spans="3:13" x14ac:dyDescent="0.25">
      <c r="C31" s="39"/>
      <c r="D31" s="39"/>
      <c r="E31" s="39"/>
      <c r="F31" s="39"/>
      <c r="G31" s="39"/>
      <c r="H31" s="39"/>
      <c r="I31" s="39"/>
      <c r="J31" s="39"/>
    </row>
    <row r="32" spans="3:13" x14ac:dyDescent="0.25">
      <c r="C32" s="39"/>
      <c r="D32" s="39"/>
      <c r="E32" s="39"/>
      <c r="F32" s="39"/>
      <c r="G32" s="241"/>
      <c r="H32" s="241"/>
      <c r="I32" s="236"/>
      <c r="J32" s="236"/>
    </row>
  </sheetData>
  <mergeCells count="11">
    <mergeCell ref="C19:J19"/>
    <mergeCell ref="C20:H20"/>
    <mergeCell ref="C22:H22"/>
    <mergeCell ref="C24:H24"/>
    <mergeCell ref="C3:J3"/>
    <mergeCell ref="C4:J5"/>
    <mergeCell ref="C6:J6"/>
    <mergeCell ref="C16:C18"/>
    <mergeCell ref="E16:H16"/>
    <mergeCell ref="E17:G17"/>
    <mergeCell ref="E18:G18"/>
  </mergeCells>
  <pageMargins left="0.7" right="0.7" top="0.75" bottom="0.75" header="0.3" footer="0.3"/>
  <pageSetup paperSize="9" scale="5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view="pageBreakPreview" zoomScaleNormal="100" zoomScaleSheetLayoutView="100" workbookViewId="0">
      <selection activeCell="I49" sqref="I49"/>
    </sheetView>
  </sheetViews>
  <sheetFormatPr baseColWidth="10" defaultRowHeight="15" x14ac:dyDescent="0.25"/>
  <cols>
    <col min="1" max="1" width="3.42578125" customWidth="1"/>
    <col min="2" max="2" width="30.7109375" customWidth="1"/>
    <col min="3" max="3" width="12.5703125" customWidth="1"/>
    <col min="4" max="4" width="11.140625" customWidth="1"/>
    <col min="5" max="5" width="8.28515625" bestFit="1" customWidth="1"/>
    <col min="6" max="6" width="10.85546875" bestFit="1" customWidth="1"/>
    <col min="7" max="7" width="7.140625" bestFit="1" customWidth="1"/>
    <col min="8" max="8" width="10.85546875" bestFit="1" customWidth="1"/>
    <col min="9" max="9" width="7.140625" bestFit="1" customWidth="1"/>
    <col min="10" max="10" width="10.85546875" bestFit="1" customWidth="1"/>
    <col min="11" max="11" width="7.140625" bestFit="1" customWidth="1"/>
    <col min="12" max="12" width="13.85546875" customWidth="1"/>
    <col min="13" max="13" width="8.5703125" customWidth="1"/>
    <col min="14" max="14" width="11.5703125" customWidth="1"/>
    <col min="15" max="15" width="8.28515625" customWidth="1"/>
  </cols>
  <sheetData>
    <row r="1" spans="2:15" ht="15.75" thickBot="1" x14ac:dyDescent="0.3"/>
    <row r="2" spans="2:15" ht="11.25" customHeight="1" x14ac:dyDescent="0.25">
      <c r="B2" s="669" t="s">
        <v>252</v>
      </c>
      <c r="C2" s="670"/>
      <c r="D2" s="670"/>
      <c r="E2" s="670"/>
      <c r="F2" s="670"/>
      <c r="G2" s="670"/>
      <c r="H2" s="670"/>
      <c r="I2" s="670"/>
      <c r="J2" s="670"/>
      <c r="K2" s="670"/>
      <c r="L2" s="670"/>
      <c r="M2" s="670"/>
      <c r="N2" s="670"/>
      <c r="O2" s="671"/>
    </row>
    <row r="3" spans="2:15" ht="9.75" customHeight="1" thickBot="1" x14ac:dyDescent="0.3">
      <c r="B3" s="672"/>
      <c r="C3" s="673"/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4"/>
    </row>
    <row r="4" spans="2:15" ht="24" customHeight="1" x14ac:dyDescent="0.25">
      <c r="B4" s="293" t="s">
        <v>253</v>
      </c>
      <c r="C4" s="294">
        <f>'Historia salarial'!C35</f>
        <v>828116</v>
      </c>
      <c r="D4" s="675" t="s">
        <v>254</v>
      </c>
      <c r="E4" s="675"/>
      <c r="F4" s="675" t="s">
        <v>255</v>
      </c>
      <c r="G4" s="675"/>
      <c r="H4" s="675" t="s">
        <v>256</v>
      </c>
      <c r="I4" s="675"/>
      <c r="J4" s="675" t="s">
        <v>257</v>
      </c>
      <c r="K4" s="675"/>
      <c r="L4" s="677" t="s">
        <v>258</v>
      </c>
      <c r="M4" s="678"/>
      <c r="N4" s="677" t="s">
        <v>259</v>
      </c>
      <c r="O4" s="679"/>
    </row>
    <row r="5" spans="2:15" x14ac:dyDescent="0.25">
      <c r="B5" s="295" t="s">
        <v>260</v>
      </c>
      <c r="C5" s="294">
        <f>'Historia salarial'!D35</f>
        <v>97032</v>
      </c>
      <c r="D5" s="676"/>
      <c r="E5" s="676"/>
      <c r="F5" s="676"/>
      <c r="G5" s="676"/>
      <c r="H5" s="676"/>
      <c r="I5" s="676"/>
      <c r="J5" s="676"/>
      <c r="K5" s="676"/>
      <c r="L5" s="677"/>
      <c r="M5" s="678"/>
      <c r="N5" s="677"/>
      <c r="O5" s="679"/>
    </row>
    <row r="6" spans="2:15" ht="15.75" thickBot="1" x14ac:dyDescent="0.3">
      <c r="B6" s="296"/>
      <c r="C6" s="297"/>
      <c r="D6" s="680" t="s">
        <v>261</v>
      </c>
      <c r="E6" s="680"/>
      <c r="F6" s="680" t="s">
        <v>99</v>
      </c>
      <c r="G6" s="680"/>
      <c r="H6" s="680" t="s">
        <v>262</v>
      </c>
      <c r="I6" s="680"/>
      <c r="J6" s="667" t="s">
        <v>263</v>
      </c>
      <c r="K6" s="667"/>
      <c r="L6" s="667" t="s">
        <v>264</v>
      </c>
      <c r="M6" s="667"/>
      <c r="N6" s="667" t="s">
        <v>265</v>
      </c>
      <c r="O6" s="668"/>
    </row>
    <row r="7" spans="2:15" ht="15.75" thickTop="1" x14ac:dyDescent="0.25">
      <c r="B7" s="694" t="s">
        <v>266</v>
      </c>
      <c r="C7" s="675" t="s">
        <v>267</v>
      </c>
      <c r="D7" s="697">
        <f>C4</f>
        <v>828116</v>
      </c>
      <c r="E7" s="697"/>
      <c r="F7" s="682">
        <f>1.5*C4</f>
        <v>1242174</v>
      </c>
      <c r="G7" s="682"/>
      <c r="H7" s="682">
        <f>1.75*C4</f>
        <v>1449203</v>
      </c>
      <c r="I7" s="682"/>
      <c r="J7" s="682">
        <f>2*C4</f>
        <v>1656232</v>
      </c>
      <c r="K7" s="682"/>
      <c r="L7" s="682">
        <f>3*C4</f>
        <v>2484348</v>
      </c>
      <c r="M7" s="682"/>
      <c r="N7" s="682">
        <f>10*C4</f>
        <v>8281160</v>
      </c>
      <c r="O7" s="684"/>
    </row>
    <row r="8" spans="2:15" x14ac:dyDescent="0.25">
      <c r="B8" s="695"/>
      <c r="C8" s="696"/>
      <c r="D8" s="698"/>
      <c r="E8" s="698"/>
      <c r="F8" s="683"/>
      <c r="G8" s="683"/>
      <c r="H8" s="683"/>
      <c r="I8" s="683"/>
      <c r="J8" s="683"/>
      <c r="K8" s="683"/>
      <c r="L8" s="683"/>
      <c r="M8" s="683"/>
      <c r="N8" s="683"/>
      <c r="O8" s="685"/>
    </row>
    <row r="9" spans="2:15" x14ac:dyDescent="0.25">
      <c r="B9" s="295" t="s">
        <v>268</v>
      </c>
      <c r="C9" s="298" t="s">
        <v>269</v>
      </c>
      <c r="D9" s="299">
        <f>C4*12</f>
        <v>9937392</v>
      </c>
      <c r="E9" s="300">
        <v>1</v>
      </c>
      <c r="F9" s="301">
        <f>+D9*1.5</f>
        <v>14906088</v>
      </c>
      <c r="G9" s="300">
        <v>1</v>
      </c>
      <c r="H9" s="301">
        <f>D9*1.75</f>
        <v>17390436</v>
      </c>
      <c r="I9" s="300">
        <v>1</v>
      </c>
      <c r="J9" s="299">
        <f>+D9*2</f>
        <v>19874784</v>
      </c>
      <c r="K9" s="300">
        <v>1</v>
      </c>
      <c r="L9" s="299">
        <f>+D9*3</f>
        <v>29812176</v>
      </c>
      <c r="M9" s="302">
        <v>1</v>
      </c>
      <c r="N9" s="299">
        <f>+F9*3</f>
        <v>44718264</v>
      </c>
      <c r="O9" s="303">
        <v>1</v>
      </c>
    </row>
    <row r="10" spans="2:15" x14ac:dyDescent="0.25">
      <c r="B10" s="295" t="s">
        <v>270</v>
      </c>
      <c r="C10" s="298" t="s">
        <v>271</v>
      </c>
      <c r="D10" s="304">
        <f>C5*12</f>
        <v>1164384</v>
      </c>
      <c r="E10" s="305">
        <f>+D10/$D$9</f>
        <v>0.11717199039748055</v>
      </c>
      <c r="F10" s="306">
        <f>+D10</f>
        <v>1164384</v>
      </c>
      <c r="G10" s="305">
        <f>+F10/$F$9</f>
        <v>7.8114660264987035E-2</v>
      </c>
      <c r="H10" s="306">
        <f>D10</f>
        <v>1164384</v>
      </c>
      <c r="I10" s="305">
        <f>+H10/$H$9</f>
        <v>6.6955423084274601E-2</v>
      </c>
      <c r="J10" s="304">
        <f>+D10</f>
        <v>1164384</v>
      </c>
      <c r="K10" s="305">
        <f>+J10/$J$9</f>
        <v>5.8585995198740276E-2</v>
      </c>
      <c r="L10" s="304">
        <v>0</v>
      </c>
      <c r="M10" s="307">
        <f>+L10/$L$9</f>
        <v>0</v>
      </c>
      <c r="N10" s="304">
        <v>0</v>
      </c>
      <c r="O10" s="308">
        <f>+N10/$N$9</f>
        <v>0</v>
      </c>
    </row>
    <row r="11" spans="2:15" ht="15.75" thickBot="1" x14ac:dyDescent="0.3">
      <c r="B11" s="296" t="s">
        <v>272</v>
      </c>
      <c r="C11" s="309"/>
      <c r="D11" s="310"/>
      <c r="E11" s="311"/>
      <c r="F11" s="312"/>
      <c r="G11" s="311"/>
      <c r="H11" s="312"/>
      <c r="I11" s="311"/>
      <c r="J11" s="310"/>
      <c r="K11" s="311"/>
      <c r="L11" s="310"/>
      <c r="M11" s="313"/>
      <c r="N11" s="310"/>
      <c r="O11" s="314"/>
    </row>
    <row r="12" spans="2:15" ht="15.75" thickTop="1" x14ac:dyDescent="0.25">
      <c r="B12" s="315" t="s">
        <v>273</v>
      </c>
      <c r="C12" s="298" t="s">
        <v>274</v>
      </c>
      <c r="D12" s="304">
        <f>36*(D9+D10)/365</f>
        <v>1094969.687671233</v>
      </c>
      <c r="E12" s="305">
        <f>+D12/$D$9</f>
        <v>0.11018682645016248</v>
      </c>
      <c r="F12" s="306">
        <f>36*(F9+F10)/365</f>
        <v>1585032.8547945207</v>
      </c>
      <c r="G12" s="305">
        <f>+F12/$F$9</f>
        <v>0.10633459662887544</v>
      </c>
      <c r="H12" s="306">
        <f>36*(H9+H10)/365</f>
        <v>1830064.4383561644</v>
      </c>
      <c r="I12" s="305">
        <f>+H12/$H$9</f>
        <v>0.10523395953707913</v>
      </c>
      <c r="J12" s="304">
        <f>36*(J9+J10)/365</f>
        <v>2075096.0219178083</v>
      </c>
      <c r="K12" s="305">
        <f>+J12/$J$9</f>
        <v>0.10440848171823193</v>
      </c>
      <c r="L12" s="304">
        <f>36*(L9+L10)/365</f>
        <v>2940379.0027397261</v>
      </c>
      <c r="M12" s="307">
        <f>+L12/$L$9</f>
        <v>9.8630136986301367E-2</v>
      </c>
      <c r="N12" s="304">
        <f>36*(N9+N10)/365</f>
        <v>4410568.5041095894</v>
      </c>
      <c r="O12" s="308">
        <f>+N12/$N$9</f>
        <v>9.8630136986301381E-2</v>
      </c>
    </row>
    <row r="13" spans="2:15" x14ac:dyDescent="0.25">
      <c r="B13" s="315" t="s">
        <v>275</v>
      </c>
      <c r="C13" s="298" t="s">
        <v>276</v>
      </c>
      <c r="D13" s="304">
        <f>+D12*0.12</f>
        <v>131396.36252054796</v>
      </c>
      <c r="E13" s="305">
        <f>+D13/$D$9</f>
        <v>1.3222419174019498E-2</v>
      </c>
      <c r="F13" s="306">
        <f>+F12*0.12</f>
        <v>190203.94257534246</v>
      </c>
      <c r="G13" s="305">
        <f>+F13/$F$9</f>
        <v>1.2760151595465051E-2</v>
      </c>
      <c r="H13" s="306">
        <f>+H12*0.12</f>
        <v>219607.73260273971</v>
      </c>
      <c r="I13" s="305">
        <f>+H13/$H$9</f>
        <v>1.2628075144449495E-2</v>
      </c>
      <c r="J13" s="304">
        <f>+J12*0.12</f>
        <v>249011.52263013698</v>
      </c>
      <c r="K13" s="305">
        <f>+J13/$J$9</f>
        <v>1.252901780618783E-2</v>
      </c>
      <c r="L13" s="304">
        <f>+L12*0.12</f>
        <v>352845.48032876709</v>
      </c>
      <c r="M13" s="307">
        <f>+L13/$L$9</f>
        <v>1.1835616438356164E-2</v>
      </c>
      <c r="N13" s="304">
        <f>+N12*0.12</f>
        <v>529268.22049315076</v>
      </c>
      <c r="O13" s="308">
        <f>+N13/$N$9</f>
        <v>1.1835616438356166E-2</v>
      </c>
    </row>
    <row r="14" spans="2:15" x14ac:dyDescent="0.25">
      <c r="B14" s="315" t="s">
        <v>277</v>
      </c>
      <c r="C14" s="298" t="s">
        <v>278</v>
      </c>
      <c r="D14" s="304">
        <f>+D9/24</f>
        <v>414058</v>
      </c>
      <c r="E14" s="305">
        <f>+D14/$D$9</f>
        <v>4.1666666666666664E-2</v>
      </c>
      <c r="F14" s="306">
        <f>+F9/24</f>
        <v>621087</v>
      </c>
      <c r="G14" s="305">
        <f>+F14/$F$9</f>
        <v>4.1666666666666664E-2</v>
      </c>
      <c r="H14" s="306">
        <f>+H9/24</f>
        <v>724601.5</v>
      </c>
      <c r="I14" s="305">
        <f>+H14/$H$9</f>
        <v>4.1666666666666664E-2</v>
      </c>
      <c r="J14" s="304">
        <f>+J9/24</f>
        <v>828116</v>
      </c>
      <c r="K14" s="305">
        <f>+J14/$J$9</f>
        <v>4.1666666666666664E-2</v>
      </c>
      <c r="L14" s="304">
        <f>+L9/24</f>
        <v>1242174</v>
      </c>
      <c r="M14" s="307">
        <f>+L14/$L$9</f>
        <v>4.1666666666666664E-2</v>
      </c>
      <c r="N14" s="304">
        <f>+N9/24</f>
        <v>1863261</v>
      </c>
      <c r="O14" s="308">
        <f>+N14/$N$9</f>
        <v>4.1666666666666664E-2</v>
      </c>
    </row>
    <row r="15" spans="2:15" x14ac:dyDescent="0.25">
      <c r="B15" s="315" t="s">
        <v>279</v>
      </c>
      <c r="C15" s="298" t="s">
        <v>280</v>
      </c>
      <c r="D15" s="304">
        <f>+D9/12</f>
        <v>828116</v>
      </c>
      <c r="E15" s="305">
        <f>+D15/$D$9</f>
        <v>8.3333333333333329E-2</v>
      </c>
      <c r="F15" s="306">
        <f>+F9/12</f>
        <v>1242174</v>
      </c>
      <c r="G15" s="305">
        <f>+F15/$F$9</f>
        <v>8.3333333333333329E-2</v>
      </c>
      <c r="H15" s="306">
        <f>+H9/12</f>
        <v>1449203</v>
      </c>
      <c r="I15" s="305">
        <f>+H15/$H$9</f>
        <v>8.3333333333333329E-2</v>
      </c>
      <c r="J15" s="304">
        <f>+J9/12</f>
        <v>1656232</v>
      </c>
      <c r="K15" s="305">
        <f>+J15/$J$9</f>
        <v>8.3333333333333329E-2</v>
      </c>
      <c r="L15" s="304">
        <f>+L9/12</f>
        <v>2484348</v>
      </c>
      <c r="M15" s="307">
        <f>+L15/$L$9</f>
        <v>8.3333333333333329E-2</v>
      </c>
      <c r="N15" s="304">
        <f>+N9/12</f>
        <v>3726522</v>
      </c>
      <c r="O15" s="308">
        <f>+N15/$N$9</f>
        <v>8.3333333333333329E-2</v>
      </c>
    </row>
    <row r="16" spans="2:15" ht="15.75" thickBot="1" x14ac:dyDescent="0.3">
      <c r="B16" s="296" t="s">
        <v>281</v>
      </c>
      <c r="C16" s="309"/>
      <c r="D16" s="310"/>
      <c r="E16" s="311"/>
      <c r="F16" s="312"/>
      <c r="G16" s="311"/>
      <c r="H16" s="312"/>
      <c r="I16" s="311"/>
      <c r="J16" s="310"/>
      <c r="K16" s="311"/>
      <c r="L16" s="310"/>
      <c r="M16" s="313"/>
      <c r="N16" s="310"/>
      <c r="O16" s="314"/>
    </row>
    <row r="17" spans="2:15" ht="15.75" thickTop="1" x14ac:dyDescent="0.25">
      <c r="B17" s="315" t="s">
        <v>282</v>
      </c>
      <c r="C17" s="316" t="s">
        <v>283</v>
      </c>
      <c r="D17" s="304">
        <v>483360</v>
      </c>
      <c r="E17" s="305">
        <f>+D17/$D$9</f>
        <v>4.8640528621594077E-2</v>
      </c>
      <c r="F17" s="304">
        <f>+$D$17</f>
        <v>483360</v>
      </c>
      <c r="G17" s="305">
        <f>+F17/$F$9</f>
        <v>3.242701908106272E-2</v>
      </c>
      <c r="H17" s="304">
        <f>+$D$17</f>
        <v>483360</v>
      </c>
      <c r="I17" s="305">
        <f>+H17/$H$9</f>
        <v>2.7794587783768043E-2</v>
      </c>
      <c r="J17" s="304">
        <f>+$D$17</f>
        <v>483360</v>
      </c>
      <c r="K17" s="305">
        <f>+J17/$J$9</f>
        <v>2.4320264310797039E-2</v>
      </c>
      <c r="L17" s="304">
        <v>0</v>
      </c>
      <c r="M17" s="307">
        <f>+L17/$L$9</f>
        <v>0</v>
      </c>
      <c r="N17" s="304">
        <v>0</v>
      </c>
      <c r="O17" s="308">
        <f>+N17/$N$9</f>
        <v>0</v>
      </c>
    </row>
    <row r="18" spans="2:15" x14ac:dyDescent="0.25">
      <c r="B18" s="295" t="s">
        <v>284</v>
      </c>
      <c r="C18" s="298"/>
      <c r="D18" s="304"/>
      <c r="E18" s="305"/>
      <c r="F18" s="306"/>
      <c r="G18" s="305"/>
      <c r="H18" s="306"/>
      <c r="I18" s="305"/>
      <c r="J18" s="304"/>
      <c r="K18" s="305"/>
      <c r="L18" s="304"/>
      <c r="M18" s="307"/>
      <c r="N18" s="304"/>
      <c r="O18" s="308"/>
    </row>
    <row r="19" spans="2:15" x14ac:dyDescent="0.25">
      <c r="B19" s="315" t="s">
        <v>285</v>
      </c>
      <c r="C19" s="298" t="s">
        <v>286</v>
      </c>
      <c r="D19" s="304">
        <f>+D9*0.12</f>
        <v>1192487.04</v>
      </c>
      <c r="E19" s="305">
        <f>+D19/$D$9</f>
        <v>0.12000000000000001</v>
      </c>
      <c r="F19" s="306">
        <f>+F9*0.12</f>
        <v>1788730.5599999998</v>
      </c>
      <c r="G19" s="305">
        <f>+F19/$F$9</f>
        <v>0.11999999999999998</v>
      </c>
      <c r="H19" s="306">
        <f>+H9*0.12</f>
        <v>2086852.3199999998</v>
      </c>
      <c r="I19" s="305">
        <f>+H19/$H$9</f>
        <v>0.12</v>
      </c>
      <c r="J19" s="304">
        <f>+J9*0.12</f>
        <v>2384974.08</v>
      </c>
      <c r="K19" s="305">
        <f>+J19/$J$9</f>
        <v>0.12000000000000001</v>
      </c>
      <c r="L19" s="304">
        <f>+L9*0.12</f>
        <v>3577461.1199999996</v>
      </c>
      <c r="M19" s="307">
        <f>+L19/$L$9</f>
        <v>0.11999999999999998</v>
      </c>
      <c r="N19" s="304">
        <f>+N9*0.12</f>
        <v>5366191.68</v>
      </c>
      <c r="O19" s="308">
        <f>+N19/$N$9</f>
        <v>0.12</v>
      </c>
    </row>
    <row r="20" spans="2:15" x14ac:dyDescent="0.25">
      <c r="B20" s="315" t="s">
        <v>287</v>
      </c>
      <c r="C20" s="298" t="s">
        <v>288</v>
      </c>
      <c r="D20" s="304">
        <f>+D9*0.085</f>
        <v>844678.32000000007</v>
      </c>
      <c r="E20" s="305">
        <f>+D20/$D$9</f>
        <v>8.5000000000000006E-2</v>
      </c>
      <c r="F20" s="306">
        <f>+F9*0.085</f>
        <v>1267017.48</v>
      </c>
      <c r="G20" s="305">
        <f>+F20/$F$9</f>
        <v>8.4999999999999992E-2</v>
      </c>
      <c r="H20" s="306">
        <f>+H9*0.085</f>
        <v>1478187.06</v>
      </c>
      <c r="I20" s="305">
        <f>+H20/$H$9</f>
        <v>8.5000000000000006E-2</v>
      </c>
      <c r="J20" s="304">
        <f>+J9*0.085</f>
        <v>1689356.6400000001</v>
      </c>
      <c r="K20" s="305">
        <f>+J20/$J$9</f>
        <v>8.5000000000000006E-2</v>
      </c>
      <c r="L20" s="304">
        <f>+L9*0.085</f>
        <v>2534034.96</v>
      </c>
      <c r="M20" s="307">
        <f>+L20/$L$9</f>
        <v>8.4999999999999992E-2</v>
      </c>
      <c r="N20" s="304">
        <f>+N9*0.085</f>
        <v>3801052.4400000004</v>
      </c>
      <c r="O20" s="308">
        <f>+N20/$N$9</f>
        <v>8.5000000000000006E-2</v>
      </c>
    </row>
    <row r="21" spans="2:15" x14ac:dyDescent="0.25">
      <c r="B21" s="315" t="s">
        <v>289</v>
      </c>
      <c r="C21" s="298" t="s">
        <v>290</v>
      </c>
      <c r="D21" s="304">
        <f>+D9*0.0696</f>
        <v>691642.4831999999</v>
      </c>
      <c r="E21" s="305">
        <f>+D21/$D$9</f>
        <v>6.9599999999999995E-2</v>
      </c>
      <c r="F21" s="306">
        <f>+F9*0.0696</f>
        <v>1037463.7248</v>
      </c>
      <c r="G21" s="305">
        <f>+F21/$F$9</f>
        <v>6.9599999999999995E-2</v>
      </c>
      <c r="H21" s="306">
        <f>+H9*0.0696</f>
        <v>1210374.3455999999</v>
      </c>
      <c r="I21" s="305">
        <f>+H21/$H$9</f>
        <v>6.9599999999999995E-2</v>
      </c>
      <c r="J21" s="304">
        <f>+J9*0.0696</f>
        <v>1383284.9663999998</v>
      </c>
      <c r="K21" s="305">
        <f>+J21/$J$9</f>
        <v>6.9599999999999995E-2</v>
      </c>
      <c r="L21" s="304">
        <f>+L9*0.0696</f>
        <v>2074927.4495999999</v>
      </c>
      <c r="M21" s="307">
        <f>+L21/$L$9</f>
        <v>6.9599999999999995E-2</v>
      </c>
      <c r="N21" s="304">
        <f>+N9*0.0696</f>
        <v>3112391.1743999999</v>
      </c>
      <c r="O21" s="308">
        <f>+N21/$N$9</f>
        <v>6.9599999999999995E-2</v>
      </c>
    </row>
    <row r="22" spans="2:15" ht="15.75" thickBot="1" x14ac:dyDescent="0.3">
      <c r="B22" s="296" t="s">
        <v>291</v>
      </c>
      <c r="C22" s="309"/>
      <c r="D22" s="310"/>
      <c r="E22" s="311"/>
      <c r="F22" s="312"/>
      <c r="G22" s="311"/>
      <c r="H22" s="312"/>
      <c r="I22" s="311"/>
      <c r="J22" s="310"/>
      <c r="K22" s="311"/>
      <c r="L22" s="310"/>
      <c r="M22" s="313"/>
      <c r="N22" s="310"/>
      <c r="O22" s="314"/>
    </row>
    <row r="23" spans="2:15" ht="15.75" thickTop="1" x14ac:dyDescent="0.25">
      <c r="B23" s="315" t="s">
        <v>292</v>
      </c>
      <c r="C23" s="298" t="s">
        <v>293</v>
      </c>
      <c r="D23" s="304">
        <f>+D9*0.006</f>
        <v>59624.351999999999</v>
      </c>
      <c r="E23" s="305">
        <f>+D23/$D$9</f>
        <v>6.0000000000000001E-3</v>
      </c>
      <c r="F23" s="304">
        <f>+F9*0.006</f>
        <v>89436.528000000006</v>
      </c>
      <c r="G23" s="305">
        <f>+F23/$F$9</f>
        <v>6.0000000000000001E-3</v>
      </c>
      <c r="H23" s="304">
        <f>+H9*0.006</f>
        <v>104342.61600000001</v>
      </c>
      <c r="I23" s="305">
        <f>+H23/$H$9</f>
        <v>6.0000000000000001E-3</v>
      </c>
      <c r="J23" s="304">
        <f>+J9*0.006</f>
        <v>119248.704</v>
      </c>
      <c r="K23" s="305">
        <f>+J23/$J$9</f>
        <v>6.0000000000000001E-3</v>
      </c>
      <c r="L23" s="304">
        <f>+L9*0.006</f>
        <v>178873.05600000001</v>
      </c>
      <c r="M23" s="307">
        <f>+L23/$L$9</f>
        <v>6.0000000000000001E-3</v>
      </c>
      <c r="N23" s="304"/>
      <c r="O23" s="308"/>
    </row>
    <row r="24" spans="2:15" hidden="1" x14ac:dyDescent="0.25">
      <c r="B24" s="315" t="s">
        <v>294</v>
      </c>
      <c r="C24" s="298"/>
      <c r="D24" s="304"/>
      <c r="E24" s="305"/>
      <c r="F24" s="304"/>
      <c r="G24" s="305"/>
      <c r="H24" s="304"/>
      <c r="I24" s="305"/>
      <c r="J24" s="304"/>
      <c r="K24" s="305"/>
      <c r="L24" s="304"/>
      <c r="M24" s="307"/>
      <c r="N24" s="304">
        <f>+N9*0.02</f>
        <v>894365.28</v>
      </c>
      <c r="O24" s="308">
        <f>+N24/$N$9</f>
        <v>0.02</v>
      </c>
    </row>
    <row r="25" spans="2:15" hidden="1" x14ac:dyDescent="0.25">
      <c r="B25" s="315" t="s">
        <v>295</v>
      </c>
      <c r="C25" s="298"/>
      <c r="D25" s="304"/>
      <c r="E25" s="305"/>
      <c r="F25" s="304"/>
      <c r="G25" s="305"/>
      <c r="H25" s="304"/>
      <c r="I25" s="305"/>
      <c r="J25" s="304"/>
      <c r="K25" s="305"/>
      <c r="L25" s="304"/>
      <c r="M25" s="307"/>
      <c r="N25" s="304">
        <f>+N9*0.03</f>
        <v>1341547.92</v>
      </c>
      <c r="O25" s="308">
        <f>+N25/$N$9</f>
        <v>0.03</v>
      </c>
    </row>
    <row r="26" spans="2:15" x14ac:dyDescent="0.25">
      <c r="B26" s="315" t="s">
        <v>296</v>
      </c>
      <c r="C26" s="298" t="s">
        <v>297</v>
      </c>
      <c r="D26" s="304">
        <f>+D9*0.04</f>
        <v>397495.68</v>
      </c>
      <c r="E26" s="305">
        <f>+D26/$D$9</f>
        <v>0.04</v>
      </c>
      <c r="F26" s="306">
        <f>+F9*0.04</f>
        <v>596243.52</v>
      </c>
      <c r="G26" s="305">
        <f>+F26/$F$9</f>
        <v>0.04</v>
      </c>
      <c r="H26" s="306">
        <f>+H9*0.04</f>
        <v>695617.44000000006</v>
      </c>
      <c r="I26" s="305">
        <f>+H26/$H$9</f>
        <v>0.04</v>
      </c>
      <c r="J26" s="304">
        <f>+J9*0.04</f>
        <v>794991.36</v>
      </c>
      <c r="K26" s="305">
        <f>+J26/$J$9</f>
        <v>0.04</v>
      </c>
      <c r="L26" s="304">
        <f>+L9*0.04</f>
        <v>1192487.04</v>
      </c>
      <c r="M26" s="307">
        <f>+L26/$L$9</f>
        <v>0.04</v>
      </c>
      <c r="N26" s="304">
        <f>+N9*0.04</f>
        <v>1788730.56</v>
      </c>
      <c r="O26" s="308">
        <f>+N26/$N$9</f>
        <v>0.04</v>
      </c>
    </row>
    <row r="27" spans="2:15" ht="15.75" thickBot="1" x14ac:dyDescent="0.3">
      <c r="B27" s="295"/>
      <c r="C27" s="298"/>
      <c r="D27" s="317"/>
      <c r="E27" s="298"/>
      <c r="F27" s="318"/>
      <c r="G27" s="298"/>
      <c r="H27" s="318"/>
      <c r="I27" s="298"/>
      <c r="J27" s="317"/>
      <c r="K27" s="298"/>
      <c r="L27" s="317"/>
      <c r="M27" s="319"/>
      <c r="N27" s="317"/>
      <c r="O27" s="320"/>
    </row>
    <row r="28" spans="2:15" ht="15.75" thickBot="1" x14ac:dyDescent="0.3">
      <c r="B28" s="686" t="s">
        <v>298</v>
      </c>
      <c r="C28" s="687"/>
      <c r="D28" s="321">
        <f>SUM(D9:D26)</f>
        <v>17239603.925391782</v>
      </c>
      <c r="E28" s="322">
        <f>SUM(E9:E26)</f>
        <v>1.7348217646432567</v>
      </c>
      <c r="F28" s="323">
        <f t="shared" ref="F28:M28" si="0">SUM(F9:F26)</f>
        <v>24971221.610169865</v>
      </c>
      <c r="G28" s="322">
        <f t="shared" si="0"/>
        <v>1.6752364275703899</v>
      </c>
      <c r="H28" s="323">
        <f t="shared" si="0"/>
        <v>28837030.452558909</v>
      </c>
      <c r="I28" s="322">
        <f t="shared" si="0"/>
        <v>1.6582120455495708</v>
      </c>
      <c r="J28" s="321">
        <f t="shared" si="0"/>
        <v>32702839.294947945</v>
      </c>
      <c r="K28" s="322">
        <f t="shared" si="0"/>
        <v>1.6454437590339575</v>
      </c>
      <c r="L28" s="321">
        <f t="shared" si="0"/>
        <v>46389706.108668491</v>
      </c>
      <c r="M28" s="322">
        <f t="shared" si="0"/>
        <v>1.5560657534246574</v>
      </c>
      <c r="N28" s="321">
        <f>SUM(N9:N26)</f>
        <v>71552162.779002741</v>
      </c>
      <c r="O28" s="322">
        <f>SUM(O9:O26)</f>
        <v>1.6000657534246574</v>
      </c>
    </row>
    <row r="29" spans="2:15" x14ac:dyDescent="0.25">
      <c r="B29" s="324"/>
      <c r="C29" s="325"/>
      <c r="D29" s="325" t="s">
        <v>299</v>
      </c>
      <c r="E29" s="325"/>
      <c r="F29" s="326"/>
      <c r="G29" s="325"/>
      <c r="H29" s="325"/>
      <c r="I29" s="325"/>
      <c r="J29" s="324"/>
      <c r="K29" s="324"/>
      <c r="L29" s="324"/>
      <c r="M29" s="324"/>
      <c r="N29" s="324"/>
      <c r="O29" s="324"/>
    </row>
    <row r="30" spans="2:15" x14ac:dyDescent="0.25">
      <c r="B30" s="327" t="s">
        <v>300</v>
      </c>
      <c r="C30" s="325"/>
      <c r="D30" s="325"/>
      <c r="E30" s="328"/>
      <c r="F30" s="329"/>
      <c r="G30" s="325"/>
      <c r="H30" s="325"/>
      <c r="I30" s="330"/>
      <c r="J30" s="324"/>
      <c r="K30" s="324"/>
      <c r="L30" s="324"/>
      <c r="M30" s="324"/>
      <c r="N30" s="324"/>
      <c r="O30" s="324"/>
    </row>
    <row r="31" spans="2:15" x14ac:dyDescent="0.25">
      <c r="B31" s="324"/>
      <c r="C31" s="325"/>
      <c r="D31" s="325"/>
      <c r="E31" s="325"/>
      <c r="F31" s="326"/>
      <c r="G31" s="325"/>
      <c r="H31" s="325"/>
      <c r="J31" s="324"/>
      <c r="K31" s="324"/>
      <c r="L31" s="324"/>
      <c r="M31" s="324"/>
      <c r="N31" s="324"/>
      <c r="O31" s="324"/>
    </row>
    <row r="32" spans="2:15" ht="15.75" thickBot="1" x14ac:dyDescent="0.3">
      <c r="B32" s="688" t="s">
        <v>301</v>
      </c>
      <c r="C32" s="688"/>
      <c r="D32" s="688"/>
      <c r="E32" s="688"/>
      <c r="F32" s="688"/>
      <c r="G32" s="688"/>
      <c r="H32" s="324"/>
      <c r="I32" s="324"/>
      <c r="J32" s="324"/>
      <c r="K32" s="324"/>
      <c r="L32" s="324"/>
      <c r="M32" s="324"/>
      <c r="N32" s="324"/>
      <c r="O32" s="324"/>
    </row>
    <row r="33" spans="1:15" ht="15.75" thickBot="1" x14ac:dyDescent="0.3">
      <c r="B33" s="331"/>
      <c r="C33" s="689" t="s">
        <v>302</v>
      </c>
      <c r="D33" s="690"/>
      <c r="E33" s="332">
        <v>240</v>
      </c>
      <c r="F33" s="331"/>
      <c r="G33" s="333"/>
      <c r="H33" s="324"/>
      <c r="I33" s="324"/>
      <c r="J33" s="324"/>
      <c r="K33" s="324"/>
      <c r="L33" s="324"/>
      <c r="M33" s="324"/>
      <c r="N33" s="324"/>
      <c r="O33" s="324"/>
    </row>
    <row r="34" spans="1:15" x14ac:dyDescent="0.25">
      <c r="B34" s="334"/>
      <c r="C34" s="335" t="s">
        <v>303</v>
      </c>
      <c r="D34" s="335" t="s">
        <v>304</v>
      </c>
      <c r="E34" s="335" t="s">
        <v>305</v>
      </c>
      <c r="F34" s="335" t="s">
        <v>306</v>
      </c>
      <c r="G34" s="336" t="s">
        <v>95</v>
      </c>
      <c r="H34" s="324"/>
      <c r="I34" s="324"/>
      <c r="J34" s="337"/>
      <c r="K34" s="324"/>
      <c r="L34" s="324"/>
      <c r="M34" s="338"/>
      <c r="N34" s="324"/>
      <c r="O34" s="324"/>
    </row>
    <row r="35" spans="1:15" x14ac:dyDescent="0.25">
      <c r="B35" s="339" t="s">
        <v>307</v>
      </c>
      <c r="C35" s="340" t="s">
        <v>308</v>
      </c>
      <c r="D35" s="341">
        <v>8</v>
      </c>
      <c r="E35" s="342">
        <v>1.25</v>
      </c>
      <c r="F35" s="342">
        <f>D35*E35</f>
        <v>10</v>
      </c>
      <c r="G35" s="343">
        <f>F35/E33</f>
        <v>4.1666666666666664E-2</v>
      </c>
      <c r="H35" s="324"/>
      <c r="I35" s="324"/>
      <c r="J35" s="337"/>
      <c r="K35" s="324"/>
      <c r="L35" s="324"/>
      <c r="M35" s="324"/>
      <c r="N35" s="324"/>
      <c r="O35" s="324"/>
    </row>
    <row r="36" spans="1:15" x14ac:dyDescent="0.25">
      <c r="B36" s="339" t="s">
        <v>309</v>
      </c>
      <c r="C36" s="340" t="s">
        <v>308</v>
      </c>
      <c r="D36" s="341">
        <v>4</v>
      </c>
      <c r="E36" s="342">
        <v>1.75</v>
      </c>
      <c r="F36" s="342">
        <f>D36*E36</f>
        <v>7</v>
      </c>
      <c r="G36" s="343">
        <f>F36/E33</f>
        <v>2.9166666666666667E-2</v>
      </c>
      <c r="H36" s="324"/>
      <c r="I36" s="324"/>
      <c r="J36" s="337"/>
      <c r="K36" s="324"/>
      <c r="L36" s="324"/>
      <c r="M36" s="324"/>
      <c r="N36" s="324"/>
      <c r="O36" s="324"/>
    </row>
    <row r="37" spans="1:15" ht="15.75" thickBot="1" x14ac:dyDescent="0.3">
      <c r="B37" s="344" t="s">
        <v>310</v>
      </c>
      <c r="C37" s="345" t="s">
        <v>308</v>
      </c>
      <c r="D37" s="346">
        <v>8</v>
      </c>
      <c r="E37" s="347">
        <v>2</v>
      </c>
      <c r="F37" s="347">
        <f>D37*E37</f>
        <v>16</v>
      </c>
      <c r="G37" s="348">
        <f>F37/E33</f>
        <v>6.6666666666666666E-2</v>
      </c>
      <c r="H37" s="324"/>
      <c r="I37" s="324"/>
      <c r="J37" s="337"/>
      <c r="K37" s="324"/>
      <c r="L37" s="324"/>
      <c r="M37" s="324"/>
      <c r="N37" s="324"/>
      <c r="O37" s="324"/>
    </row>
    <row r="38" spans="1:15" ht="15.75" thickBot="1" x14ac:dyDescent="0.3">
      <c r="B38" s="691"/>
      <c r="C38" s="692"/>
      <c r="D38" s="692"/>
      <c r="E38" s="693"/>
      <c r="F38" s="349">
        <f>SUM(F35:F37)</f>
        <v>33</v>
      </c>
      <c r="G38" s="350">
        <f>SUM(G35:G37)</f>
        <v>0.13750000000000001</v>
      </c>
      <c r="H38" s="324"/>
      <c r="I38" s="324"/>
      <c r="J38" s="324"/>
      <c r="K38" s="324"/>
      <c r="L38" s="324"/>
      <c r="M38" s="324"/>
      <c r="N38" s="325"/>
      <c r="O38" s="324"/>
    </row>
    <row r="39" spans="1:15" x14ac:dyDescent="0.25">
      <c r="B39" s="351"/>
      <c r="C39" s="351"/>
      <c r="D39" s="351"/>
      <c r="E39" s="351"/>
      <c r="F39" s="304"/>
      <c r="G39" s="352"/>
      <c r="H39" s="324"/>
      <c r="I39" s="324"/>
      <c r="J39" s="324"/>
      <c r="K39" s="324"/>
      <c r="L39" s="324"/>
      <c r="M39" s="324"/>
      <c r="N39" s="325"/>
      <c r="O39" s="324"/>
    </row>
    <row r="40" spans="1:15" x14ac:dyDescent="0.25">
      <c r="B40" s="351"/>
      <c r="C40" s="353" t="s">
        <v>311</v>
      </c>
      <c r="D40" s="353" t="s">
        <v>312</v>
      </c>
      <c r="E40" s="351"/>
      <c r="F40" s="304"/>
      <c r="G40" s="352"/>
      <c r="H40" s="324"/>
      <c r="I40" s="324"/>
      <c r="J40" s="324"/>
      <c r="K40" s="324"/>
      <c r="L40" s="324"/>
      <c r="M40" s="324"/>
      <c r="N40" s="325"/>
      <c r="O40" s="324"/>
    </row>
    <row r="41" spans="1:15" x14ac:dyDescent="0.25">
      <c r="A41" s="324" t="s">
        <v>313</v>
      </c>
      <c r="B41" s="324" t="s">
        <v>314</v>
      </c>
      <c r="C41" s="324"/>
      <c r="D41" s="324"/>
      <c r="E41" s="324"/>
      <c r="F41" s="325"/>
      <c r="G41" s="354"/>
      <c r="H41" s="324"/>
      <c r="I41" s="324"/>
      <c r="J41" s="324"/>
      <c r="K41" s="324"/>
      <c r="L41" s="324"/>
      <c r="M41" s="324"/>
      <c r="N41" s="324"/>
      <c r="O41" s="324"/>
    </row>
    <row r="42" spans="1:15" x14ac:dyDescent="0.25">
      <c r="A42" s="324" t="s">
        <v>313</v>
      </c>
      <c r="B42" s="324" t="s">
        <v>315</v>
      </c>
      <c r="C42" s="324"/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</row>
    <row r="43" spans="1:15" x14ac:dyDescent="0.25">
      <c r="A43" s="324" t="s">
        <v>313</v>
      </c>
      <c r="B43" s="324" t="s">
        <v>316</v>
      </c>
      <c r="C43" s="324"/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</row>
    <row r="44" spans="1:15" x14ac:dyDescent="0.25">
      <c r="A44" s="324" t="s">
        <v>313</v>
      </c>
      <c r="B44" s="324" t="s">
        <v>317</v>
      </c>
      <c r="C44" s="324"/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</row>
    <row r="45" spans="1:15" x14ac:dyDescent="0.25">
      <c r="A45" s="324" t="s">
        <v>313</v>
      </c>
      <c r="B45" s="324" t="s">
        <v>318</v>
      </c>
      <c r="C45" s="325">
        <f>ROUND(((D7*E28%)/E33),2)*100</f>
        <v>5986</v>
      </c>
      <c r="D45" s="325">
        <f>C45*D37</f>
        <v>47888</v>
      </c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</row>
    <row r="46" spans="1:15" x14ac:dyDescent="0.25">
      <c r="A46" s="324" t="s">
        <v>313</v>
      </c>
      <c r="B46" s="324" t="s">
        <v>261</v>
      </c>
      <c r="C46" s="325">
        <f>ROUND(((D7*E28%)/E33),2)*100</f>
        <v>5986</v>
      </c>
      <c r="D46" s="325">
        <f>C46*D37</f>
        <v>47888</v>
      </c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</row>
    <row r="47" spans="1:15" x14ac:dyDescent="0.25">
      <c r="A47" s="324" t="s">
        <v>313</v>
      </c>
      <c r="B47" s="324" t="s">
        <v>99</v>
      </c>
      <c r="C47" s="325">
        <f>ROUND(((F7*G28%)/E33),2)*100</f>
        <v>8671</v>
      </c>
      <c r="D47" s="325">
        <f>C47*D37</f>
        <v>69368</v>
      </c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</row>
    <row r="48" spans="1:15" x14ac:dyDescent="0.25">
      <c r="A48" s="324" t="s">
        <v>313</v>
      </c>
      <c r="B48" s="324" t="s">
        <v>262</v>
      </c>
      <c r="C48" s="325">
        <f>ROUND(((H7*I28%)/E33),2)*100</f>
        <v>10013</v>
      </c>
      <c r="D48" s="325">
        <f>C48*D37</f>
        <v>80104</v>
      </c>
      <c r="E48" s="324"/>
      <c r="F48" s="324"/>
      <c r="G48" s="324"/>
      <c r="H48" s="324"/>
      <c r="I48" s="324"/>
      <c r="J48" s="324"/>
      <c r="K48" s="324"/>
      <c r="L48" s="324"/>
      <c r="M48" s="324"/>
      <c r="N48" s="324"/>
      <c r="O48" s="324"/>
    </row>
    <row r="49" spans="1:15" x14ac:dyDescent="0.25">
      <c r="A49" s="324" t="s">
        <v>313</v>
      </c>
      <c r="B49" s="324" t="s">
        <v>263</v>
      </c>
      <c r="C49" s="325"/>
      <c r="D49" s="325">
        <f>C49*D37</f>
        <v>0</v>
      </c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</row>
    <row r="50" spans="1:15" x14ac:dyDescent="0.25">
      <c r="A50" s="324" t="s">
        <v>313</v>
      </c>
      <c r="B50" s="324" t="s">
        <v>264</v>
      </c>
      <c r="C50" s="324"/>
      <c r="D50" s="325">
        <f>C50*D37</f>
        <v>0</v>
      </c>
      <c r="E50" s="324"/>
      <c r="F50" s="324"/>
      <c r="G50" s="324"/>
      <c r="H50" s="324"/>
      <c r="I50" s="324"/>
      <c r="J50" s="324"/>
      <c r="K50" s="324"/>
      <c r="L50" s="324"/>
      <c r="M50" s="324"/>
      <c r="N50" s="324"/>
      <c r="O50" s="324"/>
    </row>
    <row r="51" spans="1:15" x14ac:dyDescent="0.25">
      <c r="A51" s="324" t="s">
        <v>313</v>
      </c>
      <c r="B51" s="324" t="s">
        <v>265</v>
      </c>
      <c r="C51" s="324"/>
      <c r="D51" s="325">
        <f>C51*D37</f>
        <v>0</v>
      </c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</row>
    <row r="52" spans="1:15" x14ac:dyDescent="0.25">
      <c r="B52" s="324"/>
      <c r="C52" s="324"/>
      <c r="D52" s="324"/>
      <c r="E52" s="324"/>
      <c r="F52" s="324"/>
      <c r="G52" s="324"/>
      <c r="H52" s="324"/>
      <c r="I52" s="324"/>
      <c r="J52" s="324"/>
      <c r="K52" s="324"/>
      <c r="L52" s="324"/>
      <c r="M52" s="324"/>
      <c r="N52" s="324"/>
      <c r="O52" s="324"/>
    </row>
    <row r="53" spans="1:15" x14ac:dyDescent="0.25">
      <c r="B53" s="681" t="s">
        <v>319</v>
      </c>
      <c r="C53" s="681"/>
      <c r="D53" s="681"/>
      <c r="E53" s="681"/>
      <c r="F53" s="681"/>
      <c r="G53" s="681"/>
      <c r="H53" s="681"/>
      <c r="I53" s="681"/>
      <c r="J53" s="681"/>
      <c r="K53" s="324"/>
      <c r="L53" s="324"/>
      <c r="M53" s="324"/>
      <c r="N53" s="324"/>
      <c r="O53" s="324"/>
    </row>
  </sheetData>
  <mergeCells count="26">
    <mergeCell ref="B53:J53"/>
    <mergeCell ref="L7:M8"/>
    <mergeCell ref="N7:O8"/>
    <mergeCell ref="B28:C28"/>
    <mergeCell ref="B32:G32"/>
    <mergeCell ref="C33:D33"/>
    <mergeCell ref="B38:E38"/>
    <mergeCell ref="B7:B8"/>
    <mergeCell ref="C7:C8"/>
    <mergeCell ref="D7:E8"/>
    <mergeCell ref="F7:G8"/>
    <mergeCell ref="H7:I8"/>
    <mergeCell ref="J7:K8"/>
    <mergeCell ref="N6:O6"/>
    <mergeCell ref="B2:O3"/>
    <mergeCell ref="D4:E5"/>
    <mergeCell ref="F4:G5"/>
    <mergeCell ref="H4:I5"/>
    <mergeCell ref="J4:K5"/>
    <mergeCell ref="L4:M5"/>
    <mergeCell ref="N4:O5"/>
    <mergeCell ref="D6:E6"/>
    <mergeCell ref="F6:G6"/>
    <mergeCell ref="H6:I6"/>
    <mergeCell ref="J6:K6"/>
    <mergeCell ref="L6:M6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"/>
  <sheetViews>
    <sheetView view="pageBreakPreview" zoomScaleNormal="100" zoomScaleSheetLayoutView="100" workbookViewId="0">
      <selection activeCell="A35" sqref="A35"/>
    </sheetView>
  </sheetViews>
  <sheetFormatPr baseColWidth="10" defaultRowHeight="15" x14ac:dyDescent="0.25"/>
  <cols>
    <col min="1" max="1" width="2.85546875" customWidth="1"/>
    <col min="2" max="2" width="14.140625" customWidth="1"/>
    <col min="3" max="3" width="19.140625" customWidth="1"/>
    <col min="4" max="4" width="24.5703125" customWidth="1"/>
  </cols>
  <sheetData>
    <row r="1" spans="2:4" ht="15.75" thickBot="1" x14ac:dyDescent="0.3"/>
    <row r="2" spans="2:4" x14ac:dyDescent="0.25">
      <c r="B2" s="699" t="s">
        <v>320</v>
      </c>
      <c r="C2" s="700"/>
      <c r="D2" s="701"/>
    </row>
    <row r="3" spans="2:4" ht="10.5" customHeight="1" thickBot="1" x14ac:dyDescent="0.3">
      <c r="B3" s="702"/>
      <c r="C3" s="703"/>
      <c r="D3" s="704"/>
    </row>
    <row r="4" spans="2:4" x14ac:dyDescent="0.25">
      <c r="B4" s="705" t="s">
        <v>321</v>
      </c>
      <c r="C4" s="705" t="s">
        <v>322</v>
      </c>
      <c r="D4" s="705" t="s">
        <v>323</v>
      </c>
    </row>
    <row r="5" spans="2:4" ht="15.75" thickBot="1" x14ac:dyDescent="0.3">
      <c r="B5" s="706"/>
      <c r="C5" s="706"/>
      <c r="D5" s="706"/>
    </row>
    <row r="6" spans="2:4" x14ac:dyDescent="0.25">
      <c r="B6" s="355">
        <v>1990</v>
      </c>
      <c r="C6" s="356">
        <v>41025</v>
      </c>
      <c r="D6" s="357">
        <v>3798</v>
      </c>
    </row>
    <row r="7" spans="2:4" x14ac:dyDescent="0.25">
      <c r="B7" s="358">
        <v>1991</v>
      </c>
      <c r="C7" s="359">
        <v>51720</v>
      </c>
      <c r="D7" s="360">
        <v>4787</v>
      </c>
    </row>
    <row r="8" spans="2:4" x14ac:dyDescent="0.25">
      <c r="B8" s="358">
        <v>1992</v>
      </c>
      <c r="C8" s="359">
        <v>65190</v>
      </c>
      <c r="D8" s="360">
        <v>6033</v>
      </c>
    </row>
    <row r="9" spans="2:4" x14ac:dyDescent="0.25">
      <c r="B9" s="358">
        <v>1993</v>
      </c>
      <c r="C9" s="359">
        <v>81510</v>
      </c>
      <c r="D9" s="360">
        <v>7542</v>
      </c>
    </row>
    <row r="10" spans="2:4" x14ac:dyDescent="0.25">
      <c r="B10" s="358">
        <v>1994</v>
      </c>
      <c r="C10" s="359">
        <v>98700</v>
      </c>
      <c r="D10" s="360">
        <v>8705</v>
      </c>
    </row>
    <row r="11" spans="2:4" x14ac:dyDescent="0.25">
      <c r="B11" s="358">
        <v>1995</v>
      </c>
      <c r="C11" s="359">
        <v>118934</v>
      </c>
      <c r="D11" s="360">
        <v>10815</v>
      </c>
    </row>
    <row r="12" spans="2:4" x14ac:dyDescent="0.25">
      <c r="B12" s="358">
        <v>1996</v>
      </c>
      <c r="C12" s="359">
        <v>142125</v>
      </c>
      <c r="D12" s="360">
        <v>13567</v>
      </c>
    </row>
    <row r="13" spans="2:4" x14ac:dyDescent="0.25">
      <c r="B13" s="358">
        <v>1997</v>
      </c>
      <c r="C13" s="359">
        <v>172005</v>
      </c>
      <c r="D13" s="360">
        <v>17250</v>
      </c>
    </row>
    <row r="14" spans="2:4" x14ac:dyDescent="0.25">
      <c r="B14" s="358">
        <v>1998</v>
      </c>
      <c r="C14" s="359">
        <v>203825</v>
      </c>
      <c r="D14" s="360">
        <v>20700</v>
      </c>
    </row>
    <row r="15" spans="2:4" x14ac:dyDescent="0.25">
      <c r="B15" s="358">
        <v>1999</v>
      </c>
      <c r="C15" s="359">
        <v>236438</v>
      </c>
      <c r="D15" s="360">
        <v>24012</v>
      </c>
    </row>
    <row r="16" spans="2:4" x14ac:dyDescent="0.25">
      <c r="B16" s="358">
        <v>2000</v>
      </c>
      <c r="C16" s="359">
        <v>260100</v>
      </c>
      <c r="D16" s="360">
        <v>26413</v>
      </c>
    </row>
    <row r="17" spans="2:4" x14ac:dyDescent="0.25">
      <c r="B17" s="358">
        <v>2001</v>
      </c>
      <c r="C17" s="359">
        <v>286000</v>
      </c>
      <c r="D17" s="360">
        <v>30000</v>
      </c>
    </row>
    <row r="18" spans="2:4" x14ac:dyDescent="0.25">
      <c r="B18" s="358">
        <v>2002</v>
      </c>
      <c r="C18" s="359">
        <v>309000</v>
      </c>
      <c r="D18" s="360">
        <v>34000</v>
      </c>
    </row>
    <row r="19" spans="2:4" x14ac:dyDescent="0.25">
      <c r="B19" s="358">
        <v>2003</v>
      </c>
      <c r="C19" s="359">
        <v>332000</v>
      </c>
      <c r="D19" s="360">
        <v>37500</v>
      </c>
    </row>
    <row r="20" spans="2:4" x14ac:dyDescent="0.25">
      <c r="B20" s="358">
        <v>2004</v>
      </c>
      <c r="C20" s="359">
        <v>358000</v>
      </c>
      <c r="D20" s="360">
        <v>41600</v>
      </c>
    </row>
    <row r="21" spans="2:4" x14ac:dyDescent="0.25">
      <c r="B21" s="358">
        <v>2005</v>
      </c>
      <c r="C21" s="359">
        <v>381500</v>
      </c>
      <c r="D21" s="360">
        <v>44500</v>
      </c>
    </row>
    <row r="22" spans="2:4" x14ac:dyDescent="0.25">
      <c r="B22" s="358">
        <v>2006</v>
      </c>
      <c r="C22" s="359">
        <v>408000</v>
      </c>
      <c r="D22" s="360">
        <v>47700</v>
      </c>
    </row>
    <row r="23" spans="2:4" x14ac:dyDescent="0.25">
      <c r="B23" s="358">
        <v>2007</v>
      </c>
      <c r="C23" s="359">
        <v>433700</v>
      </c>
      <c r="D23" s="360">
        <v>50800</v>
      </c>
    </row>
    <row r="24" spans="2:4" x14ac:dyDescent="0.25">
      <c r="B24" s="358">
        <v>2008</v>
      </c>
      <c r="C24" s="359">
        <v>461500</v>
      </c>
      <c r="D24" s="360">
        <v>55000</v>
      </c>
    </row>
    <row r="25" spans="2:4" x14ac:dyDescent="0.25">
      <c r="B25" s="358">
        <v>2009</v>
      </c>
      <c r="C25" s="359">
        <v>496900</v>
      </c>
      <c r="D25" s="360">
        <v>59300</v>
      </c>
    </row>
    <row r="26" spans="2:4" x14ac:dyDescent="0.25">
      <c r="B26" s="358">
        <v>2010</v>
      </c>
      <c r="C26" s="359">
        <v>515000</v>
      </c>
      <c r="D26" s="360">
        <v>61500</v>
      </c>
    </row>
    <row r="27" spans="2:4" x14ac:dyDescent="0.25">
      <c r="B27" s="358">
        <v>2011</v>
      </c>
      <c r="C27" s="359">
        <v>535600</v>
      </c>
      <c r="D27" s="360">
        <v>63600</v>
      </c>
    </row>
    <row r="28" spans="2:4" x14ac:dyDescent="0.25">
      <c r="B28" s="358">
        <v>2012</v>
      </c>
      <c r="C28" s="359">
        <v>566700</v>
      </c>
      <c r="D28" s="360">
        <v>67800</v>
      </c>
    </row>
    <row r="29" spans="2:4" x14ac:dyDescent="0.25">
      <c r="B29" s="358">
        <v>2013</v>
      </c>
      <c r="C29" s="359">
        <v>590500</v>
      </c>
      <c r="D29" s="360">
        <v>70500</v>
      </c>
    </row>
    <row r="30" spans="2:4" x14ac:dyDescent="0.25">
      <c r="B30" s="358">
        <v>2014</v>
      </c>
      <c r="C30" s="359">
        <v>616027</v>
      </c>
      <c r="D30" s="360">
        <v>72000</v>
      </c>
    </row>
    <row r="31" spans="2:4" x14ac:dyDescent="0.25">
      <c r="B31" s="358">
        <v>2015</v>
      </c>
      <c r="C31" s="359">
        <v>644350</v>
      </c>
      <c r="D31" s="360">
        <v>74000</v>
      </c>
    </row>
    <row r="32" spans="2:4" x14ac:dyDescent="0.25">
      <c r="B32" s="358">
        <v>2016</v>
      </c>
      <c r="C32" s="359">
        <v>689454</v>
      </c>
      <c r="D32" s="360">
        <v>77000</v>
      </c>
    </row>
    <row r="33" spans="2:4" x14ac:dyDescent="0.25">
      <c r="B33" s="358">
        <v>2017</v>
      </c>
      <c r="C33" s="359">
        <v>737717</v>
      </c>
      <c r="D33" s="360">
        <v>83140</v>
      </c>
    </row>
    <row r="34" spans="2:4" x14ac:dyDescent="0.25">
      <c r="B34" s="358">
        <v>2018</v>
      </c>
      <c r="C34" s="359">
        <v>781242</v>
      </c>
      <c r="D34" s="360">
        <v>88211</v>
      </c>
    </row>
    <row r="35" spans="2:4" ht="15.75" thickBot="1" x14ac:dyDescent="0.3">
      <c r="B35" s="361">
        <v>2019</v>
      </c>
      <c r="C35" s="362">
        <v>828116</v>
      </c>
      <c r="D35" s="363">
        <v>97032</v>
      </c>
    </row>
  </sheetData>
  <mergeCells count="4">
    <mergeCell ref="B2:D3"/>
    <mergeCell ref="B4:B5"/>
    <mergeCell ref="C4:C5"/>
    <mergeCell ref="D4:D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15</vt:i4>
      </vt:variant>
    </vt:vector>
  </HeadingPairs>
  <TitlesOfParts>
    <vt:vector size="30" baseType="lpstr">
      <vt:lpstr>PRES. PUENTES PALAFITICOS   (2</vt:lpstr>
      <vt:lpstr>Presupuesto</vt:lpstr>
      <vt:lpstr>PRESUPUESTO DEFINITIVO 2</vt:lpstr>
      <vt:lpstr>200.1</vt:lpstr>
      <vt:lpstr>200.2</vt:lpstr>
      <vt:lpstr>200.6</vt:lpstr>
      <vt:lpstr>200.7</vt:lpstr>
      <vt:lpstr>400.1</vt:lpstr>
      <vt:lpstr>500.6</vt:lpstr>
      <vt:lpstr>500.9</vt:lpstr>
      <vt:lpstr>700.2</vt:lpstr>
      <vt:lpstr>900.1</vt:lpstr>
      <vt:lpstr>Discriminacion del AIU</vt:lpstr>
      <vt:lpstr>Factor Prestacional</vt:lpstr>
      <vt:lpstr>Historia salarial</vt:lpstr>
      <vt:lpstr>'200.1'!Área_de_impresión</vt:lpstr>
      <vt:lpstr>'200.2'!Área_de_impresión</vt:lpstr>
      <vt:lpstr>'200.6'!Área_de_impresión</vt:lpstr>
      <vt:lpstr>'200.7'!Área_de_impresión</vt:lpstr>
      <vt:lpstr>'400.1'!Área_de_impresión</vt:lpstr>
      <vt:lpstr>'500.6'!Área_de_impresión</vt:lpstr>
      <vt:lpstr>'500.9'!Área_de_impresión</vt:lpstr>
      <vt:lpstr>'700.2'!Área_de_impresión</vt:lpstr>
      <vt:lpstr>'900.1'!Área_de_impresión</vt:lpstr>
      <vt:lpstr>'Discriminacion del AIU'!Área_de_impresión</vt:lpstr>
      <vt:lpstr>'Factor Prestacional'!Área_de_impresión</vt:lpstr>
      <vt:lpstr>'Historia salarial'!Área_de_impresión</vt:lpstr>
      <vt:lpstr>'PRES. PUENTES PALAFITICOS   (2'!Área_de_impresión</vt:lpstr>
      <vt:lpstr>Presupuesto!Área_de_impresión</vt:lpstr>
      <vt:lpstr>'PRESUPUESTO DEFINITIVO 2'!Área_de_impresión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Planeacion01</dc:creator>
  <cp:lastModifiedBy>User Planeacion01</cp:lastModifiedBy>
  <cp:lastPrinted>2017-02-15T14:13:50Z</cp:lastPrinted>
  <dcterms:created xsi:type="dcterms:W3CDTF">2017-02-02T19:51:16Z</dcterms:created>
  <dcterms:modified xsi:type="dcterms:W3CDTF">2019-04-01T21:41:09Z</dcterms:modified>
</cp:coreProperties>
</file>