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barreto\Desktop\PROCESO GESTION DOCUMENTAL\"/>
    </mc:Choice>
  </mc:AlternateContent>
  <bookViews>
    <workbookView xWindow="0" yWindow="0" windowWidth="20490" windowHeight="5850"/>
  </bookViews>
  <sheets>
    <sheet name="EPRECIOS" sheetId="8" r:id="rId1"/>
    <sheet name="EPRECIOS MENSUAL" sheetId="5" state="hidden" r:id="rId2"/>
    <sheet name="EPRECIOS ANUAL" sheetId="9" state="hidden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7" i="8" l="1"/>
  <c r="B40" i="8"/>
  <c r="B41" i="8" s="1"/>
  <c r="B42" i="8" s="1"/>
  <c r="B43" i="8" s="1"/>
  <c r="B44" i="8" s="1"/>
  <c r="B29" i="8"/>
  <c r="B30" i="8" s="1"/>
  <c r="B31" i="8" s="1"/>
  <c r="B32" i="8" s="1"/>
  <c r="B33" i="8" s="1"/>
  <c r="B18" i="8"/>
  <c r="B19" i="8" s="1"/>
  <c r="B20" i="8" s="1"/>
  <c r="B21" i="8" s="1"/>
  <c r="B22" i="8" s="1"/>
  <c r="L7" i="9"/>
  <c r="J12" i="9"/>
  <c r="K12" i="9" s="1"/>
  <c r="J11" i="9"/>
  <c r="L11" i="9" s="1"/>
  <c r="J10" i="9"/>
  <c r="L10" i="9" s="1"/>
  <c r="J9" i="9"/>
  <c r="L9" i="9" s="1"/>
  <c r="J8" i="9"/>
  <c r="K8" i="9" s="1"/>
  <c r="J7" i="9"/>
  <c r="K7" i="9" s="1"/>
  <c r="B7" i="9"/>
  <c r="B8" i="9" s="1"/>
  <c r="B9" i="9" s="1"/>
  <c r="B10" i="9" s="1"/>
  <c r="B11" i="9" s="1"/>
  <c r="B12" i="9" s="1"/>
  <c r="K3" i="9"/>
  <c r="J12" i="8"/>
  <c r="I12" i="8"/>
  <c r="H12" i="8"/>
  <c r="G12" i="8"/>
  <c r="J11" i="8"/>
  <c r="I11" i="8"/>
  <c r="H11" i="8"/>
  <c r="G11" i="8"/>
  <c r="J10" i="8"/>
  <c r="I10" i="8"/>
  <c r="H10" i="8"/>
  <c r="G10" i="8"/>
  <c r="J9" i="8"/>
  <c r="I9" i="8"/>
  <c r="H9" i="8"/>
  <c r="G9" i="8"/>
  <c r="B9" i="8"/>
  <c r="B10" i="8" s="1"/>
  <c r="B11" i="8" s="1"/>
  <c r="B12" i="8" s="1"/>
  <c r="J8" i="8"/>
  <c r="I8" i="8"/>
  <c r="H8" i="8"/>
  <c r="G8" i="8"/>
  <c r="B8" i="8"/>
  <c r="J7" i="8"/>
  <c r="I7" i="8"/>
  <c r="H7" i="8"/>
  <c r="G7" i="8"/>
  <c r="K10" i="8" l="1"/>
  <c r="K12" i="8"/>
  <c r="K8" i="8"/>
  <c r="K7" i="8"/>
  <c r="O7" i="9"/>
  <c r="K11" i="9"/>
  <c r="M10" i="9"/>
  <c r="N10" i="9" s="1"/>
  <c r="O10" i="9"/>
  <c r="O9" i="9"/>
  <c r="M9" i="9"/>
  <c r="N9" i="9" s="1"/>
  <c r="O11" i="9"/>
  <c r="M11" i="9"/>
  <c r="N11" i="9" s="1"/>
  <c r="K9" i="9"/>
  <c r="L12" i="9"/>
  <c r="K10" i="9"/>
  <c r="L8" i="9"/>
  <c r="K11" i="8"/>
  <c r="K9" i="8"/>
  <c r="L11" i="8" l="1"/>
  <c r="G21" i="8"/>
  <c r="L10" i="8"/>
  <c r="G20" i="8"/>
  <c r="L7" i="8"/>
  <c r="G17" i="8"/>
  <c r="L9" i="8"/>
  <c r="G19" i="8"/>
  <c r="L12" i="8"/>
  <c r="G22" i="8"/>
  <c r="L8" i="8"/>
  <c r="G18" i="8"/>
  <c r="K13" i="9"/>
  <c r="M8" i="9"/>
  <c r="N8" i="9" s="1"/>
  <c r="O8" i="9"/>
  <c r="M7" i="9"/>
  <c r="P9" i="9"/>
  <c r="Q9" i="9" s="1"/>
  <c r="R9" i="9"/>
  <c r="S9" i="9" s="1"/>
  <c r="T9" i="9" s="1"/>
  <c r="P11" i="9"/>
  <c r="Q11" i="9" s="1"/>
  <c r="R11" i="9"/>
  <c r="S11" i="9" s="1"/>
  <c r="T11" i="9" s="1"/>
  <c r="R10" i="9"/>
  <c r="S10" i="9" s="1"/>
  <c r="T10" i="9" s="1"/>
  <c r="P10" i="9"/>
  <c r="Q10" i="9" s="1"/>
  <c r="O12" i="9"/>
  <c r="M12" i="9"/>
  <c r="N12" i="9" s="1"/>
  <c r="H21" i="8" l="1"/>
  <c r="G32" i="8"/>
  <c r="H19" i="8"/>
  <c r="G30" i="8"/>
  <c r="H17" i="8"/>
  <c r="G28" i="8"/>
  <c r="H18" i="8"/>
  <c r="H23" i="8" s="1"/>
  <c r="G29" i="8"/>
  <c r="H20" i="8"/>
  <c r="G31" i="8"/>
  <c r="H22" i="8"/>
  <c r="G33" i="8"/>
  <c r="L13" i="8"/>
  <c r="N7" i="9"/>
  <c r="N13" i="9" s="1"/>
  <c r="M13" i="9"/>
  <c r="R12" i="9"/>
  <c r="S12" i="9" s="1"/>
  <c r="T12" i="9" s="1"/>
  <c r="P12" i="9"/>
  <c r="Q12" i="9" s="1"/>
  <c r="R8" i="9"/>
  <c r="S8" i="9" s="1"/>
  <c r="T8" i="9" s="1"/>
  <c r="P8" i="9"/>
  <c r="Q8" i="9" s="1"/>
  <c r="R7" i="9"/>
  <c r="S7" i="9" s="1"/>
  <c r="P7" i="9"/>
  <c r="H29" i="8" l="1"/>
  <c r="G40" i="8"/>
  <c r="H40" i="8" s="1"/>
  <c r="G42" i="8"/>
  <c r="H42" i="8" s="1"/>
  <c r="H31" i="8"/>
  <c r="G43" i="8"/>
  <c r="H43" i="8" s="1"/>
  <c r="H32" i="8"/>
  <c r="H28" i="8"/>
  <c r="H34" i="8" s="1"/>
  <c r="G39" i="8"/>
  <c r="H39" i="8" s="1"/>
  <c r="H45" i="8" s="1"/>
  <c r="H30" i="8"/>
  <c r="G41" i="8"/>
  <c r="H41" i="8" s="1"/>
  <c r="H33" i="8"/>
  <c r="G44" i="8"/>
  <c r="H44" i="8" s="1"/>
  <c r="Q7" i="9"/>
  <c r="Q13" i="9" s="1"/>
  <c r="P13" i="9"/>
  <c r="T7" i="9"/>
  <c r="T13" i="9" s="1"/>
  <c r="S13" i="9"/>
  <c r="Q12" i="5"/>
  <c r="P12" i="5"/>
  <c r="N12" i="5"/>
  <c r="O12" i="5" s="1"/>
  <c r="L12" i="5"/>
  <c r="M12" i="5" s="1"/>
  <c r="J12" i="5"/>
  <c r="K12" i="5" s="1"/>
  <c r="Q11" i="5"/>
  <c r="P11" i="5"/>
  <c r="R11" i="5" s="1"/>
  <c r="N11" i="5"/>
  <c r="O11" i="5" s="1"/>
  <c r="L11" i="5"/>
  <c r="M11" i="5" s="1"/>
  <c r="J11" i="5"/>
  <c r="Q10" i="5"/>
  <c r="P10" i="5"/>
  <c r="N10" i="5"/>
  <c r="O10" i="5" s="1"/>
  <c r="L10" i="5"/>
  <c r="M10" i="5" s="1"/>
  <c r="J10" i="5"/>
  <c r="K10" i="5" s="1"/>
  <c r="Q9" i="5"/>
  <c r="P9" i="5"/>
  <c r="N9" i="5"/>
  <c r="O9" i="5" s="1"/>
  <c r="L9" i="5"/>
  <c r="M9" i="5" s="1"/>
  <c r="J9" i="5"/>
  <c r="Q8" i="5"/>
  <c r="P8" i="5"/>
  <c r="N8" i="5"/>
  <c r="O8" i="5" s="1"/>
  <c r="L8" i="5"/>
  <c r="M8" i="5" s="1"/>
  <c r="J8" i="5"/>
  <c r="K8" i="5" s="1"/>
  <c r="Q7" i="5"/>
  <c r="P7" i="5"/>
  <c r="N7" i="5"/>
  <c r="O7" i="5" s="1"/>
  <c r="L7" i="5"/>
  <c r="M7" i="5" s="1"/>
  <c r="J7" i="5"/>
  <c r="K7" i="5" s="1"/>
  <c r="B7" i="5"/>
  <c r="B8" i="5" s="1"/>
  <c r="B9" i="5" s="1"/>
  <c r="B10" i="5" s="1"/>
  <c r="B11" i="5" s="1"/>
  <c r="B12" i="5" s="1"/>
  <c r="K3" i="5"/>
  <c r="R8" i="5" l="1"/>
  <c r="R12" i="5"/>
  <c r="R9" i="5"/>
  <c r="R10" i="5"/>
  <c r="R7" i="5"/>
  <c r="M13" i="5"/>
  <c r="O13" i="5"/>
  <c r="K9" i="5"/>
  <c r="K11" i="5"/>
  <c r="K13" i="5" l="1"/>
</calcChain>
</file>

<file path=xl/sharedStrings.xml><?xml version="1.0" encoding="utf-8"?>
<sst xmlns="http://schemas.openxmlformats.org/spreadsheetml/2006/main" count="208" uniqueCount="58">
  <si>
    <t xml:space="preserve">ESTUDIO PRECIOS DE MERCADO </t>
  </si>
  <si>
    <t>Fecha Elaboración</t>
  </si>
  <si>
    <t>PROMEDIO</t>
  </si>
  <si>
    <t>ÍTEM</t>
  </si>
  <si>
    <t>DESCRIPCIÓN DEL BIEN O SERVICIO</t>
  </si>
  <si>
    <t>UNIDAD</t>
  </si>
  <si>
    <t xml:space="preserve">CANTIDAD </t>
  </si>
  <si>
    <t>VR. UNITARIO
(IVA INCLUIDO)</t>
  </si>
  <si>
    <t>VR. TOTAL 
(IVA INCLUIDO)</t>
  </si>
  <si>
    <t>VALOR TOTAL IVA INCLUIDO</t>
  </si>
  <si>
    <t>**NOTA**</t>
  </si>
  <si>
    <t>Los valores monetarios deben ser expresados en moneda legal colombiana sin decimales (centavos)</t>
  </si>
  <si>
    <t>Elaboró:</t>
  </si>
  <si>
    <t>Gxxxx Xxxxxxoa</t>
  </si>
  <si>
    <t>Aprobó:</t>
  </si>
  <si>
    <t>El presente Estudio tendrá una vigencia de 30 días calendario a partir de la fecha de aprobación.</t>
  </si>
  <si>
    <t xml:space="preserve">Área deXXXXX </t>
  </si>
  <si>
    <t>VR. MENSUAL OFICIAL
(IVA INCLUIDO)</t>
  </si>
  <si>
    <t>SUPERINTENDENCIA DE INDUSTRIA Y COMERCIO</t>
  </si>
  <si>
    <t>PVU</t>
  </si>
  <si>
    <t>MEDIA ARMÓNICA</t>
  </si>
  <si>
    <t>MEDIANA</t>
  </si>
  <si>
    <t>VR. UNITARIO OFICIAL
(IVA INCLUIDO)</t>
  </si>
  <si>
    <t>RAZÓN SOCIAL 
COTIZANTES:</t>
  </si>
  <si>
    <t>Responsable Estudio de Mercado
 (Nombre y Cargo)</t>
  </si>
  <si>
    <t>Grupo de Trabajo Gestión Documental y Archivo</t>
  </si>
  <si>
    <t>Área de Secretaria General</t>
  </si>
  <si>
    <t>Auxiliar</t>
  </si>
  <si>
    <t>Técnico 1</t>
  </si>
  <si>
    <t>Mensajero moto y carro</t>
  </si>
  <si>
    <t>Técnico 2 (corresponencia)</t>
  </si>
  <si>
    <t>Tecnólogo</t>
  </si>
  <si>
    <t xml:space="preserve">MAX </t>
  </si>
  <si>
    <t>MIN</t>
  </si>
  <si>
    <t>DATAFILE</t>
  </si>
  <si>
    <t>AMERICAN KPO</t>
  </si>
  <si>
    <t>Técnico 2 Archivo</t>
  </si>
  <si>
    <t>IQ OUTSOURCING</t>
  </si>
  <si>
    <t>THOMAS GREG &amp; SONS</t>
  </si>
  <si>
    <t>DIAS</t>
  </si>
  <si>
    <t>VR. UNITARIO DIA
(IVA INCLUIDO)</t>
  </si>
  <si>
    <t>VR. DIA OFICIAL
(IVA INCLUIDO)</t>
  </si>
  <si>
    <t>VR. TOTAL DIA
(IVA INCLUIDO)</t>
  </si>
  <si>
    <t xml:space="preserve"> </t>
  </si>
  <si>
    <t xml:space="preserve">Angela Milena Cuellar
</t>
  </si>
  <si>
    <t>PROYECCIÓN A 12 MESES</t>
  </si>
  <si>
    <t>PROYECCIÓN AÑO 2023</t>
  </si>
  <si>
    <t>PROYECCIÓN AÑO 2024</t>
  </si>
  <si>
    <t>PROYECCIÓN AÑO 2025</t>
  </si>
  <si>
    <t xml:space="preserve"> En cumplimiento con lo señalado en el inciso tercero del Artículo 29 de la Ley 80 de 1993  y al resultado de la anterior evaluación, ésta Área toma como  valor aproximado de precio de mercado la suma de: $364.278.957</t>
  </si>
  <si>
    <t xml:space="preserve">MESES </t>
  </si>
  <si>
    <t>VR UNITARIO MENSUAL</t>
  </si>
  <si>
    <t>VR. TOTAL ANUAL</t>
  </si>
  <si>
    <t>TOTAL AÑO 2023 IVA INCLUIDO</t>
  </si>
  <si>
    <t>TOTAL AÑO 2024 IVA INCLUIDO</t>
  </si>
  <si>
    <t>TOTAL IVA INCLUIDO</t>
  </si>
  <si>
    <t>VALOR TOTAL IVA INCLUIDO  (13 DÍAS MES DE DICIEMBRE 2022)</t>
  </si>
  <si>
    <t>13 DIAS MES DICIEMBRE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</si>
</sst>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$-240A]\ * #,##0.00_-;\-[$$-240A]\ * #,##0.00_-;_-[$$-240A]\ * &quot;-&quot;??_-;_-@_-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0"/>
      <name val="Arial"/>
      <family val="2"/>
    </font>
    <font>
      <b/>
      <sz val="11"/>
      <color rgb="FFC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theme="7" tint="0.39997558519241921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 style="thin">
        <color theme="7" tint="0.39997558519241921"/>
      </right>
      <top style="thin">
        <color rgb="FFFFC000"/>
      </top>
      <bottom style="thin">
        <color rgb="FFFFC000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7" tint="0.39997558519241921"/>
      </left>
      <right style="thin">
        <color theme="7" tint="0.39997558519241921"/>
      </right>
      <top style="thin">
        <color theme="7" tint="0.39997558519241921"/>
      </top>
      <bottom/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/>
      <diagonal/>
    </border>
    <border>
      <left style="thin">
        <color theme="7" tint="0.39997558519241921"/>
      </left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 style="thin">
        <color theme="7" tint="0.39997558519241921"/>
      </right>
      <top style="thin">
        <color rgb="FFFFC000"/>
      </top>
      <bottom/>
      <diagonal/>
    </border>
    <border>
      <left style="thin">
        <color rgb="FFFFC000"/>
      </left>
      <right style="thin">
        <color indexed="64"/>
      </right>
      <top style="thin">
        <color rgb="FFFFC000"/>
      </top>
      <bottom style="thin">
        <color rgb="FFFFC000"/>
      </bottom>
      <diagonal/>
    </border>
    <border>
      <left style="thin">
        <color indexed="64"/>
      </left>
      <right style="thin">
        <color indexed="64"/>
      </right>
      <top style="thin">
        <color rgb="FFFFC000"/>
      </top>
      <bottom style="thin">
        <color rgb="FFFFC000"/>
      </bottom>
      <diagonal/>
    </border>
    <border>
      <left style="thin">
        <color indexed="64"/>
      </left>
      <right/>
      <top style="thin">
        <color rgb="FFFFC000"/>
      </top>
      <bottom style="thin">
        <color rgb="FFFFC000"/>
      </bottom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2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7" fillId="0" borderId="13" xfId="0" applyFont="1" applyBorder="1"/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14" xfId="0" applyFont="1" applyBorder="1"/>
    <xf numFmtId="0" fontId="5" fillId="0" borderId="11" xfId="0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0" fontId="7" fillId="0" borderId="15" xfId="0" applyFont="1" applyBorder="1"/>
    <xf numFmtId="0" fontId="7" fillId="0" borderId="16" xfId="0" applyFont="1" applyBorder="1" applyAlignment="1">
      <alignment wrapText="1"/>
    </xf>
    <xf numFmtId="0" fontId="7" fillId="0" borderId="15" xfId="0" applyFont="1" applyBorder="1" applyAlignment="1">
      <alignment vertical="top" wrapText="1"/>
    </xf>
    <xf numFmtId="0" fontId="5" fillId="0" borderId="18" xfId="0" applyFont="1" applyBorder="1" applyAlignment="1">
      <alignment horizontal="center" vertical="center"/>
    </xf>
    <xf numFmtId="0" fontId="7" fillId="0" borderId="17" xfId="0" applyFont="1" applyBorder="1"/>
    <xf numFmtId="164" fontId="5" fillId="0" borderId="0" xfId="0" applyNumberFormat="1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10" fontId="8" fillId="0" borderId="0" xfId="2" applyNumberFormat="1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164" fontId="5" fillId="0" borderId="1" xfId="0" applyNumberFormat="1" applyFont="1" applyBorder="1"/>
    <xf numFmtId="164" fontId="4" fillId="0" borderId="23" xfId="0" applyNumberFormat="1" applyFont="1" applyBorder="1" applyAlignment="1">
      <alignment horizontal="center" vertical="center"/>
    </xf>
    <xf numFmtId="164" fontId="5" fillId="0" borderId="0" xfId="0" applyNumberFormat="1" applyFont="1"/>
    <xf numFmtId="0" fontId="4" fillId="0" borderId="0" xfId="0" applyFont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top" wrapText="1"/>
    </xf>
    <xf numFmtId="0" fontId="6" fillId="0" borderId="0" xfId="1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rcentaje" xfId="2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</xdr:colOff>
      <xdr:row>4</xdr:row>
      <xdr:rowOff>142876</xdr:rowOff>
    </xdr:from>
    <xdr:to>
      <xdr:col>3</xdr:col>
      <xdr:colOff>314325</xdr:colOff>
      <xdr:row>4</xdr:row>
      <xdr:rowOff>581025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8521E955-AA93-4E13-9C2D-BF54FD351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904876"/>
          <a:ext cx="2209800" cy="438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1163955</xdr:colOff>
      <xdr:row>4</xdr:row>
      <xdr:rowOff>11431</xdr:rowOff>
    </xdr:from>
    <xdr:to>
      <xdr:col>2</xdr:col>
      <xdr:colOff>2211705</xdr:colOff>
      <xdr:row>4</xdr:row>
      <xdr:rowOff>565785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BDD78523-2FD6-481B-BF10-D7370B4CE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1655" y="742951"/>
          <a:ext cx="2244090" cy="5543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1163955</xdr:colOff>
      <xdr:row>4</xdr:row>
      <xdr:rowOff>11431</xdr:rowOff>
    </xdr:from>
    <xdr:to>
      <xdr:col>2</xdr:col>
      <xdr:colOff>2211705</xdr:colOff>
      <xdr:row>4</xdr:row>
      <xdr:rowOff>565785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2FE88251-E55D-4C0E-A032-2FA308C5B8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605" y="773431"/>
          <a:ext cx="2209800" cy="5543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L64"/>
  <sheetViews>
    <sheetView showGridLines="0" tabSelected="1" topLeftCell="A34" workbookViewId="0">
      <selection activeCell="L4" sqref="L4"/>
    </sheetView>
  </sheetViews>
  <sheetFormatPr baseColWidth="10" defaultColWidth="17.42578125" defaultRowHeight="15" x14ac:dyDescent="0.2"/>
  <cols>
    <col min="1" max="1" width="2.5703125" style="4" customWidth="1"/>
    <col min="2" max="2" width="9" style="4" customWidth="1"/>
    <col min="3" max="3" width="26.5703125" style="4" bestFit="1" customWidth="1"/>
    <col min="4" max="5" width="9.7109375" style="4" bestFit="1" customWidth="1"/>
    <col min="6" max="6" width="9.28515625" style="4" customWidth="1"/>
    <col min="7" max="7" width="16.5703125" style="4" customWidth="1"/>
    <col min="8" max="8" width="19.28515625" style="4" bestFit="1" customWidth="1"/>
    <col min="9" max="9" width="18.140625" style="4" customWidth="1"/>
    <col min="10" max="10" width="20.42578125" style="4" customWidth="1"/>
    <col min="11" max="11" width="20.7109375" style="4" customWidth="1"/>
    <col min="12" max="12" width="22.28515625" style="4" customWidth="1"/>
    <col min="13" max="16384" width="17.42578125" style="4"/>
  </cols>
  <sheetData>
    <row r="1" spans="2:12" x14ac:dyDescent="0.2">
      <c r="B1" s="48" t="s">
        <v>18</v>
      </c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2:12" x14ac:dyDescent="0.2">
      <c r="B2" s="48" t="s">
        <v>0</v>
      </c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2:12" x14ac:dyDescent="0.2">
      <c r="K3" s="5" t="s">
        <v>1</v>
      </c>
      <c r="L3" s="6">
        <v>44840</v>
      </c>
    </row>
    <row r="4" spans="2:12" x14ac:dyDescent="0.2">
      <c r="B4" s="47" t="s">
        <v>57</v>
      </c>
      <c r="C4" s="47"/>
      <c r="D4" s="47"/>
      <c r="E4" s="47"/>
      <c r="F4" s="47"/>
      <c r="G4" s="47"/>
      <c r="H4" s="47"/>
    </row>
    <row r="5" spans="2:12" s="1" customFormat="1" ht="48" customHeight="1" x14ac:dyDescent="0.2">
      <c r="D5" s="52" t="s">
        <v>23</v>
      </c>
      <c r="E5" s="53"/>
      <c r="F5" s="28"/>
      <c r="G5" s="11" t="s">
        <v>34</v>
      </c>
      <c r="H5" s="11" t="s">
        <v>35</v>
      </c>
      <c r="I5" s="11" t="s">
        <v>38</v>
      </c>
      <c r="J5" s="11" t="s">
        <v>37</v>
      </c>
      <c r="K5" s="54" t="s">
        <v>2</v>
      </c>
      <c r="L5" s="54"/>
    </row>
    <row r="6" spans="2:12" s="1" customFormat="1" ht="24" x14ac:dyDescent="0.2">
      <c r="B6" s="2" t="s">
        <v>3</v>
      </c>
      <c r="C6" s="2" t="s">
        <v>4</v>
      </c>
      <c r="D6" s="2" t="s">
        <v>5</v>
      </c>
      <c r="E6" s="11" t="s">
        <v>6</v>
      </c>
      <c r="F6" s="11" t="s">
        <v>39</v>
      </c>
      <c r="G6" s="11" t="s">
        <v>40</v>
      </c>
      <c r="H6" s="11" t="s">
        <v>40</v>
      </c>
      <c r="I6" s="11" t="s">
        <v>40</v>
      </c>
      <c r="J6" s="11" t="s">
        <v>40</v>
      </c>
      <c r="K6" s="11" t="s">
        <v>41</v>
      </c>
      <c r="L6" s="11" t="s">
        <v>42</v>
      </c>
    </row>
    <row r="7" spans="2:12" x14ac:dyDescent="0.25">
      <c r="B7" s="7">
        <v>1</v>
      </c>
      <c r="C7" s="14" t="s">
        <v>27</v>
      </c>
      <c r="D7" s="7" t="s">
        <v>19</v>
      </c>
      <c r="E7" s="7">
        <v>73</v>
      </c>
      <c r="F7" s="7">
        <v>13</v>
      </c>
      <c r="G7" s="8">
        <f>ROUND(3270967/30,0)</f>
        <v>109032</v>
      </c>
      <c r="H7" s="8">
        <f>ROUND(3341197/30,0)</f>
        <v>111373</v>
      </c>
      <c r="I7" s="8">
        <f>ROUND(3808000/30,0)</f>
        <v>126933</v>
      </c>
      <c r="J7" s="8">
        <f>ROUND(4276327/30,0)</f>
        <v>142544</v>
      </c>
      <c r="K7" s="8">
        <f>IF(E7=$A$1,"",ROUND(AVERAGE(G7:J7),0))</f>
        <v>122471</v>
      </c>
      <c r="L7" s="8">
        <f t="shared" ref="L7:L12" si="0">IF(E7=$A$1,"",ROUND((E7*K7),0)*F7)</f>
        <v>116224979</v>
      </c>
    </row>
    <row r="8" spans="2:12" x14ac:dyDescent="0.25">
      <c r="B8" s="7">
        <f>B7+1</f>
        <v>2</v>
      </c>
      <c r="C8" s="17" t="s">
        <v>28</v>
      </c>
      <c r="D8" s="7" t="s">
        <v>19</v>
      </c>
      <c r="E8" s="7">
        <v>5</v>
      </c>
      <c r="F8" s="7">
        <v>13</v>
      </c>
      <c r="G8" s="8">
        <f>ROUND(4385114/30,0)</f>
        <v>146170</v>
      </c>
      <c r="H8" s="8">
        <f>ROUND(3646158/30,0)</f>
        <v>121539</v>
      </c>
      <c r="I8" s="8">
        <f>ROUND(4403000/30,0)</f>
        <v>146767</v>
      </c>
      <c r="J8" s="8">
        <f>ROUND(4524526/30,0)</f>
        <v>150818</v>
      </c>
      <c r="K8" s="8">
        <f>IF(E8=$A$1,"",ROUND(AVERAGE(G8:J8),0))</f>
        <v>141324</v>
      </c>
      <c r="L8" s="8">
        <f t="shared" si="0"/>
        <v>9186060</v>
      </c>
    </row>
    <row r="9" spans="2:12" x14ac:dyDescent="0.25">
      <c r="B9" s="7">
        <f t="shared" ref="B9:B12" si="1">B8+1</f>
        <v>3</v>
      </c>
      <c r="C9" s="20" t="s">
        <v>36</v>
      </c>
      <c r="D9" s="7" t="s">
        <v>19</v>
      </c>
      <c r="E9" s="7">
        <v>9</v>
      </c>
      <c r="F9" s="7">
        <v>13</v>
      </c>
      <c r="G9" s="8">
        <f>ROUND(5220725/30,0)</f>
        <v>174024</v>
      </c>
      <c r="H9" s="8">
        <f>ROUND(4083659/30,0)</f>
        <v>136122</v>
      </c>
      <c r="I9" s="8">
        <f>ROUND(4403000/30,0)</f>
        <v>146767</v>
      </c>
      <c r="J9" s="8">
        <f>ROUND(4667326/30,0)</f>
        <v>155578</v>
      </c>
      <c r="K9" s="8">
        <f>IF($E9=$A$1,"",ROUND(AVERAGE(G9:J9),0))</f>
        <v>153123</v>
      </c>
      <c r="L9" s="8">
        <f t="shared" si="0"/>
        <v>17915391</v>
      </c>
    </row>
    <row r="10" spans="2:12" x14ac:dyDescent="0.25">
      <c r="B10" s="7">
        <f t="shared" si="1"/>
        <v>4</v>
      </c>
      <c r="C10" s="21" t="s">
        <v>29</v>
      </c>
      <c r="D10" s="7" t="s">
        <v>19</v>
      </c>
      <c r="E10" s="7">
        <v>3</v>
      </c>
      <c r="F10" s="7">
        <v>13</v>
      </c>
      <c r="G10" s="8">
        <f>ROUND(7126305/30,0)</f>
        <v>237544</v>
      </c>
      <c r="H10" s="8">
        <f>ROUND(4418264/30,0)</f>
        <v>147275</v>
      </c>
      <c r="I10" s="8">
        <f>ROUND(3808000/30,0)</f>
        <v>126933</v>
      </c>
      <c r="J10" s="8">
        <f>ROUND(4276327/30,0)</f>
        <v>142544</v>
      </c>
      <c r="K10" s="8">
        <f>IF($E10=$A$1,"",ROUND(AVERAGE(G10:J10),0))</f>
        <v>163574</v>
      </c>
      <c r="L10" s="8">
        <f t="shared" si="0"/>
        <v>6379386</v>
      </c>
    </row>
    <row r="11" spans="2:12" x14ac:dyDescent="0.2">
      <c r="B11" s="7">
        <f t="shared" si="1"/>
        <v>5</v>
      </c>
      <c r="C11" s="22" t="s">
        <v>30</v>
      </c>
      <c r="D11" s="7" t="s">
        <v>19</v>
      </c>
      <c r="E11" s="7">
        <v>3</v>
      </c>
      <c r="F11" s="7">
        <v>13</v>
      </c>
      <c r="G11" s="8">
        <f>ROUND(5220725/30,0)</f>
        <v>174024</v>
      </c>
      <c r="H11" s="8">
        <f>ROUND(4083659/30,0)</f>
        <v>136122</v>
      </c>
      <c r="I11" s="8">
        <f>ROUND(4403000/30,0)</f>
        <v>146767</v>
      </c>
      <c r="J11" s="8">
        <f>ROUND(4861126/30,0)</f>
        <v>162038</v>
      </c>
      <c r="K11" s="8">
        <f>IF($E11=$A$1,"",ROUND(AVERAGE(G11:J11),0))</f>
        <v>154738</v>
      </c>
      <c r="L11" s="8">
        <f t="shared" si="0"/>
        <v>6034782</v>
      </c>
    </row>
    <row r="12" spans="2:12" x14ac:dyDescent="0.25">
      <c r="B12" s="7">
        <f t="shared" si="1"/>
        <v>6</v>
      </c>
      <c r="C12" s="24" t="s">
        <v>31</v>
      </c>
      <c r="D12" s="7" t="s">
        <v>19</v>
      </c>
      <c r="E12" s="18">
        <v>1</v>
      </c>
      <c r="F12" s="7">
        <v>13</v>
      </c>
      <c r="G12" s="19">
        <f>ROUND(5220725/30,0)</f>
        <v>174024</v>
      </c>
      <c r="H12" s="19">
        <f>ROUND(4302528/30,0)</f>
        <v>143418</v>
      </c>
      <c r="I12" s="19">
        <f>ROUND(4879000/30,0)</f>
        <v>162633</v>
      </c>
      <c r="J12" s="19">
        <f>ROUND(5111026/30,0)</f>
        <v>170368</v>
      </c>
      <c r="K12" s="8">
        <f>IF($E12=$A$1,"",ROUND(AVERAGE(G12:J12),0))</f>
        <v>162611</v>
      </c>
      <c r="L12" s="8">
        <f t="shared" si="0"/>
        <v>2113943</v>
      </c>
    </row>
    <row r="13" spans="2:12" ht="12.75" customHeight="1" x14ac:dyDescent="0.2">
      <c r="B13" s="47" t="s">
        <v>56</v>
      </c>
      <c r="C13" s="47"/>
      <c r="D13" s="47"/>
      <c r="E13" s="47"/>
      <c r="F13" s="47"/>
      <c r="G13" s="47"/>
      <c r="H13" s="47"/>
      <c r="I13" s="47"/>
      <c r="J13" s="47"/>
      <c r="K13" s="47"/>
      <c r="L13" s="9">
        <f>SUM(L7:L12)</f>
        <v>157854541</v>
      </c>
    </row>
    <row r="15" spans="2:12" x14ac:dyDescent="0.2">
      <c r="B15" s="47" t="s">
        <v>46</v>
      </c>
      <c r="C15" s="47"/>
      <c r="D15" s="47"/>
      <c r="E15" s="47"/>
      <c r="F15" s="47"/>
      <c r="G15" s="47"/>
      <c r="H15" s="47"/>
    </row>
    <row r="16" spans="2:12" ht="24" x14ac:dyDescent="0.2">
      <c r="B16" s="2" t="s">
        <v>3</v>
      </c>
      <c r="C16" s="2" t="s">
        <v>4</v>
      </c>
      <c r="D16" s="2" t="s">
        <v>5</v>
      </c>
      <c r="E16" s="11" t="s">
        <v>6</v>
      </c>
      <c r="F16" s="11" t="s">
        <v>50</v>
      </c>
      <c r="G16" s="11" t="s">
        <v>51</v>
      </c>
      <c r="H16" s="11" t="s">
        <v>52</v>
      </c>
    </row>
    <row r="17" spans="2:8" x14ac:dyDescent="0.25">
      <c r="B17" s="7">
        <v>1</v>
      </c>
      <c r="C17" s="35" t="s">
        <v>27</v>
      </c>
      <c r="D17" s="7" t="s">
        <v>19</v>
      </c>
      <c r="E17" s="7">
        <v>73</v>
      </c>
      <c r="F17" s="7">
        <v>12</v>
      </c>
      <c r="G17" s="8">
        <f>ROUND(((K7*30)*1.03),0)</f>
        <v>3784354</v>
      </c>
      <c r="H17" s="8">
        <f>E17*F17*G17</f>
        <v>3315094104</v>
      </c>
    </row>
    <row r="18" spans="2:8" x14ac:dyDescent="0.25">
      <c r="B18" s="7">
        <f>B17+1</f>
        <v>2</v>
      </c>
      <c r="C18" s="35" t="s">
        <v>28</v>
      </c>
      <c r="D18" s="7" t="s">
        <v>19</v>
      </c>
      <c r="E18" s="7">
        <v>5</v>
      </c>
      <c r="F18" s="7">
        <v>12</v>
      </c>
      <c r="G18" s="8">
        <f t="shared" ref="G18:G22" si="2">ROUND(((K8*30)*1.03),0)</f>
        <v>4366912</v>
      </c>
      <c r="H18" s="8">
        <f t="shared" ref="H18:H22" si="3">E18*F18*G18</f>
        <v>262014720</v>
      </c>
    </row>
    <row r="19" spans="2:8" x14ac:dyDescent="0.25">
      <c r="B19" s="7">
        <f t="shared" ref="B19:B22" si="4">B18+1</f>
        <v>3</v>
      </c>
      <c r="C19" s="35" t="s">
        <v>36</v>
      </c>
      <c r="D19" s="7" t="s">
        <v>19</v>
      </c>
      <c r="E19" s="7">
        <v>9</v>
      </c>
      <c r="F19" s="7">
        <v>12</v>
      </c>
      <c r="G19" s="8">
        <f t="shared" si="2"/>
        <v>4731501</v>
      </c>
      <c r="H19" s="8">
        <f t="shared" si="3"/>
        <v>511002108</v>
      </c>
    </row>
    <row r="20" spans="2:8" x14ac:dyDescent="0.25">
      <c r="B20" s="7">
        <f t="shared" si="4"/>
        <v>4</v>
      </c>
      <c r="C20" s="36" t="s">
        <v>29</v>
      </c>
      <c r="D20" s="7" t="s">
        <v>19</v>
      </c>
      <c r="E20" s="7">
        <v>3</v>
      </c>
      <c r="F20" s="7">
        <v>12</v>
      </c>
      <c r="G20" s="8">
        <f t="shared" si="2"/>
        <v>5054437</v>
      </c>
      <c r="H20" s="8">
        <f t="shared" si="3"/>
        <v>181959732</v>
      </c>
    </row>
    <row r="21" spans="2:8" x14ac:dyDescent="0.2">
      <c r="B21" s="7">
        <f t="shared" si="4"/>
        <v>5</v>
      </c>
      <c r="C21" s="37" t="s">
        <v>30</v>
      </c>
      <c r="D21" s="7" t="s">
        <v>19</v>
      </c>
      <c r="E21" s="7">
        <v>3</v>
      </c>
      <c r="F21" s="7">
        <v>12</v>
      </c>
      <c r="G21" s="8">
        <f t="shared" si="2"/>
        <v>4781404</v>
      </c>
      <c r="H21" s="8">
        <f t="shared" si="3"/>
        <v>172130544</v>
      </c>
    </row>
    <row r="22" spans="2:8" x14ac:dyDescent="0.25">
      <c r="B22" s="7">
        <f t="shared" si="4"/>
        <v>6</v>
      </c>
      <c r="C22" s="35" t="s">
        <v>31</v>
      </c>
      <c r="D22" s="7" t="s">
        <v>19</v>
      </c>
      <c r="E22" s="7">
        <v>1</v>
      </c>
      <c r="F22" s="7">
        <v>12</v>
      </c>
      <c r="G22" s="8">
        <f t="shared" si="2"/>
        <v>5024680</v>
      </c>
      <c r="H22" s="8">
        <f t="shared" si="3"/>
        <v>60296160</v>
      </c>
    </row>
    <row r="23" spans="2:8" x14ac:dyDescent="0.2">
      <c r="B23" s="47" t="s">
        <v>53</v>
      </c>
      <c r="C23" s="47"/>
      <c r="D23" s="47"/>
      <c r="E23" s="47"/>
      <c r="F23" s="47"/>
      <c r="G23" s="47"/>
      <c r="H23" s="9">
        <f>SUM(H17:H22)</f>
        <v>4502497368</v>
      </c>
    </row>
    <row r="26" spans="2:8" x14ac:dyDescent="0.2">
      <c r="B26" s="47" t="s">
        <v>47</v>
      </c>
      <c r="C26" s="47"/>
      <c r="D26" s="47"/>
      <c r="E26" s="47"/>
      <c r="F26" s="47"/>
      <c r="G26" s="47"/>
      <c r="H26" s="47"/>
    </row>
    <row r="27" spans="2:8" ht="24" x14ac:dyDescent="0.2">
      <c r="B27" s="2" t="s">
        <v>3</v>
      </c>
      <c r="C27" s="2" t="s">
        <v>4</v>
      </c>
      <c r="D27" s="2" t="s">
        <v>5</v>
      </c>
      <c r="E27" s="11" t="s">
        <v>6</v>
      </c>
      <c r="F27" s="11" t="s">
        <v>50</v>
      </c>
      <c r="G27" s="11" t="s">
        <v>51</v>
      </c>
      <c r="H27" s="11" t="s">
        <v>52</v>
      </c>
    </row>
    <row r="28" spans="2:8" x14ac:dyDescent="0.25">
      <c r="B28" s="7">
        <v>1</v>
      </c>
      <c r="C28" s="35" t="s">
        <v>27</v>
      </c>
      <c r="D28" s="7" t="s">
        <v>19</v>
      </c>
      <c r="E28" s="7">
        <v>73</v>
      </c>
      <c r="F28" s="7">
        <v>12</v>
      </c>
      <c r="G28" s="8">
        <f>ROUND(G17*1.03,0)</f>
        <v>3897885</v>
      </c>
      <c r="H28" s="8">
        <f>E28*F28*G28</f>
        <v>3414547260</v>
      </c>
    </row>
    <row r="29" spans="2:8" x14ac:dyDescent="0.25">
      <c r="B29" s="7">
        <f>B28+1</f>
        <v>2</v>
      </c>
      <c r="C29" s="35" t="s">
        <v>28</v>
      </c>
      <c r="D29" s="7" t="s">
        <v>19</v>
      </c>
      <c r="E29" s="7">
        <v>5</v>
      </c>
      <c r="F29" s="7">
        <v>12</v>
      </c>
      <c r="G29" s="8">
        <f t="shared" ref="G29:G33" si="5">ROUND(G18*1.03,0)</f>
        <v>4497919</v>
      </c>
      <c r="H29" s="8">
        <f t="shared" ref="H29:H33" si="6">E29*F29*G29</f>
        <v>269875140</v>
      </c>
    </row>
    <row r="30" spans="2:8" x14ac:dyDescent="0.25">
      <c r="B30" s="7">
        <f t="shared" ref="B30:B33" si="7">B29+1</f>
        <v>3</v>
      </c>
      <c r="C30" s="35" t="s">
        <v>36</v>
      </c>
      <c r="D30" s="7" t="s">
        <v>19</v>
      </c>
      <c r="E30" s="7">
        <v>9</v>
      </c>
      <c r="F30" s="7">
        <v>12</v>
      </c>
      <c r="G30" s="8">
        <f t="shared" si="5"/>
        <v>4873446</v>
      </c>
      <c r="H30" s="8">
        <f t="shared" si="6"/>
        <v>526332168</v>
      </c>
    </row>
    <row r="31" spans="2:8" x14ac:dyDescent="0.25">
      <c r="B31" s="7">
        <f t="shared" si="7"/>
        <v>4</v>
      </c>
      <c r="C31" s="36" t="s">
        <v>29</v>
      </c>
      <c r="D31" s="7" t="s">
        <v>19</v>
      </c>
      <c r="E31" s="7">
        <v>3</v>
      </c>
      <c r="F31" s="7">
        <v>12</v>
      </c>
      <c r="G31" s="8">
        <f t="shared" si="5"/>
        <v>5206070</v>
      </c>
      <c r="H31" s="8">
        <f t="shared" si="6"/>
        <v>187418520</v>
      </c>
    </row>
    <row r="32" spans="2:8" x14ac:dyDescent="0.2">
      <c r="B32" s="7">
        <f t="shared" si="7"/>
        <v>5</v>
      </c>
      <c r="C32" s="37" t="s">
        <v>30</v>
      </c>
      <c r="D32" s="7" t="s">
        <v>19</v>
      </c>
      <c r="E32" s="7">
        <v>3</v>
      </c>
      <c r="F32" s="7">
        <v>12</v>
      </c>
      <c r="G32" s="8">
        <f t="shared" si="5"/>
        <v>4924846</v>
      </c>
      <c r="H32" s="8">
        <f t="shared" si="6"/>
        <v>177294456</v>
      </c>
    </row>
    <row r="33" spans="2:8" x14ac:dyDescent="0.25">
      <c r="B33" s="7">
        <f t="shared" si="7"/>
        <v>6</v>
      </c>
      <c r="C33" s="35" t="s">
        <v>31</v>
      </c>
      <c r="D33" s="7" t="s">
        <v>19</v>
      </c>
      <c r="E33" s="7">
        <v>1</v>
      </c>
      <c r="F33" s="7">
        <v>12</v>
      </c>
      <c r="G33" s="8">
        <f t="shared" si="5"/>
        <v>5175420</v>
      </c>
      <c r="H33" s="8">
        <f t="shared" si="6"/>
        <v>62105040</v>
      </c>
    </row>
    <row r="34" spans="2:8" x14ac:dyDescent="0.2">
      <c r="B34" s="47" t="s">
        <v>54</v>
      </c>
      <c r="C34" s="47"/>
      <c r="D34" s="47"/>
      <c r="E34" s="47"/>
      <c r="F34" s="47"/>
      <c r="G34" s="47"/>
      <c r="H34" s="9">
        <f>SUM(H28:H33)</f>
        <v>4637572584</v>
      </c>
    </row>
    <row r="37" spans="2:8" x14ac:dyDescent="0.2">
      <c r="B37" s="47" t="s">
        <v>47</v>
      </c>
      <c r="C37" s="47"/>
      <c r="D37" s="47"/>
      <c r="E37" s="47"/>
      <c r="F37" s="47"/>
      <c r="G37" s="47"/>
      <c r="H37" s="47"/>
    </row>
    <row r="38" spans="2:8" ht="24" x14ac:dyDescent="0.2">
      <c r="B38" s="2" t="s">
        <v>3</v>
      </c>
      <c r="C38" s="2" t="s">
        <v>4</v>
      </c>
      <c r="D38" s="2" t="s">
        <v>5</v>
      </c>
      <c r="E38" s="11" t="s">
        <v>6</v>
      </c>
      <c r="F38" s="11" t="s">
        <v>50</v>
      </c>
      <c r="G38" s="11" t="s">
        <v>51</v>
      </c>
      <c r="H38" s="11" t="s">
        <v>52</v>
      </c>
    </row>
    <row r="39" spans="2:8" x14ac:dyDescent="0.25">
      <c r="B39" s="7">
        <v>1</v>
      </c>
      <c r="C39" s="35" t="s">
        <v>27</v>
      </c>
      <c r="D39" s="7" t="s">
        <v>19</v>
      </c>
      <c r="E39" s="7">
        <v>73</v>
      </c>
      <c r="F39" s="7">
        <v>12</v>
      </c>
      <c r="G39" s="8">
        <f>ROUND(G28*1.03,0)</f>
        <v>4014822</v>
      </c>
      <c r="H39" s="8">
        <f>E39*F39*G39</f>
        <v>3516984072</v>
      </c>
    </row>
    <row r="40" spans="2:8" x14ac:dyDescent="0.25">
      <c r="B40" s="7">
        <f>B39+1</f>
        <v>2</v>
      </c>
      <c r="C40" s="35" t="s">
        <v>28</v>
      </c>
      <c r="D40" s="7" t="s">
        <v>19</v>
      </c>
      <c r="E40" s="7">
        <v>5</v>
      </c>
      <c r="F40" s="7">
        <v>12</v>
      </c>
      <c r="G40" s="8">
        <f t="shared" ref="G40:G44" si="8">ROUND(G29*1.03,0)</f>
        <v>4632857</v>
      </c>
      <c r="H40" s="8">
        <f t="shared" ref="H40:H44" si="9">E40*F40*G40</f>
        <v>277971420</v>
      </c>
    </row>
    <row r="41" spans="2:8" x14ac:dyDescent="0.25">
      <c r="B41" s="7">
        <f t="shared" ref="B41:B44" si="10">B40+1</f>
        <v>3</v>
      </c>
      <c r="C41" s="35" t="s">
        <v>36</v>
      </c>
      <c r="D41" s="7" t="s">
        <v>19</v>
      </c>
      <c r="E41" s="7">
        <v>9</v>
      </c>
      <c r="F41" s="7">
        <v>12</v>
      </c>
      <c r="G41" s="8">
        <f t="shared" si="8"/>
        <v>5019649</v>
      </c>
      <c r="H41" s="8">
        <f t="shared" si="9"/>
        <v>542122092</v>
      </c>
    </row>
    <row r="42" spans="2:8" x14ac:dyDescent="0.25">
      <c r="B42" s="7">
        <f t="shared" si="10"/>
        <v>4</v>
      </c>
      <c r="C42" s="36" t="s">
        <v>29</v>
      </c>
      <c r="D42" s="7" t="s">
        <v>19</v>
      </c>
      <c r="E42" s="7">
        <v>3</v>
      </c>
      <c r="F42" s="7">
        <v>12</v>
      </c>
      <c r="G42" s="8">
        <f t="shared" si="8"/>
        <v>5362252</v>
      </c>
      <c r="H42" s="8">
        <f t="shared" si="9"/>
        <v>193041072</v>
      </c>
    </row>
    <row r="43" spans="2:8" x14ac:dyDescent="0.2">
      <c r="B43" s="7">
        <f t="shared" si="10"/>
        <v>5</v>
      </c>
      <c r="C43" s="37" t="s">
        <v>30</v>
      </c>
      <c r="D43" s="7" t="s">
        <v>19</v>
      </c>
      <c r="E43" s="7">
        <v>3</v>
      </c>
      <c r="F43" s="7">
        <v>12</v>
      </c>
      <c r="G43" s="8">
        <f t="shared" si="8"/>
        <v>5072591</v>
      </c>
      <c r="H43" s="8">
        <f t="shared" si="9"/>
        <v>182613276</v>
      </c>
    </row>
    <row r="44" spans="2:8" x14ac:dyDescent="0.25">
      <c r="B44" s="7">
        <f t="shared" si="10"/>
        <v>6</v>
      </c>
      <c r="C44" s="35" t="s">
        <v>31</v>
      </c>
      <c r="D44" s="7" t="s">
        <v>19</v>
      </c>
      <c r="E44" s="7">
        <v>1</v>
      </c>
      <c r="F44" s="7">
        <v>12</v>
      </c>
      <c r="G44" s="8">
        <f t="shared" si="8"/>
        <v>5330683</v>
      </c>
      <c r="H44" s="8">
        <f t="shared" si="9"/>
        <v>63968196</v>
      </c>
    </row>
    <row r="45" spans="2:8" x14ac:dyDescent="0.2">
      <c r="B45" s="47" t="s">
        <v>54</v>
      </c>
      <c r="C45" s="47"/>
      <c r="D45" s="47"/>
      <c r="E45" s="47"/>
      <c r="F45" s="47"/>
      <c r="G45" s="47"/>
      <c r="H45" s="9">
        <f>SUM(H39:H44)</f>
        <v>4776700128</v>
      </c>
    </row>
    <row r="47" spans="2:8" x14ac:dyDescent="0.2">
      <c r="E47" s="49" t="s">
        <v>55</v>
      </c>
      <c r="F47" s="50"/>
      <c r="G47" s="51"/>
      <c r="H47" s="9">
        <f>SUM(L13,H23,H34,H45)</f>
        <v>14074624621</v>
      </c>
    </row>
    <row r="51" spans="2:12" x14ac:dyDescent="0.2">
      <c r="B51" s="34" t="s">
        <v>10</v>
      </c>
      <c r="C51" s="48" t="s">
        <v>11</v>
      </c>
      <c r="D51" s="48"/>
      <c r="E51" s="48"/>
      <c r="F51" s="48"/>
      <c r="G51" s="48"/>
      <c r="H51" s="48"/>
      <c r="I51" s="48"/>
      <c r="J51" s="48"/>
      <c r="K51" s="48"/>
      <c r="L51" s="48"/>
    </row>
    <row r="52" spans="2:12" x14ac:dyDescent="0.25">
      <c r="L52" s="10"/>
    </row>
    <row r="53" spans="2:12" x14ac:dyDescent="0.25">
      <c r="K53" s="10" t="s">
        <v>43</v>
      </c>
      <c r="L53" s="10"/>
    </row>
    <row r="54" spans="2:12" x14ac:dyDescent="0.25">
      <c r="J54" s="39" t="s">
        <v>12</v>
      </c>
      <c r="K54" s="41" t="s">
        <v>25</v>
      </c>
      <c r="L54" s="42"/>
    </row>
    <row r="55" spans="2:12" x14ac:dyDescent="0.25">
      <c r="J55" s="39"/>
      <c r="K55" s="41" t="s">
        <v>26</v>
      </c>
      <c r="L55" s="42"/>
    </row>
    <row r="56" spans="2:12" x14ac:dyDescent="0.25">
      <c r="J56" s="39"/>
      <c r="K56" s="46" t="s">
        <v>44</v>
      </c>
      <c r="L56" s="42"/>
    </row>
    <row r="58" spans="2:12" x14ac:dyDescent="0.25">
      <c r="B58" s="10"/>
      <c r="C58" s="38" t="s">
        <v>49</v>
      </c>
      <c r="D58" s="38"/>
      <c r="E58" s="38"/>
      <c r="F58" s="38"/>
      <c r="G58" s="38"/>
      <c r="H58" s="38"/>
      <c r="I58" s="38"/>
      <c r="J58" s="38"/>
      <c r="K58" s="38"/>
      <c r="L58" s="38"/>
    </row>
    <row r="60" spans="2:12" ht="15.75" thickBot="1" x14ac:dyDescent="0.3">
      <c r="J60" s="39" t="s">
        <v>14</v>
      </c>
      <c r="K60" s="41" t="s">
        <v>13</v>
      </c>
      <c r="L60" s="42"/>
    </row>
    <row r="61" spans="2:12" ht="15.75" thickBot="1" x14ac:dyDescent="0.3">
      <c r="C61" s="43" t="s">
        <v>15</v>
      </c>
      <c r="D61" s="44"/>
      <c r="E61" s="44"/>
      <c r="F61" s="44"/>
      <c r="G61" s="44"/>
      <c r="H61" s="44"/>
      <c r="I61" s="45"/>
      <c r="J61" s="40"/>
      <c r="K61" s="41" t="s">
        <v>16</v>
      </c>
      <c r="L61" s="42"/>
    </row>
    <row r="62" spans="2:12" x14ac:dyDescent="0.25">
      <c r="J62" s="39"/>
      <c r="K62" s="46" t="s">
        <v>24</v>
      </c>
      <c r="L62" s="42"/>
    </row>
    <row r="63" spans="2:12" x14ac:dyDescent="0.25">
      <c r="H63" s="25"/>
      <c r="I63" s="25"/>
      <c r="J63" s="25"/>
      <c r="K63" s="33"/>
      <c r="L63" s="25"/>
    </row>
    <row r="64" spans="2:12" x14ac:dyDescent="0.25">
      <c r="H64" s="25"/>
      <c r="I64" s="25"/>
      <c r="J64" s="25"/>
      <c r="K64" s="33"/>
      <c r="L64" s="25"/>
    </row>
  </sheetData>
  <mergeCells count="24">
    <mergeCell ref="B1:L1"/>
    <mergeCell ref="B2:L2"/>
    <mergeCell ref="D5:E5"/>
    <mergeCell ref="K5:L5"/>
    <mergeCell ref="B13:K13"/>
    <mergeCell ref="B4:H4"/>
    <mergeCell ref="B15:H15"/>
    <mergeCell ref="B23:G23"/>
    <mergeCell ref="B26:H26"/>
    <mergeCell ref="B34:G34"/>
    <mergeCell ref="B37:H37"/>
    <mergeCell ref="B45:G45"/>
    <mergeCell ref="C51:L51"/>
    <mergeCell ref="J54:J56"/>
    <mergeCell ref="K54:L54"/>
    <mergeCell ref="K55:L55"/>
    <mergeCell ref="K56:L56"/>
    <mergeCell ref="E47:G47"/>
    <mergeCell ref="C58:L58"/>
    <mergeCell ref="J60:J62"/>
    <mergeCell ref="K60:L60"/>
    <mergeCell ref="C61:I61"/>
    <mergeCell ref="K61:L61"/>
    <mergeCell ref="K62:L62"/>
  </mergeCells>
  <printOptions horizontalCentered="1" verticalCentered="1"/>
  <pageMargins left="0.74803149606299213" right="0.74803149606299213" top="0.98425196850393704" bottom="0.98425196850393704" header="0" footer="0"/>
  <pageSetup scale="45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R52"/>
  <sheetViews>
    <sheetView topLeftCell="K5" zoomScaleNormal="100" workbookViewId="0">
      <selection activeCell="B15" sqref="B15:L28"/>
    </sheetView>
  </sheetViews>
  <sheetFormatPr baseColWidth="10" defaultColWidth="17.42578125" defaultRowHeight="15" x14ac:dyDescent="0.2"/>
  <cols>
    <col min="1" max="1" width="2.28515625" style="4" customWidth="1"/>
    <col min="2" max="2" width="9" style="4" customWidth="1"/>
    <col min="3" max="3" width="33.28515625" style="4" customWidth="1"/>
    <col min="4" max="4" width="9.85546875" style="4" bestFit="1" customWidth="1"/>
    <col min="5" max="5" width="9.7109375" style="4" bestFit="1" customWidth="1"/>
    <col min="6" max="9" width="17.42578125" style="4"/>
    <col min="10" max="10" width="20.7109375" style="4" customWidth="1"/>
    <col min="11" max="11" width="23" style="4" customWidth="1"/>
    <col min="12" max="15" width="20.7109375" style="4" customWidth="1"/>
    <col min="16" max="16384" width="17.42578125" style="4"/>
  </cols>
  <sheetData>
    <row r="1" spans="2:18" x14ac:dyDescent="0.2">
      <c r="B1" s="48" t="s">
        <v>18</v>
      </c>
      <c r="C1" s="48"/>
      <c r="D1" s="48"/>
      <c r="E1" s="48"/>
      <c r="F1" s="48"/>
      <c r="G1" s="48"/>
      <c r="H1" s="48"/>
      <c r="I1" s="48"/>
      <c r="J1" s="48"/>
      <c r="K1" s="48"/>
      <c r="R1" s="26">
        <v>0.5</v>
      </c>
    </row>
    <row r="2" spans="2:18" x14ac:dyDescent="0.2">
      <c r="B2" s="48" t="s">
        <v>0</v>
      </c>
      <c r="C2" s="48"/>
      <c r="D2" s="48"/>
      <c r="E2" s="48"/>
      <c r="F2" s="48"/>
      <c r="G2" s="48"/>
      <c r="H2" s="48"/>
      <c r="I2" s="48"/>
      <c r="J2" s="48"/>
      <c r="K2" s="48"/>
    </row>
    <row r="3" spans="2:18" x14ac:dyDescent="0.2">
      <c r="J3" s="5" t="s">
        <v>1</v>
      </c>
      <c r="K3" s="6">
        <f ca="1">TODAY()</f>
        <v>44841</v>
      </c>
    </row>
    <row r="5" spans="2:18" s="1" customFormat="1" ht="48" customHeight="1" x14ac:dyDescent="0.2">
      <c r="D5" s="52" t="s">
        <v>23</v>
      </c>
      <c r="E5" s="53"/>
      <c r="F5" s="11" t="s">
        <v>34</v>
      </c>
      <c r="G5" s="11" t="s">
        <v>35</v>
      </c>
      <c r="H5" s="11" t="s">
        <v>38</v>
      </c>
      <c r="I5" s="11" t="s">
        <v>37</v>
      </c>
      <c r="J5" s="54" t="s">
        <v>2</v>
      </c>
      <c r="K5" s="54"/>
      <c r="L5" s="54" t="s">
        <v>20</v>
      </c>
      <c r="M5" s="54"/>
      <c r="N5" s="54" t="s">
        <v>21</v>
      </c>
      <c r="O5" s="54"/>
    </row>
    <row r="6" spans="2:18" s="1" customFormat="1" ht="24" x14ac:dyDescent="0.2">
      <c r="B6" s="2" t="s">
        <v>3</v>
      </c>
      <c r="C6" s="13" t="s">
        <v>4</v>
      </c>
      <c r="D6" s="2" t="s">
        <v>5</v>
      </c>
      <c r="E6" s="2" t="s">
        <v>6</v>
      </c>
      <c r="F6" s="11" t="s">
        <v>7</v>
      </c>
      <c r="G6" s="11" t="s">
        <v>7</v>
      </c>
      <c r="H6" s="11" t="s">
        <v>7</v>
      </c>
      <c r="I6" s="11" t="s">
        <v>7</v>
      </c>
      <c r="J6" s="11" t="s">
        <v>17</v>
      </c>
      <c r="K6" s="11" t="s">
        <v>8</v>
      </c>
      <c r="L6" s="11" t="s">
        <v>22</v>
      </c>
      <c r="M6" s="11" t="s">
        <v>8</v>
      </c>
      <c r="N6" s="11" t="s">
        <v>22</v>
      </c>
      <c r="O6" s="11" t="s">
        <v>8</v>
      </c>
      <c r="P6" s="1" t="s">
        <v>32</v>
      </c>
      <c r="Q6" s="1" t="s">
        <v>33</v>
      </c>
    </row>
    <row r="7" spans="2:18" x14ac:dyDescent="0.25">
      <c r="B7" s="15">
        <f>1</f>
        <v>1</v>
      </c>
      <c r="C7" s="14" t="s">
        <v>27</v>
      </c>
      <c r="D7" s="12" t="s">
        <v>19</v>
      </c>
      <c r="E7" s="7">
        <v>73</v>
      </c>
      <c r="F7" s="8">
        <v>3270967</v>
      </c>
      <c r="G7" s="8">
        <v>3341197</v>
      </c>
      <c r="H7" s="8">
        <v>3808000</v>
      </c>
      <c r="I7" s="8">
        <v>4276327</v>
      </c>
      <c r="J7" s="8">
        <f>IF(E7=$A$1,"",ROUND(AVERAGE(F7:I7),0))</f>
        <v>3674123</v>
      </c>
      <c r="K7" s="8">
        <f t="shared" ref="K7:K12" si="0">IF(E7=$A$1,"",ROUND((E7*J7),0))</f>
        <v>268210979</v>
      </c>
      <c r="L7" s="8">
        <f t="shared" ref="L7:L12" si="1">IF(E7=$A$1,"",ROUND(HARMEAN(F7:I7),0))</f>
        <v>3631529</v>
      </c>
      <c r="M7" s="8">
        <f>IF($E7=$A$1,"",ROUND($E7*L7,0))</f>
        <v>265101617</v>
      </c>
      <c r="N7" s="8">
        <f t="shared" ref="N7:N12" si="2">IF($E7=$A$1,"",ROUND(MEDIAN(F7:I7),0))</f>
        <v>3574599</v>
      </c>
      <c r="O7" s="8">
        <f>IF($E7=$A$1,"",ROUND($E7*N7,0))</f>
        <v>260945727</v>
      </c>
      <c r="P7" s="25">
        <f t="shared" ref="P7:P12" si="3">MAX(F7:I7)</f>
        <v>4276327</v>
      </c>
      <c r="Q7" s="25">
        <f t="shared" ref="Q7:Q12" si="4">MIN(F7:I7)</f>
        <v>3270967</v>
      </c>
      <c r="R7" s="27">
        <f>(P7-Q7)/P7</f>
        <v>0.23509895290982191</v>
      </c>
    </row>
    <row r="8" spans="2:18" x14ac:dyDescent="0.25">
      <c r="B8" s="16">
        <f>B7+1</f>
        <v>2</v>
      </c>
      <c r="C8" s="17" t="s">
        <v>28</v>
      </c>
      <c r="D8" s="12" t="s">
        <v>19</v>
      </c>
      <c r="E8" s="7">
        <v>5</v>
      </c>
      <c r="F8" s="8">
        <v>4385114</v>
      </c>
      <c r="G8" s="8">
        <v>3646158</v>
      </c>
      <c r="H8" s="8">
        <v>4403000</v>
      </c>
      <c r="I8" s="8">
        <v>4524526</v>
      </c>
      <c r="J8" s="8">
        <f>IF(E8=$A$1,"",ROUND(AVERAGE(F8:I8),0))</f>
        <v>4239700</v>
      </c>
      <c r="K8" s="8">
        <f t="shared" si="0"/>
        <v>21198500</v>
      </c>
      <c r="L8" s="8">
        <f t="shared" si="1"/>
        <v>4208572</v>
      </c>
      <c r="M8" s="8">
        <f t="shared" ref="M8:M12" si="5">IF($E8=$A$1,"",ROUND($E8*L8,0))</f>
        <v>21042860</v>
      </c>
      <c r="N8" s="8">
        <f t="shared" si="2"/>
        <v>4394057</v>
      </c>
      <c r="O8" s="8">
        <f t="shared" ref="O8:O12" si="6">IF($E8=$A$1,"",ROUND($E8*N8,0))</f>
        <v>21970285</v>
      </c>
      <c r="P8" s="25">
        <f t="shared" si="3"/>
        <v>4524526</v>
      </c>
      <c r="Q8" s="25">
        <f t="shared" si="4"/>
        <v>3646158</v>
      </c>
      <c r="R8" s="27">
        <f t="shared" ref="R8:R12" si="7">(P8-Q8)/P8</f>
        <v>0.19413481102771871</v>
      </c>
    </row>
    <row r="9" spans="2:18" x14ac:dyDescent="0.25">
      <c r="B9" s="16">
        <f t="shared" ref="B9:B12" si="8">B8+1</f>
        <v>3</v>
      </c>
      <c r="C9" s="20" t="s">
        <v>36</v>
      </c>
      <c r="D9" s="12" t="s">
        <v>19</v>
      </c>
      <c r="E9" s="7">
        <v>9</v>
      </c>
      <c r="F9" s="8">
        <v>5220725</v>
      </c>
      <c r="G9" s="8">
        <v>4083659</v>
      </c>
      <c r="H9" s="8">
        <v>4403000</v>
      </c>
      <c r="I9" s="8">
        <v>4667326</v>
      </c>
      <c r="J9" s="8">
        <f>IF($E9=$A$1,"",ROUND(AVERAGE(F9:I9),0))</f>
        <v>4593678</v>
      </c>
      <c r="K9" s="8">
        <f t="shared" si="0"/>
        <v>41343102</v>
      </c>
      <c r="L9" s="8">
        <f t="shared" si="1"/>
        <v>4556867</v>
      </c>
      <c r="M9" s="8">
        <f t="shared" si="5"/>
        <v>41011803</v>
      </c>
      <c r="N9" s="8">
        <f t="shared" si="2"/>
        <v>4535163</v>
      </c>
      <c r="O9" s="8">
        <f t="shared" si="6"/>
        <v>40816467</v>
      </c>
      <c r="P9" s="25">
        <f t="shared" si="3"/>
        <v>5220725</v>
      </c>
      <c r="Q9" s="25">
        <f t="shared" si="4"/>
        <v>4083659</v>
      </c>
      <c r="R9" s="27">
        <f t="shared" si="7"/>
        <v>0.21779848584248357</v>
      </c>
    </row>
    <row r="10" spans="2:18" x14ac:dyDescent="0.25">
      <c r="B10" s="15">
        <f t="shared" si="8"/>
        <v>4</v>
      </c>
      <c r="C10" s="21" t="s">
        <v>29</v>
      </c>
      <c r="D10" s="12" t="s">
        <v>19</v>
      </c>
      <c r="E10" s="7">
        <v>3</v>
      </c>
      <c r="F10" s="8">
        <v>7126305</v>
      </c>
      <c r="G10" s="8">
        <v>4418264</v>
      </c>
      <c r="H10" s="8">
        <v>3808000</v>
      </c>
      <c r="I10" s="8">
        <v>4276327</v>
      </c>
      <c r="J10" s="8">
        <f>IF($E10=$A$1,"",ROUND(AVERAGE(F10:I10),0))</f>
        <v>4907224</v>
      </c>
      <c r="K10" s="8">
        <f t="shared" si="0"/>
        <v>14721672</v>
      </c>
      <c r="L10" s="8">
        <f t="shared" si="1"/>
        <v>4634409</v>
      </c>
      <c r="M10" s="8">
        <f t="shared" si="5"/>
        <v>13903227</v>
      </c>
      <c r="N10" s="8">
        <f t="shared" si="2"/>
        <v>4347296</v>
      </c>
      <c r="O10" s="8">
        <f t="shared" si="6"/>
        <v>13041888</v>
      </c>
      <c r="P10" s="25">
        <f t="shared" si="3"/>
        <v>7126305</v>
      </c>
      <c r="Q10" s="25">
        <f t="shared" si="4"/>
        <v>3808000</v>
      </c>
      <c r="R10" s="27">
        <f t="shared" si="7"/>
        <v>0.46564173158460098</v>
      </c>
    </row>
    <row r="11" spans="2:18" x14ac:dyDescent="0.2">
      <c r="B11" s="16">
        <f t="shared" si="8"/>
        <v>5</v>
      </c>
      <c r="C11" s="22" t="s">
        <v>30</v>
      </c>
      <c r="D11" s="12" t="s">
        <v>19</v>
      </c>
      <c r="E11" s="7">
        <v>3</v>
      </c>
      <c r="F11" s="8">
        <v>5220725</v>
      </c>
      <c r="G11" s="8">
        <v>4083659</v>
      </c>
      <c r="H11" s="8">
        <v>4403000</v>
      </c>
      <c r="I11" s="8">
        <v>4861126</v>
      </c>
      <c r="J11" s="8">
        <f>IF($E11=$A$1,"",ROUND(AVERAGE(F11:I11),0))</f>
        <v>4642128</v>
      </c>
      <c r="K11" s="8">
        <f t="shared" si="0"/>
        <v>13926384</v>
      </c>
      <c r="L11" s="8">
        <f t="shared" si="1"/>
        <v>4601646</v>
      </c>
      <c r="M11" s="8">
        <f t="shared" si="5"/>
        <v>13804938</v>
      </c>
      <c r="N11" s="8">
        <f t="shared" si="2"/>
        <v>4632063</v>
      </c>
      <c r="O11" s="8">
        <f t="shared" si="6"/>
        <v>13896189</v>
      </c>
      <c r="P11" s="25">
        <f t="shared" si="3"/>
        <v>5220725</v>
      </c>
      <c r="Q11" s="25">
        <f t="shared" si="4"/>
        <v>4083659</v>
      </c>
      <c r="R11" s="27">
        <f t="shared" si="7"/>
        <v>0.21779848584248357</v>
      </c>
    </row>
    <row r="12" spans="2:18" x14ac:dyDescent="0.25">
      <c r="B12" s="30">
        <f t="shared" si="8"/>
        <v>6</v>
      </c>
      <c r="C12" s="17" t="s">
        <v>31</v>
      </c>
      <c r="D12" s="23" t="s">
        <v>19</v>
      </c>
      <c r="E12" s="18">
        <v>1</v>
      </c>
      <c r="F12" s="19">
        <v>5220725</v>
      </c>
      <c r="G12" s="19">
        <v>4302528</v>
      </c>
      <c r="H12" s="19">
        <v>4879000</v>
      </c>
      <c r="I12" s="19">
        <v>5111026</v>
      </c>
      <c r="J12" s="19">
        <f>IF($E12=$A$1,"",ROUND(AVERAGE(F12:I12),0))</f>
        <v>4878320</v>
      </c>
      <c r="K12" s="19">
        <f t="shared" si="0"/>
        <v>4878320</v>
      </c>
      <c r="L12" s="8">
        <f t="shared" si="1"/>
        <v>4850947</v>
      </c>
      <c r="M12" s="19">
        <f t="shared" si="5"/>
        <v>4850947</v>
      </c>
      <c r="N12" s="8">
        <f t="shared" si="2"/>
        <v>4995013</v>
      </c>
      <c r="O12" s="8">
        <f t="shared" si="6"/>
        <v>4995013</v>
      </c>
      <c r="P12" s="25">
        <f t="shared" si="3"/>
        <v>5220725</v>
      </c>
      <c r="Q12" s="25">
        <f t="shared" si="4"/>
        <v>4302528</v>
      </c>
      <c r="R12" s="27">
        <f t="shared" si="7"/>
        <v>0.17587538129282809</v>
      </c>
    </row>
    <row r="13" spans="2:18" ht="12.75" customHeight="1" x14ac:dyDescent="0.2">
      <c r="B13" s="55" t="s">
        <v>9</v>
      </c>
      <c r="C13" s="55"/>
      <c r="D13" s="55"/>
      <c r="E13" s="55"/>
      <c r="F13" s="55"/>
      <c r="G13" s="55"/>
      <c r="H13" s="55"/>
      <c r="I13" s="55"/>
      <c r="J13" s="55"/>
      <c r="K13" s="9">
        <f>SUM(K7:K12)</f>
        <v>364278957</v>
      </c>
      <c r="M13" s="9">
        <f>SUM(M7:M12)</f>
        <v>359715392</v>
      </c>
      <c r="O13" s="9">
        <f>SUM(O7:O12)</f>
        <v>355665569</v>
      </c>
    </row>
    <row r="14" spans="2:18" x14ac:dyDescent="0.2">
      <c r="K14" s="29"/>
      <c r="L14" s="3"/>
    </row>
    <row r="15" spans="2:18" customFormat="1" x14ac:dyDescent="0.2">
      <c r="B15" s="3" t="s">
        <v>10</v>
      </c>
      <c r="C15" s="48" t="s">
        <v>11</v>
      </c>
      <c r="D15" s="48"/>
      <c r="E15" s="48"/>
      <c r="F15" s="48"/>
      <c r="G15" s="48"/>
      <c r="H15" s="48"/>
      <c r="I15" s="48"/>
      <c r="J15" s="48"/>
      <c r="K15" s="48"/>
      <c r="L15" s="48"/>
      <c r="M15" s="4"/>
    </row>
    <row r="16" spans="2:18" x14ac:dyDescent="0.25">
      <c r="L16" s="10"/>
    </row>
    <row r="17" spans="2:14" x14ac:dyDescent="0.25">
      <c r="K17" s="10" t="s">
        <v>43</v>
      </c>
      <c r="L17" s="10"/>
      <c r="M17" s="29"/>
      <c r="N17" s="29"/>
    </row>
    <row r="18" spans="2:14" ht="13.5" customHeight="1" x14ac:dyDescent="0.25">
      <c r="J18" s="39" t="s">
        <v>12</v>
      </c>
      <c r="K18" s="41" t="s">
        <v>25</v>
      </c>
      <c r="L18" s="42"/>
    </row>
    <row r="19" spans="2:14" ht="21.75" customHeight="1" x14ac:dyDescent="0.25">
      <c r="J19" s="39"/>
      <c r="K19" s="41" t="s">
        <v>26</v>
      </c>
      <c r="L19" s="42"/>
    </row>
    <row r="20" spans="2:14" ht="31.5" customHeight="1" x14ac:dyDescent="0.25">
      <c r="J20" s="39"/>
      <c r="K20" s="46" t="s">
        <v>44</v>
      </c>
      <c r="L20" s="42"/>
    </row>
    <row r="21" spans="2:14" x14ac:dyDescent="0.2">
      <c r="M21" s="25"/>
    </row>
    <row r="22" spans="2:14" ht="30" customHeight="1" x14ac:dyDescent="0.25">
      <c r="B22" s="10"/>
      <c r="C22" s="38" t="s">
        <v>49</v>
      </c>
      <c r="D22" s="38"/>
      <c r="E22" s="38"/>
      <c r="F22" s="38"/>
      <c r="G22" s="38"/>
      <c r="H22" s="38"/>
      <c r="I22" s="38"/>
      <c r="J22" s="38"/>
      <c r="K22" s="38"/>
      <c r="L22" s="38"/>
    </row>
    <row r="23" spans="2:14" x14ac:dyDescent="0.2">
      <c r="M23" s="29"/>
      <c r="N23" s="29"/>
    </row>
    <row r="24" spans="2:14" ht="15.75" thickBot="1" x14ac:dyDescent="0.3">
      <c r="J24" s="39" t="s">
        <v>14</v>
      </c>
      <c r="K24" s="41" t="s">
        <v>13</v>
      </c>
      <c r="L24" s="42"/>
    </row>
    <row r="25" spans="2:14" ht="15.75" thickBot="1" x14ac:dyDescent="0.3">
      <c r="C25" s="43" t="s">
        <v>15</v>
      </c>
      <c r="D25" s="44"/>
      <c r="E25" s="44"/>
      <c r="F25" s="44"/>
      <c r="G25" s="44"/>
      <c r="H25" s="44"/>
      <c r="I25" s="45"/>
      <c r="J25" s="40"/>
      <c r="K25" s="41" t="s">
        <v>16</v>
      </c>
      <c r="L25" s="42"/>
    </row>
    <row r="26" spans="2:14" x14ac:dyDescent="0.25">
      <c r="J26" s="39"/>
      <c r="K26" s="46" t="s">
        <v>24</v>
      </c>
      <c r="L26" s="42"/>
    </row>
    <row r="27" spans="2:14" x14ac:dyDescent="0.25">
      <c r="H27" s="25"/>
      <c r="I27" s="25"/>
      <c r="J27" s="25"/>
      <c r="K27" s="33"/>
      <c r="L27" s="25"/>
    </row>
    <row r="28" spans="2:14" x14ac:dyDescent="0.25">
      <c r="H28" s="25"/>
      <c r="I28" s="25"/>
      <c r="J28" s="25"/>
      <c r="K28" s="33"/>
      <c r="L28" s="25"/>
    </row>
    <row r="29" spans="2:14" x14ac:dyDescent="0.25">
      <c r="H29" s="25"/>
      <c r="I29" s="25"/>
      <c r="J29" s="25"/>
      <c r="K29" s="33"/>
      <c r="L29" s="25"/>
    </row>
    <row r="30" spans="2:14" x14ac:dyDescent="0.25">
      <c r="H30" s="25"/>
      <c r="I30" s="25"/>
      <c r="J30" s="25"/>
      <c r="K30" s="33"/>
      <c r="L30" s="25"/>
    </row>
    <row r="31" spans="2:14" x14ac:dyDescent="0.25">
      <c r="H31" s="25"/>
      <c r="I31" s="25"/>
      <c r="K31" s="10"/>
      <c r="L31" s="29"/>
      <c r="M31" s="29"/>
      <c r="N31" s="29"/>
    </row>
    <row r="32" spans="2:14" x14ac:dyDescent="0.25">
      <c r="H32" s="25"/>
      <c r="I32" s="25"/>
      <c r="K32" s="10"/>
      <c r="L32" s="3"/>
    </row>
    <row r="33" spans="8:14" x14ac:dyDescent="0.25">
      <c r="H33" s="25"/>
      <c r="I33" s="25"/>
      <c r="J33" s="25"/>
      <c r="K33" s="33"/>
      <c r="L33" s="25"/>
    </row>
    <row r="34" spans="8:14" x14ac:dyDescent="0.25">
      <c r="H34" s="25"/>
      <c r="I34" s="25"/>
      <c r="J34" s="25"/>
      <c r="K34" s="33"/>
      <c r="L34" s="25"/>
    </row>
    <row r="35" spans="8:14" x14ac:dyDescent="0.25">
      <c r="H35" s="25"/>
      <c r="I35" s="25"/>
      <c r="J35" s="25"/>
      <c r="K35" s="33"/>
      <c r="L35" s="25"/>
    </row>
    <row r="36" spans="8:14" x14ac:dyDescent="0.25">
      <c r="H36" s="25"/>
      <c r="I36" s="25"/>
      <c r="J36" s="25"/>
      <c r="K36" s="33"/>
      <c r="L36" s="25"/>
    </row>
    <row r="37" spans="8:14" x14ac:dyDescent="0.25">
      <c r="H37" s="25"/>
      <c r="I37" s="25"/>
      <c r="J37" s="25"/>
      <c r="K37" s="33"/>
      <c r="L37" s="25"/>
    </row>
    <row r="38" spans="8:14" x14ac:dyDescent="0.25">
      <c r="J38" s="25"/>
      <c r="K38" s="33"/>
      <c r="L38" s="25"/>
    </row>
    <row r="39" spans="8:14" x14ac:dyDescent="0.25">
      <c r="J39" s="25"/>
      <c r="K39" s="10"/>
      <c r="L39" s="29"/>
      <c r="M39" s="29"/>
      <c r="N39" s="29"/>
    </row>
    <row r="40" spans="8:14" customFormat="1" ht="12.75" x14ac:dyDescent="0.2"/>
    <row r="41" spans="8:14" customFormat="1" ht="12.75" x14ac:dyDescent="0.2"/>
    <row r="42" spans="8:14" customFormat="1" ht="34.5" customHeight="1" x14ac:dyDescent="0.2"/>
    <row r="43" spans="8:14" customFormat="1" ht="21.75" customHeight="1" x14ac:dyDescent="0.2"/>
    <row r="44" spans="8:14" customFormat="1" ht="25.5" customHeight="1" x14ac:dyDescent="0.2"/>
    <row r="45" spans="8:14" customFormat="1" ht="12.75" x14ac:dyDescent="0.2"/>
    <row r="46" spans="8:14" customFormat="1" ht="12.75" x14ac:dyDescent="0.2"/>
    <row r="47" spans="8:14" customFormat="1" ht="12.75" x14ac:dyDescent="0.2"/>
    <row r="48" spans="8:14" customFormat="1" ht="38.25" customHeight="1" x14ac:dyDescent="0.2"/>
    <row r="49" customFormat="1" ht="12.75" x14ac:dyDescent="0.2"/>
    <row r="50" customFormat="1" ht="12.75" x14ac:dyDescent="0.2"/>
    <row r="51" customFormat="1" ht="12.75" x14ac:dyDescent="0.2"/>
    <row r="52" customFormat="1" ht="12.75" x14ac:dyDescent="0.2"/>
  </sheetData>
  <mergeCells count="18">
    <mergeCell ref="C22:L22"/>
    <mergeCell ref="J24:J26"/>
    <mergeCell ref="K24:L24"/>
    <mergeCell ref="C25:I25"/>
    <mergeCell ref="K25:L25"/>
    <mergeCell ref="K26:L26"/>
    <mergeCell ref="C15:L15"/>
    <mergeCell ref="J18:J20"/>
    <mergeCell ref="K18:L18"/>
    <mergeCell ref="K19:L19"/>
    <mergeCell ref="K20:L20"/>
    <mergeCell ref="L5:M5"/>
    <mergeCell ref="N5:O5"/>
    <mergeCell ref="B13:J13"/>
    <mergeCell ref="B1:K1"/>
    <mergeCell ref="B2:K2"/>
    <mergeCell ref="D5:E5"/>
    <mergeCell ref="J5:K5"/>
  </mergeCells>
  <conditionalFormatting sqref="R7:R12">
    <cfRule type="cellIs" dxfId="0" priority="1" operator="greaterThan">
      <formula>$R$1</formula>
    </cfRule>
  </conditionalFormatting>
  <printOptions horizontalCentered="1" verticalCentered="1"/>
  <pageMargins left="0.74803149606299213" right="0.74803149606299213" top="0.98425196850393704" bottom="0.98425196850393704" header="0" footer="0"/>
  <pageSetup scale="45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T52"/>
  <sheetViews>
    <sheetView topLeftCell="F2" zoomScaleNormal="100" workbookViewId="0">
      <selection activeCell="I17" sqref="I17"/>
    </sheetView>
  </sheetViews>
  <sheetFormatPr baseColWidth="10" defaultColWidth="17.42578125" defaultRowHeight="15" x14ac:dyDescent="0.2"/>
  <cols>
    <col min="1" max="1" width="2.85546875" style="4" customWidth="1"/>
    <col min="2" max="2" width="6.42578125" style="4" customWidth="1"/>
    <col min="3" max="3" width="33.28515625" style="4" customWidth="1"/>
    <col min="4" max="4" width="9.85546875" style="4" bestFit="1" customWidth="1"/>
    <col min="5" max="5" width="9.7109375" style="4" bestFit="1" customWidth="1"/>
    <col min="6" max="8" width="17.42578125" style="4"/>
    <col min="9" max="9" width="16.42578125" style="4" customWidth="1"/>
    <col min="10" max="10" width="20.7109375" style="4" customWidth="1"/>
    <col min="11" max="11" width="23" style="4" customWidth="1"/>
    <col min="12" max="12" width="16.140625" style="4" customWidth="1"/>
    <col min="13" max="13" width="17.42578125" style="4"/>
    <col min="14" max="14" width="20.85546875" style="4" customWidth="1"/>
    <col min="15" max="15" width="16.140625" style="4" customWidth="1"/>
    <col min="16" max="16" width="17.42578125" style="4"/>
    <col min="17" max="17" width="20.85546875" style="4" customWidth="1"/>
    <col min="18" max="18" width="16.140625" style="4" customWidth="1"/>
    <col min="19" max="19" width="17.42578125" style="4"/>
    <col min="20" max="20" width="20.85546875" style="4" customWidth="1"/>
    <col min="21" max="16384" width="17.42578125" style="4"/>
  </cols>
  <sheetData>
    <row r="1" spans="2:20" x14ac:dyDescent="0.2">
      <c r="B1" s="48" t="s">
        <v>18</v>
      </c>
      <c r="C1" s="48"/>
      <c r="D1" s="48"/>
      <c r="E1" s="48"/>
      <c r="F1" s="48"/>
      <c r="G1" s="48"/>
      <c r="H1" s="48"/>
      <c r="I1" s="48"/>
      <c r="J1" s="48"/>
      <c r="K1" s="48"/>
    </row>
    <row r="2" spans="2:20" x14ac:dyDescent="0.2">
      <c r="B2" s="48" t="s">
        <v>0</v>
      </c>
      <c r="C2" s="48"/>
      <c r="D2" s="48"/>
      <c r="E2" s="48"/>
      <c r="F2" s="48"/>
      <c r="G2" s="48"/>
      <c r="H2" s="48"/>
      <c r="I2" s="48"/>
      <c r="J2" s="48"/>
      <c r="K2" s="48"/>
    </row>
    <row r="3" spans="2:20" x14ac:dyDescent="0.2">
      <c r="J3" s="5" t="s">
        <v>1</v>
      </c>
      <c r="K3" s="6">
        <f ca="1">TODAY()</f>
        <v>44841</v>
      </c>
    </row>
    <row r="5" spans="2:20" s="1" customFormat="1" ht="48" customHeight="1" x14ac:dyDescent="0.2">
      <c r="D5" s="52" t="s">
        <v>23</v>
      </c>
      <c r="E5" s="53"/>
      <c r="F5" s="11" t="s">
        <v>34</v>
      </c>
      <c r="G5" s="11" t="s">
        <v>35</v>
      </c>
      <c r="H5" s="11" t="s">
        <v>38</v>
      </c>
      <c r="I5" s="11" t="s">
        <v>37</v>
      </c>
      <c r="J5" s="54" t="s">
        <v>2</v>
      </c>
      <c r="K5" s="54"/>
      <c r="L5" s="59" t="s">
        <v>46</v>
      </c>
      <c r="M5" s="60"/>
      <c r="N5" s="61"/>
      <c r="O5" s="59" t="s">
        <v>47</v>
      </c>
      <c r="P5" s="60"/>
      <c r="Q5" s="61"/>
      <c r="R5" s="62" t="s">
        <v>48</v>
      </c>
      <c r="S5" s="63"/>
      <c r="T5" s="64"/>
    </row>
    <row r="6" spans="2:20" s="1" customFormat="1" ht="36" x14ac:dyDescent="0.2">
      <c r="B6" s="2" t="s">
        <v>3</v>
      </c>
      <c r="C6" s="13" t="s">
        <v>4</v>
      </c>
      <c r="D6" s="2" t="s">
        <v>5</v>
      </c>
      <c r="E6" s="2" t="s">
        <v>6</v>
      </c>
      <c r="F6" s="11" t="s">
        <v>7</v>
      </c>
      <c r="G6" s="11" t="s">
        <v>7</v>
      </c>
      <c r="H6" s="11" t="s">
        <v>7</v>
      </c>
      <c r="I6" s="11" t="s">
        <v>7</v>
      </c>
      <c r="J6" s="11" t="s">
        <v>17</v>
      </c>
      <c r="K6" s="11" t="s">
        <v>8</v>
      </c>
      <c r="L6" s="11" t="s">
        <v>22</v>
      </c>
      <c r="M6" s="11" t="s">
        <v>8</v>
      </c>
      <c r="N6" s="11" t="s">
        <v>45</v>
      </c>
      <c r="O6" s="11" t="s">
        <v>22</v>
      </c>
      <c r="P6" s="11" t="s">
        <v>8</v>
      </c>
      <c r="Q6" s="11" t="s">
        <v>45</v>
      </c>
      <c r="R6" s="11" t="s">
        <v>22</v>
      </c>
      <c r="S6" s="11" t="s">
        <v>8</v>
      </c>
      <c r="T6" s="11" t="s">
        <v>45</v>
      </c>
    </row>
    <row r="7" spans="2:20" x14ac:dyDescent="0.25">
      <c r="B7" s="15">
        <f>1</f>
        <v>1</v>
      </c>
      <c r="C7" s="14" t="s">
        <v>27</v>
      </c>
      <c r="D7" s="12" t="s">
        <v>19</v>
      </c>
      <c r="E7" s="7">
        <v>73</v>
      </c>
      <c r="F7" s="8">
        <v>3270967</v>
      </c>
      <c r="G7" s="8">
        <v>3341197</v>
      </c>
      <c r="H7" s="8">
        <v>3808000</v>
      </c>
      <c r="I7" s="8">
        <v>4276327</v>
      </c>
      <c r="J7" s="8">
        <f>IF(E7=$A$1,"",ROUND(AVERAGE(F7:I7),0))</f>
        <v>3674123</v>
      </c>
      <c r="K7" s="8">
        <f t="shared" ref="K7:K12" si="0">IF(E7=$A$1,"",ROUND((E7*J7),0))</f>
        <v>268210979</v>
      </c>
      <c r="L7" s="8">
        <f>ROUND(J7*1.03,0)</f>
        <v>3784347</v>
      </c>
      <c r="M7" s="31">
        <f t="shared" ref="M7:M12" si="1">L7*E7</f>
        <v>276257331</v>
      </c>
      <c r="N7" s="8">
        <f>M7*12</f>
        <v>3315087972</v>
      </c>
      <c r="O7" s="8">
        <f t="shared" ref="O7:O12" si="2">ROUND(L7*1.03,0)</f>
        <v>3897877</v>
      </c>
      <c r="P7" s="31">
        <f t="shared" ref="P7:P12" si="3">O7*E7</f>
        <v>284545021</v>
      </c>
      <c r="Q7" s="8">
        <f>P7*12</f>
        <v>3414540252</v>
      </c>
      <c r="R7" s="8">
        <f t="shared" ref="R7:R12" si="4">ROUND(O7*1.03,0)</f>
        <v>4014813</v>
      </c>
      <c r="S7" s="31">
        <f t="shared" ref="S7:S12" si="5">R7*E7</f>
        <v>293081349</v>
      </c>
      <c r="T7" s="8">
        <f>S7*12</f>
        <v>3516976188</v>
      </c>
    </row>
    <row r="8" spans="2:20" x14ac:dyDescent="0.25">
      <c r="B8" s="16">
        <f>B7+1</f>
        <v>2</v>
      </c>
      <c r="C8" s="17" t="s">
        <v>28</v>
      </c>
      <c r="D8" s="12" t="s">
        <v>19</v>
      </c>
      <c r="E8" s="7">
        <v>5</v>
      </c>
      <c r="F8" s="8">
        <v>4385114</v>
      </c>
      <c r="G8" s="8">
        <v>3646158</v>
      </c>
      <c r="H8" s="8">
        <v>4403000</v>
      </c>
      <c r="I8" s="8">
        <v>4524526</v>
      </c>
      <c r="J8" s="8">
        <f>IF(E8=$A$1,"",ROUND(AVERAGE(F8:I8),0))</f>
        <v>4239700</v>
      </c>
      <c r="K8" s="8">
        <f t="shared" si="0"/>
        <v>21198500</v>
      </c>
      <c r="L8" s="8">
        <f t="shared" ref="L8:L12" si="6">ROUND(J8*1.03,0)</f>
        <v>4366891</v>
      </c>
      <c r="M8" s="31">
        <f t="shared" si="1"/>
        <v>21834455</v>
      </c>
      <c r="N8" s="8">
        <f t="shared" ref="N8:N12" si="7">M8*12</f>
        <v>262013460</v>
      </c>
      <c r="O8" s="8">
        <f t="shared" si="2"/>
        <v>4497898</v>
      </c>
      <c r="P8" s="31">
        <f t="shared" si="3"/>
        <v>22489490</v>
      </c>
      <c r="Q8" s="8">
        <f t="shared" ref="Q8:Q12" si="8">P8*12</f>
        <v>269873880</v>
      </c>
      <c r="R8" s="8">
        <f t="shared" si="4"/>
        <v>4632835</v>
      </c>
      <c r="S8" s="31">
        <f t="shared" si="5"/>
        <v>23164175</v>
      </c>
      <c r="T8" s="8">
        <f t="shared" ref="T8:T12" si="9">S8*12</f>
        <v>277970100</v>
      </c>
    </row>
    <row r="9" spans="2:20" x14ac:dyDescent="0.25">
      <c r="B9" s="16">
        <f t="shared" ref="B9:B12" si="10">B8+1</f>
        <v>3</v>
      </c>
      <c r="C9" s="20" t="s">
        <v>36</v>
      </c>
      <c r="D9" s="12" t="s">
        <v>19</v>
      </c>
      <c r="E9" s="7">
        <v>9</v>
      </c>
      <c r="F9" s="8">
        <v>5220725</v>
      </c>
      <c r="G9" s="8">
        <v>4083659</v>
      </c>
      <c r="H9" s="8">
        <v>4403000</v>
      </c>
      <c r="I9" s="8">
        <v>4667326</v>
      </c>
      <c r="J9" s="8">
        <f>IF($E9=$A$1,"",ROUND(AVERAGE(F9:I9),0))</f>
        <v>4593678</v>
      </c>
      <c r="K9" s="8">
        <f t="shared" si="0"/>
        <v>41343102</v>
      </c>
      <c r="L9" s="8">
        <f t="shared" si="6"/>
        <v>4731488</v>
      </c>
      <c r="M9" s="31">
        <f t="shared" si="1"/>
        <v>42583392</v>
      </c>
      <c r="N9" s="8">
        <f t="shared" si="7"/>
        <v>511000704</v>
      </c>
      <c r="O9" s="8">
        <f t="shared" si="2"/>
        <v>4873433</v>
      </c>
      <c r="P9" s="31">
        <f t="shared" si="3"/>
        <v>43860897</v>
      </c>
      <c r="Q9" s="8">
        <f t="shared" si="8"/>
        <v>526330764</v>
      </c>
      <c r="R9" s="8">
        <f t="shared" si="4"/>
        <v>5019636</v>
      </c>
      <c r="S9" s="31">
        <f t="shared" si="5"/>
        <v>45176724</v>
      </c>
      <c r="T9" s="8">
        <f t="shared" si="9"/>
        <v>542120688</v>
      </c>
    </row>
    <row r="10" spans="2:20" x14ac:dyDescent="0.25">
      <c r="B10" s="15">
        <f t="shared" si="10"/>
        <v>4</v>
      </c>
      <c r="C10" s="21" t="s">
        <v>29</v>
      </c>
      <c r="D10" s="12" t="s">
        <v>19</v>
      </c>
      <c r="E10" s="7">
        <v>3</v>
      </c>
      <c r="F10" s="8">
        <v>7126305</v>
      </c>
      <c r="G10" s="8">
        <v>4418264</v>
      </c>
      <c r="H10" s="8">
        <v>3808000</v>
      </c>
      <c r="I10" s="8">
        <v>4276327</v>
      </c>
      <c r="J10" s="8">
        <f>IF($E10=$A$1,"",ROUND(AVERAGE(F10:I10),0))</f>
        <v>4907224</v>
      </c>
      <c r="K10" s="8">
        <f t="shared" si="0"/>
        <v>14721672</v>
      </c>
      <c r="L10" s="8">
        <f t="shared" si="6"/>
        <v>5054441</v>
      </c>
      <c r="M10" s="31">
        <f t="shared" si="1"/>
        <v>15163323</v>
      </c>
      <c r="N10" s="8">
        <f t="shared" si="7"/>
        <v>181959876</v>
      </c>
      <c r="O10" s="8">
        <f t="shared" si="2"/>
        <v>5206074</v>
      </c>
      <c r="P10" s="31">
        <f t="shared" si="3"/>
        <v>15618222</v>
      </c>
      <c r="Q10" s="8">
        <f t="shared" si="8"/>
        <v>187418664</v>
      </c>
      <c r="R10" s="8">
        <f t="shared" si="4"/>
        <v>5362256</v>
      </c>
      <c r="S10" s="31">
        <f t="shared" si="5"/>
        <v>16086768</v>
      </c>
      <c r="T10" s="8">
        <f t="shared" si="9"/>
        <v>193041216</v>
      </c>
    </row>
    <row r="11" spans="2:20" x14ac:dyDescent="0.25">
      <c r="B11" s="16">
        <f t="shared" si="10"/>
        <v>5</v>
      </c>
      <c r="C11" s="22" t="s">
        <v>30</v>
      </c>
      <c r="D11" s="12" t="s">
        <v>19</v>
      </c>
      <c r="E11" s="7">
        <v>3</v>
      </c>
      <c r="F11" s="8">
        <v>5220725</v>
      </c>
      <c r="G11" s="8">
        <v>4083659</v>
      </c>
      <c r="H11" s="8">
        <v>4403000</v>
      </c>
      <c r="I11" s="8">
        <v>4861126</v>
      </c>
      <c r="J11" s="8">
        <f>IF($E11=$A$1,"",ROUND(AVERAGE(F11:I11),0))</f>
        <v>4642128</v>
      </c>
      <c r="K11" s="8">
        <f t="shared" si="0"/>
        <v>13926384</v>
      </c>
      <c r="L11" s="8">
        <f t="shared" si="6"/>
        <v>4781392</v>
      </c>
      <c r="M11" s="31">
        <f t="shared" si="1"/>
        <v>14344176</v>
      </c>
      <c r="N11" s="8">
        <f t="shared" si="7"/>
        <v>172130112</v>
      </c>
      <c r="O11" s="8">
        <f t="shared" si="2"/>
        <v>4924834</v>
      </c>
      <c r="P11" s="31">
        <f t="shared" si="3"/>
        <v>14774502</v>
      </c>
      <c r="Q11" s="8">
        <f t="shared" si="8"/>
        <v>177294024</v>
      </c>
      <c r="R11" s="8">
        <f t="shared" si="4"/>
        <v>5072579</v>
      </c>
      <c r="S11" s="31">
        <f t="shared" si="5"/>
        <v>15217737</v>
      </c>
      <c r="T11" s="8">
        <f t="shared" si="9"/>
        <v>182612844</v>
      </c>
    </row>
    <row r="12" spans="2:20" x14ac:dyDescent="0.25">
      <c r="B12" s="30">
        <f t="shared" si="10"/>
        <v>6</v>
      </c>
      <c r="C12" s="17" t="s">
        <v>31</v>
      </c>
      <c r="D12" s="23" t="s">
        <v>19</v>
      </c>
      <c r="E12" s="18">
        <v>1</v>
      </c>
      <c r="F12" s="19">
        <v>5220725</v>
      </c>
      <c r="G12" s="19">
        <v>4302528</v>
      </c>
      <c r="H12" s="19">
        <v>4879000</v>
      </c>
      <c r="I12" s="19">
        <v>5111026</v>
      </c>
      <c r="J12" s="19">
        <f>IF($E12=$A$1,"",ROUND(AVERAGE(F12:I12),0))</f>
        <v>4878320</v>
      </c>
      <c r="K12" s="19">
        <f t="shared" si="0"/>
        <v>4878320</v>
      </c>
      <c r="L12" s="8">
        <f t="shared" si="6"/>
        <v>5024670</v>
      </c>
      <c r="M12" s="31">
        <f t="shared" si="1"/>
        <v>5024670</v>
      </c>
      <c r="N12" s="8">
        <f t="shared" si="7"/>
        <v>60296040</v>
      </c>
      <c r="O12" s="8">
        <f t="shared" si="2"/>
        <v>5175410</v>
      </c>
      <c r="P12" s="31">
        <f t="shared" si="3"/>
        <v>5175410</v>
      </c>
      <c r="Q12" s="8">
        <f t="shared" si="8"/>
        <v>62104920</v>
      </c>
      <c r="R12" s="8">
        <f t="shared" si="4"/>
        <v>5330672</v>
      </c>
      <c r="S12" s="31">
        <f t="shared" si="5"/>
        <v>5330672</v>
      </c>
      <c r="T12" s="8">
        <f t="shared" si="9"/>
        <v>63968064</v>
      </c>
    </row>
    <row r="13" spans="2:20" ht="12.75" customHeight="1" x14ac:dyDescent="0.25">
      <c r="B13" s="56" t="s">
        <v>9</v>
      </c>
      <c r="C13" s="57"/>
      <c r="D13" s="57"/>
      <c r="E13" s="57"/>
      <c r="F13" s="57"/>
      <c r="G13" s="57"/>
      <c r="H13" s="57"/>
      <c r="I13" s="57"/>
      <c r="J13" s="58"/>
      <c r="K13" s="9">
        <f>SUM(K7:K12)</f>
        <v>364278957</v>
      </c>
      <c r="L13" s="25"/>
      <c r="M13" s="31">
        <f>SUM(M7:M12)</f>
        <v>375207347</v>
      </c>
      <c r="N13" s="32">
        <f>SUM(N7:N12)</f>
        <v>4502488164</v>
      </c>
      <c r="P13" s="31">
        <f>SUM(P7:P12)</f>
        <v>386463542</v>
      </c>
      <c r="Q13" s="32">
        <f>SUM(Q7:Q12)</f>
        <v>4637562504</v>
      </c>
      <c r="R13" s="25"/>
      <c r="S13" s="31">
        <f>SUM(S7:S12)</f>
        <v>398057425</v>
      </c>
      <c r="T13" s="32">
        <f>SUM(T7:T12)</f>
        <v>4776689100</v>
      </c>
    </row>
    <row r="14" spans="2:20" x14ac:dyDescent="0.2">
      <c r="K14" s="29"/>
    </row>
    <row r="15" spans="2:20" customFormat="1" x14ac:dyDescent="0.2">
      <c r="K15" s="29"/>
    </row>
    <row r="17" spans="8:9" x14ac:dyDescent="0.2">
      <c r="H17" s="25"/>
      <c r="I17" s="25"/>
    </row>
    <row r="18" spans="8:9" x14ac:dyDescent="0.2">
      <c r="H18" s="25"/>
      <c r="I18" s="25"/>
    </row>
    <row r="19" spans="8:9" x14ac:dyDescent="0.2">
      <c r="H19" s="25"/>
      <c r="I19" s="25"/>
    </row>
    <row r="20" spans="8:9" x14ac:dyDescent="0.2">
      <c r="H20" s="25"/>
      <c r="I20" s="25"/>
    </row>
    <row r="21" spans="8:9" x14ac:dyDescent="0.2">
      <c r="H21" s="25"/>
      <c r="I21" s="25"/>
    </row>
    <row r="22" spans="8:9" x14ac:dyDescent="0.2">
      <c r="H22" s="25"/>
      <c r="I22" s="25"/>
    </row>
    <row r="23" spans="8:9" x14ac:dyDescent="0.2">
      <c r="H23" s="25"/>
      <c r="I23" s="25"/>
    </row>
    <row r="24" spans="8:9" x14ac:dyDescent="0.2">
      <c r="H24" s="25"/>
      <c r="I24" s="25"/>
    </row>
    <row r="25" spans="8:9" x14ac:dyDescent="0.2">
      <c r="H25" s="25"/>
      <c r="I25" s="25"/>
    </row>
    <row r="26" spans="8:9" x14ac:dyDescent="0.2">
      <c r="H26" s="25"/>
      <c r="I26" s="25"/>
    </row>
    <row r="27" spans="8:9" x14ac:dyDescent="0.2">
      <c r="H27" s="25"/>
      <c r="I27" s="25"/>
    </row>
    <row r="28" spans="8:9" x14ac:dyDescent="0.2">
      <c r="H28" s="25"/>
      <c r="I28" s="25"/>
    </row>
    <row r="29" spans="8:9" x14ac:dyDescent="0.2">
      <c r="H29" s="25"/>
      <c r="I29" s="25"/>
    </row>
    <row r="30" spans="8:9" x14ac:dyDescent="0.2">
      <c r="H30" s="25"/>
      <c r="I30" s="25"/>
    </row>
    <row r="31" spans="8:9" x14ac:dyDescent="0.2">
      <c r="H31" s="25"/>
      <c r="I31" s="25"/>
    </row>
    <row r="32" spans="8:9" x14ac:dyDescent="0.2">
      <c r="H32" s="25"/>
      <c r="I32" s="25"/>
    </row>
    <row r="33" spans="8:9" x14ac:dyDescent="0.2">
      <c r="H33" s="25"/>
      <c r="I33" s="25"/>
    </row>
    <row r="34" spans="8:9" x14ac:dyDescent="0.2">
      <c r="H34" s="25"/>
      <c r="I34" s="25"/>
    </row>
    <row r="35" spans="8:9" x14ac:dyDescent="0.2">
      <c r="H35" s="25"/>
      <c r="I35" s="25"/>
    </row>
    <row r="36" spans="8:9" x14ac:dyDescent="0.2">
      <c r="H36" s="25"/>
      <c r="I36" s="25"/>
    </row>
    <row r="37" spans="8:9" x14ac:dyDescent="0.2">
      <c r="H37" s="25"/>
      <c r="I37" s="25"/>
    </row>
    <row r="40" spans="8:9" customFormat="1" ht="12.75" x14ac:dyDescent="0.2"/>
    <row r="41" spans="8:9" customFormat="1" ht="12.75" x14ac:dyDescent="0.2"/>
    <row r="42" spans="8:9" customFormat="1" ht="34.5" customHeight="1" x14ac:dyDescent="0.2"/>
    <row r="43" spans="8:9" customFormat="1" ht="21.75" customHeight="1" x14ac:dyDescent="0.2"/>
    <row r="44" spans="8:9" customFormat="1" ht="25.5" customHeight="1" x14ac:dyDescent="0.2"/>
    <row r="45" spans="8:9" customFormat="1" ht="12.75" x14ac:dyDescent="0.2"/>
    <row r="46" spans="8:9" customFormat="1" ht="12.75" x14ac:dyDescent="0.2"/>
    <row r="47" spans="8:9" customFormat="1" ht="12.75" x14ac:dyDescent="0.2"/>
    <row r="48" spans="8:9" customFormat="1" ht="38.25" customHeight="1" x14ac:dyDescent="0.2"/>
    <row r="49" customFormat="1" ht="12.75" x14ac:dyDescent="0.2"/>
    <row r="50" customFormat="1" ht="12.75" x14ac:dyDescent="0.2"/>
    <row r="51" customFormat="1" ht="12.75" x14ac:dyDescent="0.2"/>
    <row r="52" customFormat="1" ht="12.75" x14ac:dyDescent="0.2"/>
  </sheetData>
  <mergeCells count="8">
    <mergeCell ref="B13:J13"/>
    <mergeCell ref="L5:N5"/>
    <mergeCell ref="O5:Q5"/>
    <mergeCell ref="R5:T5"/>
    <mergeCell ref="B1:K1"/>
    <mergeCell ref="B2:K2"/>
    <mergeCell ref="D5:E5"/>
    <mergeCell ref="J5:K5"/>
  </mergeCells>
  <printOptions horizontalCentered="1" verticalCentered="1"/>
  <pageMargins left="0.74803149606299213" right="0.74803149606299213" top="0.98425196850393704" bottom="0.98425196850393704" header="0" footer="0"/>
  <pageSetup scale="45" orientation="landscape" r:id="rId1"/>
  <headerFooter alignWithMargins="0">
    <oddFooter>&amp;L&amp;"Bookman Old Style,Negrita"Superintendencia de Industria y Comercio&amp;C&amp;"Bookman Old Style,Negrita"Estudio Precios de 
Mercado&amp;R&amp;D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EPRECIOS</vt:lpstr>
      <vt:lpstr>EPRECIOS MENSUAL</vt:lpstr>
      <vt:lpstr>EPRECIOS ANUAL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ORJUELA</dc:creator>
  <cp:lastModifiedBy>Marcelo Barreto Daza</cp:lastModifiedBy>
  <cp:lastPrinted>2022-08-25T20:04:13Z</cp:lastPrinted>
  <dcterms:created xsi:type="dcterms:W3CDTF">2020-06-09T19:58:06Z</dcterms:created>
  <dcterms:modified xsi:type="dcterms:W3CDTF">2022-10-07T21:36:42Z</dcterms:modified>
</cp:coreProperties>
</file>