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-my.sharepoint.com/personal/henry_oviedo_aerocivil_gov_co/Documents/PROCESOS CONTRATACION 2022/INDICADORES/PVC 65. INTERVENTORIA APTO SAN ANDRES/"/>
    </mc:Choice>
  </mc:AlternateContent>
  <xr:revisionPtr revIDLastSave="12" documentId="13_ncr:1_{528BC335-D61C-4086-8599-DD641E635643}" xr6:coauthVersionLast="47" xr6:coauthVersionMax="47" xr10:uidLastSave="{377546EE-1DE8-42DA-8101-ADFA0347793E}"/>
  <bookViews>
    <workbookView xWindow="-120" yWindow="-120" windowWidth="29040" windowHeight="15840" xr2:uid="{00000000-000D-0000-FFFF-FFFF00000000}"/>
  </bookViews>
  <sheets>
    <sheet name="Hoja 2" sheetId="2" r:id="rId1"/>
    <sheet name="Hoja1" sheetId="3" r:id="rId2"/>
  </sheets>
  <definedNames>
    <definedName name="_xlnm._FilterDatabase" localSheetId="0" hidden="1">'Hoja 2'!$A$19:$J$201</definedName>
    <definedName name="_xlnm.Print_Titles" localSheetId="0">'Hoja 2'!$19:$19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3" i="2" l="1"/>
  <c r="F11" i="2"/>
  <c r="D343" i="2"/>
  <c r="J313" i="2"/>
  <c r="I313" i="2"/>
  <c r="D313" i="2"/>
  <c r="H313" i="2"/>
  <c r="G313" i="2"/>
  <c r="F313" i="2"/>
  <c r="G324" i="2"/>
  <c r="E324" i="2" l="1"/>
  <c r="C302" i="2"/>
  <c r="C301" i="2"/>
  <c r="C300" i="2"/>
  <c r="C299" i="2"/>
  <c r="C298" i="2"/>
  <c r="C297" i="2"/>
  <c r="C296" i="2"/>
  <c r="C288" i="2"/>
  <c r="C287" i="2"/>
  <c r="C286" i="2"/>
  <c r="C285" i="2"/>
  <c r="C284" i="2"/>
  <c r="C283" i="2"/>
  <c r="C282" i="2"/>
  <c r="C274" i="2"/>
  <c r="C273" i="2"/>
  <c r="C272" i="2"/>
  <c r="C271" i="2"/>
  <c r="C270" i="2"/>
  <c r="C269" i="2"/>
  <c r="C268" i="2"/>
  <c r="C259" i="2"/>
  <c r="C258" i="2"/>
  <c r="C257" i="2"/>
  <c r="C256" i="2"/>
  <c r="C255" i="2"/>
  <c r="C246" i="2"/>
  <c r="C245" i="2"/>
  <c r="C244" i="2"/>
  <c r="C243" i="2"/>
  <c r="C242" i="2"/>
  <c r="C241" i="2"/>
  <c r="C240" i="2"/>
  <c r="C231" i="2"/>
  <c r="C230" i="2"/>
  <c r="C229" i="2"/>
  <c r="C221" i="2"/>
  <c r="C220" i="2"/>
  <c r="C219" i="2"/>
  <c r="C218" i="2"/>
  <c r="C217" i="2"/>
  <c r="C216" i="2"/>
  <c r="C215" i="2"/>
  <c r="C214" i="2"/>
  <c r="J208" i="2"/>
  <c r="J207" i="2"/>
  <c r="J206" i="2"/>
  <c r="J205" i="2"/>
  <c r="I208" i="2"/>
  <c r="I207" i="2"/>
  <c r="I206" i="2"/>
  <c r="I205" i="2"/>
  <c r="H208" i="2"/>
  <c r="H207" i="2"/>
  <c r="H206" i="2"/>
  <c r="H205" i="2"/>
  <c r="F208" i="2"/>
  <c r="F207" i="2"/>
  <c r="F206" i="2"/>
  <c r="F205" i="2"/>
  <c r="E208" i="2"/>
  <c r="E207" i="2"/>
  <c r="E206" i="2"/>
  <c r="E205" i="2"/>
  <c r="D208" i="2"/>
  <c r="D207" i="2"/>
  <c r="D206" i="2"/>
  <c r="D205" i="2"/>
  <c r="G208" i="2" l="1"/>
  <c r="G207" i="2"/>
  <c r="G206" i="2"/>
  <c r="G205" i="2"/>
  <c r="C289" i="2" l="1"/>
  <c r="C260" i="2"/>
  <c r="C303" i="2"/>
  <c r="C275" i="2"/>
  <c r="C247" i="2"/>
  <c r="C232" i="2"/>
  <c r="C222" i="2" l="1"/>
  <c r="B203" i="2" l="1"/>
  <c r="D300" i="2" l="1"/>
  <c r="D256" i="2"/>
  <c r="D257" i="2"/>
  <c r="D229" i="2"/>
  <c r="D230" i="2"/>
  <c r="D286" i="2"/>
  <c r="D282" i="2"/>
  <c r="D246" i="2"/>
  <c r="D242" i="2"/>
  <c r="D302" i="2"/>
  <c r="D298" i="2"/>
  <c r="D274" i="2"/>
  <c r="D270" i="2"/>
  <c r="D259" i="2"/>
  <c r="D240" i="2"/>
  <c r="D283" i="2"/>
  <c r="D269" i="2"/>
  <c r="D299" i="2"/>
  <c r="D285" i="2"/>
  <c r="D271" i="2"/>
  <c r="D244" i="2"/>
  <c r="D287" i="2"/>
  <c r="D273" i="2"/>
  <c r="D258" i="2"/>
  <c r="D255" i="2"/>
  <c r="D231" i="2"/>
  <c r="D297" i="2"/>
  <c r="D268" i="2"/>
  <c r="D241" i="2"/>
  <c r="D284" i="2"/>
  <c r="D296" i="2"/>
  <c r="D243" i="2"/>
  <c r="D301" i="2"/>
  <c r="D272" i="2"/>
  <c r="D245" i="2"/>
  <c r="D288" i="2"/>
  <c r="D217" i="2"/>
  <c r="D215" i="2"/>
  <c r="D218" i="2"/>
  <c r="D220" i="2"/>
  <c r="D221" i="2"/>
  <c r="D219" i="2"/>
  <c r="D214" i="2"/>
  <c r="D216" i="2"/>
  <c r="D232" i="2" l="1"/>
  <c r="D303" i="2"/>
  <c r="D247" i="2"/>
  <c r="D289" i="2"/>
  <c r="D260" i="2"/>
  <c r="D275" i="2"/>
  <c r="D222" i="2"/>
</calcChain>
</file>

<file path=xl/sharedStrings.xml><?xml version="1.0" encoding="utf-8"?>
<sst xmlns="http://schemas.openxmlformats.org/spreadsheetml/2006/main" count="556" uniqueCount="290">
  <si>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</si>
  <si>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</si>
  <si>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</si>
  <si>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</si>
  <si>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</si>
  <si>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</si>
  <si>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</si>
  <si>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</si>
  <si>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</si>
  <si>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</si>
  <si>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DES. ESTANDAR</t>
  </si>
  <si>
    <t>MINIMO</t>
  </si>
  <si>
    <t>MAXIMO</t>
  </si>
  <si>
    <t>OBJETO:</t>
  </si>
  <si>
    <t>TOTAL</t>
  </si>
  <si>
    <t>CANTIDAD DE EMPRESAS</t>
  </si>
  <si>
    <t>MODALIDAD:</t>
  </si>
  <si>
    <t>% DE LA MUESTRA QUE CUMPLE EL CRITERIO</t>
  </si>
  <si>
    <t>Elaboró:</t>
  </si>
  <si>
    <t>Aprobó:</t>
  </si>
  <si>
    <t>RANGO</t>
  </si>
  <si>
    <t>5,1 - 10</t>
  </si>
  <si>
    <t>20,1 - 30</t>
  </si>
  <si>
    <t>30,1 - 50</t>
  </si>
  <si>
    <t>&gt; 50</t>
  </si>
  <si>
    <t>0 - 1</t>
  </si>
  <si>
    <t>1,1 - 2</t>
  </si>
  <si>
    <t>2,1 - 5</t>
  </si>
  <si>
    <t>10,1 - 20</t>
  </si>
  <si>
    <t>&lt; 0</t>
  </si>
  <si>
    <t xml:space="preserve"> = 0</t>
  </si>
  <si>
    <t>&gt; 0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</si>
  <si>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</si>
  <si>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</si>
  <si>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</si>
  <si>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</si>
  <si>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</si>
  <si>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</si>
  <si>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</si>
  <si>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0 - $10m</t>
  </si>
  <si>
    <t>$10m - $100m</t>
  </si>
  <si>
    <t>&gt; $100m</t>
  </si>
  <si>
    <t>Gastos de intereses = 0</t>
  </si>
  <si>
    <t>2,1 - 4</t>
  </si>
  <si>
    <t>4,1 - 6</t>
  </si>
  <si>
    <t>&gt; 6</t>
  </si>
  <si>
    <t>CANTIDAD DE EMPRESAS IDENTIFICADAS COMO MUESTRA PARA EL ANALISIS:</t>
  </si>
  <si>
    <t>2,1 - 3</t>
  </si>
  <si>
    <t>3,1 - 4</t>
  </si>
  <si>
    <t>&gt; 4</t>
  </si>
  <si>
    <t>0 - 2</t>
  </si>
  <si>
    <t>6,1 - 8</t>
  </si>
  <si>
    <t>&gt; 8</t>
  </si>
  <si>
    <t>OBJETO</t>
  </si>
  <si>
    <t>VALOR</t>
  </si>
  <si>
    <t>Valores Expresados en Miles de $</t>
  </si>
  <si>
    <t>Clasificación Internacional Industrial Uniforme (CIIU) Versión 4.</t>
  </si>
  <si>
    <t>PROMEDIO</t>
  </si>
  <si>
    <t>MENOR O IGUAL A 
70%</t>
  </si>
  <si>
    <t>Plazo de ejecución (meses)</t>
  </si>
  <si>
    <t>ANÁLISIS DE SECTOR – INFORMACIÓN FINANCIERA</t>
  </si>
  <si>
    <t>DIRECCIÓN FINANCIERA</t>
  </si>
  <si>
    <t>PROCESOS DE CONTRATACIÓN</t>
  </si>
  <si>
    <t>Fuente de Información: PIE (Portal de Información Empresarial) - Superintendencia de Sociedades</t>
  </si>
  <si>
    <t>Presupuesto del 
Proceso ($)</t>
  </si>
  <si>
    <t>RECOMENDACIÓN SUGERIDA INICIAL:</t>
  </si>
  <si>
    <t>1. CÁLCULO 
ESTADÍSTICO</t>
  </si>
  <si>
    <t>D) Patrimonio = Activo total - Pasivo total.
Mide la cantidad de recursos propios del proponente.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</si>
  <si>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</si>
  <si>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</si>
  <si>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</si>
  <si>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</si>
  <si>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</si>
  <si>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</si>
  <si>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0 - 1,1</t>
  </si>
  <si>
    <t>1,2 - 2</t>
  </si>
  <si>
    <r>
      <t xml:space="preserve">LIQUIDEZ
</t>
    </r>
    <r>
      <rPr>
        <sz val="9"/>
        <color theme="1"/>
        <rFont val="Work Sans"/>
      </rPr>
      <t>MAYOR O IGUAL A</t>
    </r>
  </si>
  <si>
    <t>ENTIDAD Y AÑO</t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</si>
  <si>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</si>
  <si>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</si>
  <si>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</si>
  <si>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ACTIVOS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</si>
  <si>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</si>
  <si>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</si>
  <si>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t>2. COMPORTAMIENTO DE LOS ÍNDICES EN LA MUESTRA DEL SECTOR</t>
  </si>
  <si>
    <t>4. CONCLUSIONES</t>
  </si>
  <si>
    <t>CRITERIOS RECOMENDADOS:</t>
  </si>
  <si>
    <t>ANÁLISIS DEL SECTOR</t>
  </si>
  <si>
    <t/>
  </si>
  <si>
    <t>3. ANALISIS DEL SECTOR DE ACUERDO CON LOS PROCESOS REALIZADOS POR OTRAS ENTIDADES PÚBLICAS O EN LA AEROCIVIL EN VIG ANT. DE LA MISMA NATURALEZA DEL OBJETO CONTRACTUAL DEL PRESENTO PROCESO.</t>
  </si>
  <si>
    <t>CONCURSO DE MERITOS ABIERTO</t>
  </si>
  <si>
    <t>PALO SANTO CONSTRUCCIONES S.A.S.</t>
  </si>
  <si>
    <t>PROYECTOS A GRAN ESCALA PROGRESSA SAS</t>
  </si>
  <si>
    <t>EXCAVACIONES JOBEPA SL SUCURSAL EN COLOMBIA</t>
  </si>
  <si>
    <t>ABS SERVICIOS DE INGENIERIA Y SUMINISTROS SAS</t>
  </si>
  <si>
    <t>F4290 - Construcción de otras obras de ingeniería civil</t>
  </si>
  <si>
    <t>F4210 - Construcción de carreteras y vías de ferrocarril</t>
  </si>
  <si>
    <t>MEGAEQUIPOS S.A.S</t>
  </si>
  <si>
    <t>N7730 - Alquiler y arrendamiento de otros tipos de maquinaria, equipo y bienes tangibles n.c.p.</t>
  </si>
  <si>
    <t>COZADEL SAS</t>
  </si>
  <si>
    <t>CONCRE ACERO SAS</t>
  </si>
  <si>
    <t>CIVALCO SAS</t>
  </si>
  <si>
    <t>M7110 - Actividades de arquitectura e ingeniería y otras actividades conexas de consultoría técnica</t>
  </si>
  <si>
    <t>EMPRESA DE DESARROLLO URBANO DE BARRANQUILLA Y LA REGION CARIBE SA</t>
  </si>
  <si>
    <t>CONSTRUCTORA DE OBRAS DE VIVIENDA E INGENIERIA SAS</t>
  </si>
  <si>
    <t>GEOCONSTRUCCIONES DE OCCIDENTE S.A.</t>
  </si>
  <si>
    <t>MONTAJES TECNICOS ZAMBRANO Y VARGAS SAS</t>
  </si>
  <si>
    <t>NYL ELECTRONICA SA</t>
  </si>
  <si>
    <t>HGC ARQUITECTOS LTDA</t>
  </si>
  <si>
    <t>ZONA FRANCA DE RIONEGRO S.A. USUARIO OPERADOR DE ZONA FRANCA</t>
  </si>
  <si>
    <t>M7020 - Actividades de consultaría de gestión</t>
  </si>
  <si>
    <t>KAMATI LIMITADA</t>
  </si>
  <si>
    <t>802013660</t>
  </si>
  <si>
    <t>MCC INGENIERIA SAS</t>
  </si>
  <si>
    <t>MR INGENIEROS SAS</t>
  </si>
  <si>
    <t>CONSULTORIA Y MEDIO AMBIENTE SA</t>
  </si>
  <si>
    <t>ELECTROOUNIVERSAL S.A.S</t>
  </si>
  <si>
    <t>CAMINOS DEL CAMPESTRE S.A.CONSTRUCA S.A.</t>
  </si>
  <si>
    <t>CIM COMPAÑIA DE INGENIERIA Y MONTAJES SAS</t>
  </si>
  <si>
    <t>SUITCO SA</t>
  </si>
  <si>
    <t>NC CONSTRUCCIONES</t>
  </si>
  <si>
    <t>COMPAÑIA DE SERVICIOS MARITIMOS Y TERRESTRES SAS</t>
  </si>
  <si>
    <t>INGENIERIA INMOBILIARIA SA</t>
  </si>
  <si>
    <t>SOPORTICA SAS</t>
  </si>
  <si>
    <t>CONSULTORIA EN GESTION DE RIESGOS SURAMERICANA SAS</t>
  </si>
  <si>
    <t>CH ARQUITECTOS SAS</t>
  </si>
  <si>
    <t>HYDROTECH OBRAS CIVILES SAS</t>
  </si>
  <si>
    <t>CUBIERTAS TECNICAS DE COLOMBIA S.A.S.</t>
  </si>
  <si>
    <t>METALICAS E INGENIERIA SAS</t>
  </si>
  <si>
    <t>CIAM SAS</t>
  </si>
  <si>
    <t>ICM INENIERIA CONSTRUCCIONES Y MONTAJES SAS</t>
  </si>
  <si>
    <t>SOLUCIONES DE INGENIERIA S.A.S.</t>
  </si>
  <si>
    <t>SERVICIOS SANITARIOS PORTATILES BAÑOMOVIL SAS</t>
  </si>
  <si>
    <t>HAY GROUP LTDA</t>
  </si>
  <si>
    <t>CAL Y MAYOR Y ASOCIADOS SC</t>
  </si>
  <si>
    <t>AUTOMATIZACIONAVANZADA SA</t>
  </si>
  <si>
    <t>RENTEK SAS</t>
  </si>
  <si>
    <t>TECNA INTEGRITY AND CORROSION ENGINEERING S.A</t>
  </si>
  <si>
    <t>INGENIERIA Y PROYECTOS DE INFRAESSTRUCTURA IPI SAS</t>
  </si>
  <si>
    <t>BVQI COLOMBIA LTDA</t>
  </si>
  <si>
    <t xml:space="preserve">ALQUILERES Y SERVICIOS SA  Y DE FORMA ABREVIADA COMO ALQUISER EN REORGANIZACION </t>
  </si>
  <si>
    <t>HP FINANCIAL SERVICES COLOMBIA LLC SUCURSAL COLOMBIA</t>
  </si>
  <si>
    <t>SERVICIOS Y OBRAS SEOBRA SAS</t>
  </si>
  <si>
    <t>M &amp; M INGENIEROS ASOCIADOS SAS</t>
  </si>
  <si>
    <t>PERTDPM</t>
  </si>
  <si>
    <t>ARCOMAT SAS</t>
  </si>
  <si>
    <t>GLOBAL LOGISTICS OPERATIONS LTDA</t>
  </si>
  <si>
    <t>|INGENIERIA COLOMBIANA Y ALQUILER DE MAQUINARIA INGECOLMAQ SAS</t>
  </si>
  <si>
    <t>PROAIRE SAS</t>
  </si>
  <si>
    <t>HELM BANCA DE INVERSION SAS</t>
  </si>
  <si>
    <t>BOL INGENIEROS Y ARQUITECTOS S.A.</t>
  </si>
  <si>
    <t>A&amp;D ALVARADO &amp; DURING S.A.  EN REORGANIZACION</t>
  </si>
  <si>
    <t>NOVACAMPO SAS SCI</t>
  </si>
  <si>
    <t>lLONG TERM INITIATIVES COLOMBIA SAS</t>
  </si>
  <si>
    <t>ambiente y desarrollo sas</t>
  </si>
  <si>
    <t>QUANTUM COLOMBIA SAS</t>
  </si>
  <si>
    <t>SILK BANCA DE IONVERSIONES SAS</t>
  </si>
  <si>
    <t>PCS AUTOMATIZACION Y CONTROL SAS</t>
  </si>
  <si>
    <t>SERVICIOS PETROLEROS MORA BERMUDEZ ASOCIADOS SAS</t>
  </si>
  <si>
    <t>Gelvez &amp; Ramirez Ingenieria y Desarrollo SAS</t>
  </si>
  <si>
    <t>ARDECO SAS</t>
  </si>
  <si>
    <t>AGREGADOS EL VINCULO LTDA</t>
  </si>
  <si>
    <t>MLAR INGENIERIA EU</t>
  </si>
  <si>
    <t>SOCIEDAD IMPERMEABILIZADORA ATA SASSOCIEDAD IMPERMEABILIZADORA ATA SAS</t>
  </si>
  <si>
    <t>GESTION Y DISEÑOS ELECTRICOS SAS</t>
  </si>
  <si>
    <t>INGENIERIA E HIDROSISTEMAS GRUPO DE CONSULTORIA SA</t>
  </si>
  <si>
    <t>FAWCETT SAS</t>
  </si>
  <si>
    <t>Deloitte Asesores y Consultores ltda</t>
  </si>
  <si>
    <t>KPMG ADVISORY TAX &amp; LEGAL</t>
  </si>
  <si>
    <t>PAVIMENTO UNIVERSAL S.A.</t>
  </si>
  <si>
    <t>AGENCIA DE ADUANAS GAMA SAS NIVEL1</t>
  </si>
  <si>
    <t>SOTECO S.A.S</t>
  </si>
  <si>
    <t>ARRENDAEQUIPOS S.A.S.</t>
  </si>
  <si>
    <t>INDUSTRIAS DEL HIERRO S.A.S</t>
  </si>
  <si>
    <t>INVERSORA FURATENA SAS</t>
  </si>
  <si>
    <t>DISEÑO Y CONSTRUCCION DE OBRAS  Y PROYECTOS SAS</t>
  </si>
  <si>
    <t>ECA S.A.S. CONSTRUCCIONES Y SERVICIOS INTEGRALES .</t>
  </si>
  <si>
    <t>CONSTRUCTORES CONSULTORES PLUS SAS</t>
  </si>
  <si>
    <t>FH CONSTRUCTORES SAS</t>
  </si>
  <si>
    <t>INFOTIC SA</t>
  </si>
  <si>
    <t>DIXPRO SAS</t>
  </si>
  <si>
    <t>ZULUAGA Y CASTAÑO Y CIA S EN C</t>
  </si>
  <si>
    <t>MGJ INGENIEROS ARQUITECTOS  CONSTRUCTORES SAS</t>
  </si>
  <si>
    <t>DIVERSIFICAR SAS</t>
  </si>
  <si>
    <t>PROCTEK SAS</t>
  </si>
  <si>
    <t>INPROYECT SAS</t>
  </si>
  <si>
    <t>ASFALTADORA ANTIOQUEÑA SAS</t>
  </si>
  <si>
    <t>ANDIRENT SAS</t>
  </si>
  <si>
    <t>GENERAL SUPPLIES Y CIA LTDA</t>
  </si>
  <si>
    <t>MONTACARGAS MS LTDA</t>
  </si>
  <si>
    <t>MAPOS CONSTRUCCIONES SAS</t>
  </si>
  <si>
    <t>OBRAS CIVILES DE OCCIDENTE SAS</t>
  </si>
  <si>
    <t>ENTERPRISE MANAGEMENT SERVICES SAS</t>
  </si>
  <si>
    <t>JK SALCEDOS S.A.S.</t>
  </si>
  <si>
    <t>Constructora amavia sas</t>
  </si>
  <si>
    <t>CONSTRUCTORA CALCAMAR SA</t>
  </si>
  <si>
    <t>MAXSMINERA S.A.</t>
  </si>
  <si>
    <t>SIGA INGENIERIA Y CONSULTORIA SA SUCURSAL COLOMBIA</t>
  </si>
  <si>
    <t>ARNOLDO BERROCAL INGENIERIA SAS</t>
  </si>
  <si>
    <t>JORGE FANDIÑO SAS</t>
  </si>
  <si>
    <t>DOBLE R ARQUITECTURA E INGENIERIA S.A.S</t>
  </si>
  <si>
    <t>COPROGEN S.A</t>
  </si>
  <si>
    <t>SISTEMAS EN PROTECCION CONTRA INCENDIO S.A.S</t>
  </si>
  <si>
    <t>PRESTIGIO FORMACION EJECUTIVA SAS</t>
  </si>
  <si>
    <t>HARP INGENIERIA LTDA</t>
  </si>
  <si>
    <t>CONSTRUCCIONES PACIFIC SAS</t>
  </si>
  <si>
    <t>TILT-UP SAS</t>
  </si>
  <si>
    <t>ARQUITECTURA Y CONSTRUCCIONES MM DEL CARIBE SAS</t>
  </si>
  <si>
    <t>GINCCO SAS</t>
  </si>
  <si>
    <t>MAQUINAS &amp; MAQUINAS SAS</t>
  </si>
  <si>
    <t>SONDEOS ESTRUCTURAS Y GEOTECNIA SUCURSAL COLOMBIA</t>
  </si>
  <si>
    <t>GENERA CAPITAL SAS</t>
  </si>
  <si>
    <t>ARQUITECTURA, INGENIERIA, DISEÑO Y CONSTRUCCION S.A.S.</t>
  </si>
  <si>
    <t>INGENIERIA CIVIL &amp; AMBIENTAL - INGENIEROS CONSULTORES S.A.S. EN PROCESO DE REORGANIZACION</t>
  </si>
  <si>
    <t>GAIN CAPITAL SAS</t>
  </si>
  <si>
    <t>PRODEDI SAS</t>
  </si>
  <si>
    <t>EUROESTUDIOS SAS</t>
  </si>
  <si>
    <t>INCGROUP SAS</t>
  </si>
  <si>
    <t>SORC INGENIERIA SAS</t>
  </si>
  <si>
    <t>TOTBUILDING BODEGAS INDUSTRIALES SAS</t>
  </si>
  <si>
    <t>A &amp; A INGENIERIA ELECTRICA SAS</t>
  </si>
  <si>
    <t>PEYCO COLOMBIA</t>
  </si>
  <si>
    <t>DESARROLLOS TERRESTRES SAS</t>
  </si>
  <si>
    <t>RESTREPO ROJAS PINEDA ARQUITECTOS SAS</t>
  </si>
  <si>
    <t>ALIANZA AGREGADOS SAS</t>
  </si>
  <si>
    <t>Alianza PB SAS</t>
  </si>
  <si>
    <t>Idom Consulting, Engineering, Architecture SAU Sucursal Colombia</t>
  </si>
  <si>
    <t>GERENCIA Y PROMOCION INMOBILIARIA SAS</t>
  </si>
  <si>
    <t>AIRTIFICIAL INTELLIGENCE STRUCTURES S.A. SUCURSAL EN COLOMBIA</t>
  </si>
  <si>
    <t>PAVIMENTACIONES MORALES SL SUCURSAL EN COLOMBIA</t>
  </si>
  <si>
    <t>AYESA INGENIERIA Y ARQUITECTURA S.A.U SUCURSAL COLOMBIA</t>
  </si>
  <si>
    <t>SACYR CONSTRUCCION SA SUCURSAL COLOMBIA</t>
  </si>
  <si>
    <t>GESTION VIAL INTEGRAL SAS</t>
  </si>
  <si>
    <t>ICEACSA CONSULTORES SUCURSAL COLOMBIA</t>
  </si>
  <si>
    <t>SACYR CHILE S.A SUCURSAL COLOMBIA</t>
  </si>
  <si>
    <t>ROSEN COLOMBIA SAS</t>
  </si>
  <si>
    <t>RH CONSTRUCTORES SAS</t>
  </si>
  <si>
    <t>CARTAGO NOVA S.A.S.</t>
  </si>
  <si>
    <t>Socia BPO SAS</t>
  </si>
  <si>
    <t>MARTIN CASILLAS SUCURSAL  C</t>
  </si>
  <si>
    <t>THE BOSTON CONSULTING GROUP S.A.S.</t>
  </si>
  <si>
    <t>NACIONAL DE PERFORACIONES EN REORGANIZACION SAS</t>
  </si>
  <si>
    <t>AVENIDA COLOMBIA MANAGEMENT COMPANY SAS</t>
  </si>
  <si>
    <t>STEN COLOMBIA</t>
  </si>
  <si>
    <t>SERVICIOS ESTRATEGICOS COMPARTIDOS SAS</t>
  </si>
  <si>
    <t>TRITURADOS PAZ DE RIO SAS</t>
  </si>
  <si>
    <t>A.T. KEARNEY S.A.S.</t>
  </si>
  <si>
    <t>CONSTRUCTORA SOLE SAS</t>
  </si>
  <si>
    <t>UNIDAD DE INFRAESTRUCTURA  Y CONSTRUCCIONES ASOCIADAS SAA</t>
  </si>
  <si>
    <t>SERRANO BLANCO S.A.S.</t>
  </si>
  <si>
    <t>VEKTOR GROUP S.A.S</t>
  </si>
  <si>
    <t>URBANIZAR SUR SAS</t>
  </si>
  <si>
    <t>H+ERA SAS</t>
  </si>
  <si>
    <t>IMPULSA COLOMBIA SAS</t>
  </si>
  <si>
    <t>EUROESTUDIOS INGENIEROS DE CONSULTA SAS</t>
  </si>
  <si>
    <t>JS SERVIPETROL SAS</t>
  </si>
  <si>
    <t>HILTON WORLDWIDE MANAGE BRANCHCO LIMITED</t>
  </si>
  <si>
    <t>PROMOTORA MIRADOR DE PLAN PAREJO S.A.S.</t>
  </si>
  <si>
    <t>EXL SERVICES COLOMBIA SAS</t>
  </si>
  <si>
    <t>LUGON SAS</t>
  </si>
  <si>
    <t>CONSTRUCTORA ALEJANDRIA DE INDIAS SAS</t>
  </si>
  <si>
    <t>PETRODATOS COLOMBIA SAS</t>
  </si>
  <si>
    <t>SERVICIOS DE INTERVENTORIA INTEGRAL S.A.S..</t>
  </si>
  <si>
    <t>ASFALTOS MEDELLIN SAS</t>
  </si>
  <si>
    <t>PROCOL PROYECTOS DE COLOMBIA SAS</t>
  </si>
  <si>
    <t>WD INVESTMENT SAS</t>
  </si>
  <si>
    <t>GUANABARA DESARROLLOS INMOBILIARIOS SAS</t>
  </si>
  <si>
    <t>CREDIBIKE  COLOMBIA SAS</t>
  </si>
  <si>
    <t>TECNICAS REUNIDAS DE COLOMBIA SAS</t>
  </si>
  <si>
    <t>INGENIERIA DE VIAS SAS</t>
  </si>
  <si>
    <t>EQUIPSO Y TRITURADOS SAS</t>
  </si>
  <si>
    <t>HMV INGENIEROS LTDA</t>
  </si>
  <si>
    <t>CONSTRUCCIONES OBYCON SAS</t>
  </si>
  <si>
    <t>ARQUITECTURA Y CONSTRUCCIONES SAS</t>
  </si>
  <si>
    <t>UNION ELECTRICA S.A.</t>
  </si>
  <si>
    <t>ROYAL RENTAL COLOMBIA S.A.S</t>
  </si>
  <si>
    <t>Patrimonio:
  (10% del PO)</t>
  </si>
  <si>
    <t>MAYOR O IGUAL A 
$146,000.000</t>
  </si>
  <si>
    <t>MAYOR O IGUAL A 
1, VECES</t>
  </si>
  <si>
    <t>MAYOR O IGUAL A 
0%</t>
  </si>
  <si>
    <t>MAYOR O IGUAL A 
1 VECES</t>
  </si>
  <si>
    <t>Capital de Trabajo: 3* (PO/n)</t>
  </si>
  <si>
    <t>Héctor Rodriguez González - Director Financiera (E )</t>
  </si>
  <si>
    <t xml:space="preserve">Presupuesto vigencia 2022: </t>
  </si>
  <si>
    <t xml:space="preserve">Presupuesto vigencia 2023: </t>
  </si>
  <si>
    <t xml:space="preserve">Presupuesto vigencia 2025: </t>
  </si>
  <si>
    <t xml:space="preserve">Presupuesto vigencia 2024: </t>
  </si>
  <si>
    <t>Paula Villalobos Castro - Contratista Dirección Financiera</t>
  </si>
  <si>
    <t>REALIZAR LA INTERVENTORIA INTEGRAL AL MANTENIMIENTO DE LA INFRAESTRUCTURA FISICA AEROPORTUARIA LADO AIRE Y TIERRA DE LOS AEROPUERTOS DE SAN ANDRES Y PROVIDENCIA, INCLUYENDO AYUDAS AEROPORTUARIAS Y EQUIPOS ELECTROMECANICOS</t>
  </si>
  <si>
    <t>MAYOR O IGUAL A 
$297.300.000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</si>
</sst>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166" fontId="6" fillId="2" borderId="0" xfId="0" applyNumberFormat="1" applyFont="1" applyFill="1" applyBorder="1" applyAlignment="1">
      <alignment horizontal="center" vertical="center" wrapText="1"/>
    </xf>
    <xf numFmtId="166" fontId="8" fillId="0" borderId="0" xfId="3" applyNumberFormat="1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NumberFormat="1" applyFont="1"/>
    <xf numFmtId="0" fontId="8" fillId="0" borderId="0" xfId="0" applyFont="1"/>
    <xf numFmtId="0" fontId="6" fillId="0" borderId="0" xfId="0" applyFont="1"/>
    <xf numFmtId="0" fontId="6" fillId="0" borderId="0" xfId="0" applyFont="1" applyBorder="1"/>
    <xf numFmtId="0" fontId="8" fillId="0" borderId="0" xfId="0" applyFont="1" applyFill="1"/>
    <xf numFmtId="167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166" fontId="3" fillId="4" borderId="4" xfId="0" applyNumberFormat="1" applyFont="1" applyFill="1" applyBorder="1" applyAlignment="1">
      <alignment horizontal="center" vertical="center" wrapText="1"/>
    </xf>
    <xf numFmtId="168" fontId="8" fillId="0" borderId="0" xfId="1" applyNumberFormat="1" applyFont="1"/>
    <xf numFmtId="0" fontId="6" fillId="0" borderId="10" xfId="0" applyFont="1" applyFill="1" applyBorder="1" applyAlignment="1">
      <alignment vertical="center"/>
    </xf>
    <xf numFmtId="0" fontId="8" fillId="0" borderId="0" xfId="0" applyFont="1" applyBorder="1"/>
    <xf numFmtId="0" fontId="7" fillId="0" borderId="4" xfId="0" applyFont="1" applyFill="1" applyBorder="1"/>
    <xf numFmtId="0" fontId="7" fillId="0" borderId="4" xfId="0" applyFont="1" applyFill="1" applyBorder="1" applyAlignment="1"/>
    <xf numFmtId="166" fontId="7" fillId="0" borderId="4" xfId="3" applyNumberFormat="1" applyFont="1" applyFill="1" applyBorder="1" applyAlignment="1">
      <alignment horizontal="center"/>
    </xf>
    <xf numFmtId="169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169" fontId="9" fillId="0" borderId="4" xfId="0" applyNumberFormat="1" applyFont="1" applyBorder="1"/>
    <xf numFmtId="9" fontId="8" fillId="0" borderId="4" xfId="2" applyNumberFormat="1" applyFont="1" applyFill="1" applyBorder="1" applyAlignment="1">
      <alignment horizontal="center"/>
    </xf>
    <xf numFmtId="9" fontId="8" fillId="0" borderId="0" xfId="2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9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3" fontId="8" fillId="0" borderId="0" xfId="0" applyNumberFormat="1" applyFont="1"/>
    <xf numFmtId="169" fontId="8" fillId="0" borderId="0" xfId="3" applyNumberFormat="1" applyFont="1" applyFill="1" applyBorder="1" applyAlignment="1"/>
    <xf numFmtId="9" fontId="8" fillId="0" borderId="0" xfId="2" applyFont="1" applyFill="1" applyBorder="1" applyAlignment="1">
      <alignment horizontal="center"/>
    </xf>
    <xf numFmtId="169" fontId="0" fillId="0" borderId="0" xfId="0" applyNumberFormat="1"/>
    <xf numFmtId="1" fontId="8" fillId="0" borderId="0" xfId="3" applyNumberFormat="1" applyFont="1" applyFill="1" applyBorder="1" applyAlignment="1">
      <alignment horizontal="center"/>
    </xf>
    <xf numFmtId="3" fontId="0" fillId="0" borderId="0" xfId="0" applyNumberFormat="1"/>
    <xf numFmtId="167" fontId="8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9" fontId="3" fillId="0" borderId="13" xfId="2" applyFont="1" applyFill="1" applyBorder="1" applyAlignment="1">
      <alignment horizontal="center" vertical="center" wrapText="1"/>
    </xf>
    <xf numFmtId="0" fontId="8" fillId="3" borderId="14" xfId="0" applyFont="1" applyFill="1" applyBorder="1"/>
    <xf numFmtId="0" fontId="8" fillId="3" borderId="8" xfId="0" applyFont="1" applyFill="1" applyBorder="1"/>
    <xf numFmtId="166" fontId="6" fillId="2" borderId="8" xfId="0" applyNumberFormat="1" applyFont="1" applyFill="1" applyBorder="1" applyAlignment="1">
      <alignment horizontal="center" vertical="center" wrapText="1"/>
    </xf>
    <xf numFmtId="166" fontId="6" fillId="2" borderId="15" xfId="0" applyNumberFormat="1" applyFont="1" applyFill="1" applyBorder="1" applyAlignment="1">
      <alignment horizontal="center" vertical="center" wrapText="1"/>
    </xf>
    <xf numFmtId="6" fontId="8" fillId="0" borderId="0" xfId="0" applyNumberFormat="1" applyFont="1"/>
    <xf numFmtId="6" fontId="6" fillId="0" borderId="16" xfId="0" applyNumberFormat="1" applyFont="1" applyBorder="1"/>
    <xf numFmtId="166" fontId="3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wrapText="1"/>
    </xf>
    <xf numFmtId="0" fontId="6" fillId="4" borderId="4" xfId="0" applyFont="1" applyFill="1" applyBorder="1" applyAlignment="1">
      <alignment horizontal="center"/>
    </xf>
  </cellXfs>
  <cellStyles count="4">
    <cellStyle name="Millares" xfId="1" builtinId="3"/>
    <cellStyle name="Millares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D6A-4A7F-83E3-BECDA7C889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D6A-4A7F-83E3-BECDA7C889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D6A-4A7F-83E3-BECDA7C889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D6A-4A7F-83E3-BECDA7C889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D6A-4A7F-83E3-BECDA7C8895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D6A-4A7F-83E3-BECDA7C88952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D6A-4A7F-83E3-BECDA7C8895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D6A-4A7F-83E3-BECDA7C889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2'!$B$213:$B$221</c15:sqref>
                  </c15:fullRef>
                </c:ext>
              </c:extLst>
              <c:f>'Hoja 2'!$B$214:$B$221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2'!$C$213:$C$221</c15:sqref>
                  </c15:fullRef>
                </c:ext>
              </c:extLst>
              <c:f>'Hoja 2'!$C$214:$C$221</c:f>
              <c:numCache>
                <c:formatCode>#,##0</c:formatCode>
                <c:ptCount val="8"/>
                <c:pt idx="0">
                  <c:v>0</c:v>
                </c:pt>
                <c:pt idx="1">
                  <c:v>180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2'!$D$213:$D$221</c15:f>
                <c15:dlblRangeCache>
                  <c:ptCount val="9"/>
                  <c:pt idx="1">
                    <c:v>0,00%</c:v>
                  </c:pt>
                  <c:pt idx="2">
                    <c:v>100,00%</c:v>
                  </c:pt>
                  <c:pt idx="3">
                    <c:v>0,00%</c:v>
                  </c:pt>
                  <c:pt idx="4">
                    <c:v>0,00%</c:v>
                  </c:pt>
                  <c:pt idx="5">
                    <c:v>0,00%</c:v>
                  </c:pt>
                  <c:pt idx="6">
                    <c:v>0,00%</c:v>
                  </c:pt>
                  <c:pt idx="7">
                    <c:v>0,00%</c:v>
                  </c:pt>
                  <c:pt idx="8">
                    <c:v>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3A7-4C66-8E2A-F0BEEF04415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8231400"/>
        <c:axId val="4182192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23A7-4C66-8E2A-F0BEEF04415F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23A7-4C66-8E2A-F0BEEF04415F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23A7-4C66-8E2A-F0BEEF04415F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23A7-4C66-8E2A-F0BEEF04415F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3A7-4C66-8E2A-F0BEEF04415F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23A7-4C66-8E2A-F0BEEF04415F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23A7-4C66-8E2A-F0BEEF04415F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A110-48BC-8700-1780898B75F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2'!$B$213:$B$221</c15:sqref>
                        </c15:fullRef>
                        <c15:formulaRef>
                          <c15:sqref>'Hoja 2'!$B$214:$B$221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2'!$D$213:$D$221</c15:sqref>
                        </c15:fullRef>
                        <c15:formulaRef>
                          <c15:sqref>'Hoja 2'!$D$214:$D$221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2'!$D$214:$D$221</c15:f>
                      <c15:dlblRangeCache>
                        <c:ptCount val="8"/>
                        <c:pt idx="0">
                          <c:v>0,00%</c:v>
                        </c:pt>
                        <c:pt idx="1">
                          <c:v>100,00%</c:v>
                        </c:pt>
                        <c:pt idx="2">
                          <c:v>0,00%</c:v>
                        </c:pt>
                        <c:pt idx="3">
                          <c:v>0,00%</c:v>
                        </c:pt>
                        <c:pt idx="4">
                          <c:v>0,00%</c:v>
                        </c:pt>
                        <c:pt idx="5">
                          <c:v>0,00%</c:v>
                        </c:pt>
                        <c:pt idx="6">
                          <c:v>0,00%</c:v>
                        </c:pt>
                        <c:pt idx="7">
                          <c:v>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23A7-4C66-8E2A-F0BEEF04415F}"/>
                  </c:ext>
                </c:extLst>
              </c15:ser>
            </c15:filteredBarSeries>
          </c:ext>
        </c:extLst>
      </c:barChart>
      <c:catAx>
        <c:axId val="41823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19264"/>
        <c:crosses val="autoZero"/>
        <c:auto val="1"/>
        <c:lblAlgn val="ctr"/>
        <c:lblOffset val="100"/>
        <c:noMultiLvlLbl val="0"/>
      </c:catAx>
      <c:valAx>
        <c:axId val="4182192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31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31F-45BE-8FC6-80FE63F0B0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631F-45BE-8FC6-80FE63F0B0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631F-45BE-8FC6-80FE63F0B05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631F-45BE-8FC6-80FE63F0B05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631F-45BE-8FC6-80FE63F0B05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631F-45BE-8FC6-80FE63F0B05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631F-45BE-8FC6-80FE63F0B0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2'!$B$239:$B$246</c15:sqref>
                  </c15:fullRef>
                </c:ext>
              </c:extLst>
              <c:f>'Hoja 2'!$B$240:$B$246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2'!$C$239:$C$246</c15:sqref>
                  </c15:fullRef>
                </c:ext>
              </c:extLst>
              <c:f>'Hoja 2'!$C$240:$C$246</c:f>
              <c:numCache>
                <c:formatCode>#,##0</c:formatCode>
                <c:ptCount val="7"/>
                <c:pt idx="0">
                  <c:v>13</c:v>
                </c:pt>
                <c:pt idx="1">
                  <c:v>21</c:v>
                </c:pt>
                <c:pt idx="2">
                  <c:v>39</c:v>
                </c:pt>
                <c:pt idx="3">
                  <c:v>52</c:v>
                </c:pt>
                <c:pt idx="4">
                  <c:v>55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2'!$D$239:$D$246</c15:f>
                <c15:dlblRangeCache>
                  <c:ptCount val="8"/>
                  <c:pt idx="1">
                    <c:v>7,22%</c:v>
                  </c:pt>
                  <c:pt idx="2">
                    <c:v>11,67%</c:v>
                  </c:pt>
                  <c:pt idx="3">
                    <c:v>21,67%</c:v>
                  </c:pt>
                  <c:pt idx="4">
                    <c:v>28,89%</c:v>
                  </c:pt>
                  <c:pt idx="5">
                    <c:v>30,56%</c:v>
                  </c:pt>
                  <c:pt idx="6">
                    <c:v>0,00%</c:v>
                  </c:pt>
                  <c:pt idx="7">
                    <c:v>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CFE-436C-BABB-1572C2D39CD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2804888"/>
        <c:axId val="5930595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ECFE-436C-BABB-1572C2D39CD2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ECFE-436C-BABB-1572C2D39CD2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ECFE-436C-BABB-1572C2D39CD2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ECFE-436C-BABB-1572C2D39CD2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ECFE-436C-BABB-1572C2D39CD2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ECFE-436C-BABB-1572C2D39CD2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ECFE-436C-BABB-1572C2D39CD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2'!$B$239:$B$246</c15:sqref>
                        </c15:fullRef>
                        <c15:formulaRef>
                          <c15:sqref>'Hoja 2'!$B$240:$B$246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2'!$D$239:$D$246</c15:sqref>
                        </c15:fullRef>
                        <c15:formulaRef>
                          <c15:sqref>'Hoja 2'!$D$240:$D$246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7.2222222222222215E-2</c:v>
                      </c:pt>
                      <c:pt idx="1">
                        <c:v>0.11666666666666667</c:v>
                      </c:pt>
                      <c:pt idx="2">
                        <c:v>0.21666666666666667</c:v>
                      </c:pt>
                      <c:pt idx="3">
                        <c:v>0.28888888888888886</c:v>
                      </c:pt>
                      <c:pt idx="4">
                        <c:v>0.30555555555555558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2'!$D$239:$D$246</c15:f>
                      <c15:dlblRangeCache>
                        <c:ptCount val="8"/>
                        <c:pt idx="1">
                          <c:v>7,22%</c:v>
                        </c:pt>
                        <c:pt idx="2">
                          <c:v>11,67%</c:v>
                        </c:pt>
                        <c:pt idx="3">
                          <c:v>21,67%</c:v>
                        </c:pt>
                        <c:pt idx="4">
                          <c:v>28,89%</c:v>
                        </c:pt>
                        <c:pt idx="5">
                          <c:v>30,56%</c:v>
                        </c:pt>
                        <c:pt idx="6">
                          <c:v>0,00%</c:v>
                        </c:pt>
                        <c:pt idx="7">
                          <c:v>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ECFE-436C-BABB-1572C2D39CD2}"/>
                  </c:ext>
                </c:extLst>
              </c15:ser>
            </c15:filteredBarSeries>
          </c:ext>
        </c:extLst>
      </c:barChart>
      <c:catAx>
        <c:axId val="41280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3059576"/>
        <c:crosses val="autoZero"/>
        <c:auto val="1"/>
        <c:lblAlgn val="ctr"/>
        <c:lblOffset val="100"/>
        <c:noMultiLvlLbl val="0"/>
      </c:catAx>
      <c:valAx>
        <c:axId val="59305957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80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DCD-4DA1-ABC9-BA25ABFC7E0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DCD-4DA1-ABC9-BA25ABFC7E0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DCD-4DA1-ABC9-BA25ABFC7E0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DCD-4DA1-ABC9-BA25ABFC7E0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DCD-4DA1-ABC9-BA25ABFC7E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2'!$B$254:$B$260</c15:sqref>
                  </c15:fullRef>
                </c:ext>
              </c:extLst>
              <c:f>'Hoja 2'!$B$255:$B$259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2'!$C$254:$C$260</c15:sqref>
                  </c15:fullRef>
                </c:ext>
              </c:extLst>
              <c:f>'Hoja 2'!$C$255:$C$259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58</c:v>
                </c:pt>
                <c:pt idx="3">
                  <c:v>104</c:v>
                </c:pt>
                <c:pt idx="4">
                  <c:v>18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2'!$D$254:$D$259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32,22%</c:v>
                  </c:pt>
                  <c:pt idx="4">
                    <c:v>57,78%</c:v>
                  </c:pt>
                  <c:pt idx="5">
                    <c:v>10,00%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9673-41DD-AF5F-1B756E8900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5189256"/>
        <c:axId val="41518860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4-9673-41DD-AF5F-1B756E890014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5-9673-41DD-AF5F-1B756E890014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9673-41DD-AF5F-1B756E890014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9673-41DD-AF5F-1B756E890014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9673-41DD-AF5F-1B756E8900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2'!$B$254:$B$260</c15:sqref>
                        </c15:fullRef>
                        <c15:formulaRef>
                          <c15:sqref>'Hoja 2'!$B$255:$B$259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2'!$D$254:$D$260</c15:sqref>
                        </c15:fullRef>
                        <c15:formulaRef>
                          <c15:sqref>'Hoja 2'!$D$255:$D$259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0.32222222222222224</c:v>
                      </c:pt>
                      <c:pt idx="3">
                        <c:v>0.57777777777777772</c:v>
                      </c:pt>
                      <c:pt idx="4">
                        <c:v>0.1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2'!$D$255:$D$259</c15:f>
                      <c15:dlblRangeCache>
                        <c:ptCount val="5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32,22%</c:v>
                        </c:pt>
                        <c:pt idx="3">
                          <c:v>57,78%</c:v>
                        </c:pt>
                        <c:pt idx="4">
                          <c:v>10,00%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9673-41DD-AF5F-1B756E890014}"/>
                  </c:ext>
                </c:extLst>
              </c15:ser>
            </c15:filteredBarSeries>
          </c:ext>
        </c:extLst>
      </c:barChart>
      <c:catAx>
        <c:axId val="41518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8600"/>
        <c:crosses val="autoZero"/>
        <c:auto val="1"/>
        <c:lblAlgn val="ctr"/>
        <c:lblOffset val="100"/>
        <c:noMultiLvlLbl val="0"/>
      </c:catAx>
      <c:valAx>
        <c:axId val="41518860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81FA0B4-0E91-4A49-9391-78B8917BAA0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64171A1-3113-4F22-B401-E55BC09BA3A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C4F-4D1C-BD03-0B5AC645AD6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C4F-4D1C-BD03-0B5AC645AD6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C4F-4D1C-BD03-0B5AC645AD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2'!$B$228:$B$231</c15:sqref>
                  </c15:fullRef>
                </c:ext>
              </c:extLst>
              <c:f>'Hoja 2'!$B$229:$B$231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2'!$C$228:$C$231</c15:sqref>
                  </c15:fullRef>
                </c:ext>
              </c:extLst>
              <c:f>'Hoja 2'!$C$229:$C$231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180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2'!$D$228:$D$231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C4F-4D1C-BD03-0B5AC645AD6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2022392"/>
        <c:axId val="4120151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2'!$B$228:$B$231</c15:sqref>
                        </c15:fullRef>
                        <c15:formulaRef>
                          <c15:sqref>'Hoja 2'!$B$229:$B$231</c15:sqref>
                        </c15:formulaRef>
                      </c:ext>
                    </c:extLst>
                    <c:strCache>
                      <c:ptCount val="3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&gt; 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2'!$D$228:$D$231</c15:sqref>
                        </c15:fullRef>
                        <c15:formulaRef>
                          <c15:sqref>'Hoja 2'!$D$229:$D$231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C4F-4D1C-BD03-0B5AC645AD61}"/>
                  </c:ext>
                </c:extLst>
              </c15:ser>
            </c15:filteredBarSeries>
          </c:ext>
        </c:extLst>
      </c:barChart>
      <c:catAx>
        <c:axId val="4120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15176"/>
        <c:crosses val="autoZero"/>
        <c:auto val="1"/>
        <c:lblAlgn val="ctr"/>
        <c:lblOffset val="100"/>
        <c:noMultiLvlLbl val="0"/>
      </c:catAx>
      <c:valAx>
        <c:axId val="412015176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2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F0-42AA-AB71-ECE75DBCE1A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F0-42AA-AB71-ECE75DBCE1A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F0-42AA-AB71-ECE75DBCE1A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F0-42AA-AB71-ECE75DBCE1A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F0-42AA-AB71-ECE75DBCE1A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F0-42AA-AB71-ECE75DBCE1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2'!$B$267:$B$274</c15:sqref>
                  </c15:fullRef>
                </c:ext>
              </c:extLst>
              <c:f>'Hoja 2'!$B$269:$B$274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2'!$C$267:$C$274</c15:sqref>
                  </c15:fullRef>
                </c:ext>
              </c:extLst>
              <c:f>'Hoja 2'!$C$269:$C$274</c:f>
              <c:numCache>
                <c:formatCode>#,##0</c:formatCode>
                <c:ptCount val="6"/>
                <c:pt idx="0">
                  <c:v>0</c:v>
                </c:pt>
                <c:pt idx="1">
                  <c:v>4</c:v>
                </c:pt>
                <c:pt idx="2">
                  <c:v>26</c:v>
                </c:pt>
                <c:pt idx="3">
                  <c:v>27</c:v>
                </c:pt>
                <c:pt idx="4">
                  <c:v>24</c:v>
                </c:pt>
                <c:pt idx="5">
                  <c:v>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2'!$D$267:$D$274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2,22%</c:v>
                  </c:pt>
                  <c:pt idx="4">
                    <c:v>14,44%</c:v>
                  </c:pt>
                  <c:pt idx="5">
                    <c:v>15,00%</c:v>
                  </c:pt>
                  <c:pt idx="6">
                    <c:v>13,33%</c:v>
                  </c:pt>
                  <c:pt idx="7">
                    <c:v>55,00%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F0-42AA-AB71-ECE75DBCE1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577680"/>
        <c:axId val="57257800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1CF0-42AA-AB71-ECE75DBCE1AA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1CF0-42AA-AB71-ECE75DBCE1AA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1CF0-42AA-AB71-ECE75DBCE1AA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1CF0-42AA-AB71-ECE75DBCE1AA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6113D7B5-7824-4C51-89E3-7698730BD430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61E1118-55EE-488A-9F9E-26FD37A4A94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1CF0-42AA-AB71-ECE75DBCE1AA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1CF0-42AA-AB71-ECE75DBCE1AA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2'!$B$267:$B$274</c15:sqref>
                        </c15:fullRef>
                        <c15:formulaRef>
                          <c15:sqref>'Hoja 2'!$B$269:$B$274</c15:sqref>
                        </c15:formulaRef>
                      </c:ext>
                    </c:extLst>
                    <c:strCache>
                      <c:ptCount val="6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2'!$D$267:$D$274</c15:sqref>
                        </c15:fullRef>
                        <c15:formulaRef>
                          <c15:sqref>'Hoja 2'!$D$269:$D$274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2.2222222222222223E-2</c:v>
                      </c:pt>
                      <c:pt idx="2">
                        <c:v>0.14444444444444443</c:v>
                      </c:pt>
                      <c:pt idx="3">
                        <c:v>0.15</c:v>
                      </c:pt>
                      <c:pt idx="4">
                        <c:v>0.13333333333333333</c:v>
                      </c:pt>
                      <c:pt idx="5">
                        <c:v>0.55000000000000004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2'!$D$267:$D$274</c15:f>
                      <c15:dlblRangeCache>
                        <c:ptCount val="8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2,22%</c:v>
                        </c:pt>
                        <c:pt idx="4">
                          <c:v>14,44%</c:v>
                        </c:pt>
                        <c:pt idx="5">
                          <c:v>15,00%</c:v>
                        </c:pt>
                        <c:pt idx="6">
                          <c:v>13,33%</c:v>
                        </c:pt>
                        <c:pt idx="7">
                          <c:v>55,00%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1CF0-42AA-AB71-ECE75DBCE1AA}"/>
                  </c:ext>
                </c:extLst>
              </c15:ser>
            </c15:filteredBarSeries>
          </c:ext>
        </c:extLst>
      </c:barChart>
      <c:catAx>
        <c:axId val="5725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8008"/>
        <c:crosses val="autoZero"/>
        <c:auto val="1"/>
        <c:lblAlgn val="ctr"/>
        <c:lblOffset val="100"/>
        <c:noMultiLvlLbl val="0"/>
      </c:catAx>
      <c:valAx>
        <c:axId val="572578008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CC5-47A8-BD50-65DFF185053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CC5-47A8-BD50-65DFF185053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CC5-47A8-BD50-65DFF185053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CC5-47A8-BD50-65DFF185053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CC5-47A8-BD50-65DFF185053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CC5-47A8-BD50-65DFF185053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ACC5-47A8-BD50-65DFF185053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2'!$B$281:$B$288</c15:sqref>
                  </c15:fullRef>
                </c:ext>
              </c:extLst>
              <c:f>'Hoja 2'!$B$282:$B$288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2'!$C$281:$C$288</c15:sqref>
                  </c15:fullRef>
                </c:ext>
              </c:extLst>
              <c:f>'Hoja 2'!$C$282:$C$288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14</c:v>
                </c:pt>
                <c:pt idx="5">
                  <c:v>8</c:v>
                </c:pt>
                <c:pt idx="6">
                  <c:v>153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2'!$D$281:$D$288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2,78%</c:v>
                  </c:pt>
                  <c:pt idx="5">
                    <c:v>7,78%</c:v>
                  </c:pt>
                  <c:pt idx="6">
                    <c:v>4,44%</c:v>
                  </c:pt>
                  <c:pt idx="7">
                    <c:v>85,00%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ACC5-47A8-BD50-65DFF185053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986944"/>
        <c:axId val="5719885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2'!$B$281:$B$288</c15:sqref>
                        </c15:fullRef>
                        <c15:formulaRef>
                          <c15:sqref>'Hoja 2'!$B$282:$B$288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2'!$D$281:$D$288</c15:sqref>
                        </c15:fullRef>
                        <c15:formulaRef>
                          <c15:sqref>'Hoja 2'!$D$282:$D$288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2.7777777777777776E-2</c:v>
                      </c:pt>
                      <c:pt idx="4">
                        <c:v>7.7777777777777779E-2</c:v>
                      </c:pt>
                      <c:pt idx="5">
                        <c:v>4.4444444444444446E-2</c:v>
                      </c:pt>
                      <c:pt idx="6">
                        <c:v>0.85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CC5-47A8-BD50-65DFF1850539}"/>
                  </c:ext>
                </c:extLst>
              </c15:ser>
            </c15:filteredBarSeries>
          </c:ext>
        </c:extLst>
      </c:barChart>
      <c:catAx>
        <c:axId val="57198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8584"/>
        <c:crosses val="autoZero"/>
        <c:auto val="1"/>
        <c:lblAlgn val="ctr"/>
        <c:lblOffset val="100"/>
        <c:noMultiLvlLbl val="0"/>
      </c:catAx>
      <c:valAx>
        <c:axId val="57198858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CC6-471F-ADF9-7D4D3F47368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C6-471F-ADF9-7D4D3F47368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C6-471F-ADF9-7D4D3F47368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C6-471F-ADF9-7D4D3F47368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C6-471F-ADF9-7D4D3F47368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C6-471F-ADF9-7D4D3F47368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C6-471F-ADF9-7D4D3F4736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2'!$B$295:$B$302</c15:sqref>
                  </c15:fullRef>
                </c:ext>
              </c:extLst>
              <c:f>'Hoja 2'!$B$296:$B$302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2'!$C$295:$C$302</c15:sqref>
                  </c15:fullRef>
                </c:ext>
              </c:extLst>
              <c:f>'Hoja 2'!$C$296:$C$302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19</c:v>
                </c:pt>
                <c:pt idx="3">
                  <c:v>33</c:v>
                </c:pt>
                <c:pt idx="4">
                  <c:v>25</c:v>
                </c:pt>
                <c:pt idx="5">
                  <c:v>25</c:v>
                </c:pt>
                <c:pt idx="6">
                  <c:v>78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2'!$D$295:$D$302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10,56%</c:v>
                  </c:pt>
                  <c:pt idx="4">
                    <c:v>18,33%</c:v>
                  </c:pt>
                  <c:pt idx="5">
                    <c:v>13,89%</c:v>
                  </c:pt>
                  <c:pt idx="6">
                    <c:v>13,89%</c:v>
                  </c:pt>
                  <c:pt idx="7">
                    <c:v>43,33%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C6-471F-ADF9-7D4D3F47368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297608"/>
        <c:axId val="57229695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2'!$B$295:$B$302</c15:sqref>
                        </c15:fullRef>
                        <c15:formulaRef>
                          <c15:sqref>'Hoja 2'!$B$296:$B$302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2'!$D$295:$D$302</c15:sqref>
                        </c15:fullRef>
                        <c15:formulaRef>
                          <c15:sqref>'Hoja 2'!$D$296:$D$302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0.10555555555555556</c:v>
                      </c:pt>
                      <c:pt idx="3">
                        <c:v>0.18333333333333332</c:v>
                      </c:pt>
                      <c:pt idx="4">
                        <c:v>0.1388888888888889</c:v>
                      </c:pt>
                      <c:pt idx="5">
                        <c:v>0.1388888888888889</c:v>
                      </c:pt>
                      <c:pt idx="6">
                        <c:v>0.43333333333333335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CC6-471F-ADF9-7D4D3F47368A}"/>
                  </c:ext>
                </c:extLst>
              </c15:ser>
            </c15:filteredBarSeries>
          </c:ext>
        </c:extLst>
      </c:barChart>
      <c:catAx>
        <c:axId val="57229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6952"/>
        <c:crosses val="autoZero"/>
        <c:auto val="1"/>
        <c:lblAlgn val="ctr"/>
        <c:lblOffset val="100"/>
        <c:noMultiLvlLbl val="0"/>
      </c:catAx>
      <c:valAx>
        <c:axId val="57229695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7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38098</xdr:colOff>
      <xdr:row>209</xdr:row>
      <xdr:rowOff>152399</xdr:rowOff>
    </xdr:from>
    <xdr:to>
      <xdr:col>15</xdr:col>
      <xdr:colOff>361950</xdr:colOff>
      <xdr:row>222</xdr:row>
      <xdr:rowOff>142874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236</xdr:row>
      <xdr:rowOff>28575</xdr:rowOff>
    </xdr:from>
    <xdr:to>
      <xdr:col>15</xdr:col>
      <xdr:colOff>390526</xdr:colOff>
      <xdr:row>250</xdr:row>
      <xdr:rowOff>104775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251</xdr:row>
      <xdr:rowOff>47624</xdr:rowOff>
    </xdr:from>
    <xdr:to>
      <xdr:col>15</xdr:col>
      <xdr:colOff>381000</xdr:colOff>
      <xdr:row>263</xdr:row>
      <xdr:rowOff>57150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19050</xdr:colOff>
      <xdr:row>225</xdr:row>
      <xdr:rowOff>19050</xdr:rowOff>
    </xdr:from>
    <xdr:to>
      <xdr:col>15</xdr:col>
      <xdr:colOff>371476</xdr:colOff>
      <xdr:row>235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</xdr:colOff>
      <xdr:row>264</xdr:row>
      <xdr:rowOff>28575</xdr:rowOff>
    </xdr:from>
    <xdr:to>
      <xdr:col>15</xdr:col>
      <xdr:colOff>390526</xdr:colOff>
      <xdr:row>277</xdr:row>
      <xdr:rowOff>28575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28575</xdr:colOff>
      <xdr:row>277</xdr:row>
      <xdr:rowOff>123825</xdr:rowOff>
    </xdr:from>
    <xdr:to>
      <xdr:col>15</xdr:col>
      <xdr:colOff>371475</xdr:colOff>
      <xdr:row>291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19049</xdr:colOff>
      <xdr:row>292</xdr:row>
      <xdr:rowOff>66675</xdr:rowOff>
    </xdr:from>
    <xdr:to>
      <xdr:col>15</xdr:col>
      <xdr:colOff>381000</xdr:colOff>
      <xdr:row>306</xdr:row>
      <xdr:rowOff>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344"/>
  <sheetViews>
    <sheetView tabSelected="1" topLeftCell="A307" workbookViewId="0">
      <selection activeCell="B325" sqref="B324:B325"/>
    </sheetView>
  </sheetViews>
  <sheetFormatPr baseColWidth="10" defaultRowHeight="12" x14ac:dyDescent="0.2"/>
  <cols>
    <col min="1" max="1" width="27.42578125" style="16" customWidth="1"/>
    <col min="2" max="2" width="23.28515625" style="16" customWidth="1"/>
    <col min="3" max="3" width="18" style="16" customWidth="1"/>
    <col min="4" max="6" width="15.7109375" style="16" customWidth="1"/>
    <col min="7" max="7" width="0.140625" style="16" customWidth="1"/>
    <col min="8" max="8" width="16.28515625" style="16" customWidth="1"/>
    <col min="9" max="9" width="15.85546875" style="16" customWidth="1"/>
    <col min="10" max="10" width="16.140625" style="16" customWidth="1"/>
    <col min="11" max="16" width="17.140625" style="16" customWidth="1"/>
    <col min="17" max="16384" width="11.42578125" style="16"/>
  </cols>
  <sheetData>
    <row r="3" spans="1:10" x14ac:dyDescent="0.2">
      <c r="F3" s="92" t="s">
        <v>61</v>
      </c>
      <c r="G3" s="92"/>
      <c r="H3" s="92"/>
      <c r="I3" s="92"/>
      <c r="J3" s="92"/>
    </row>
    <row r="4" spans="1:10" x14ac:dyDescent="0.2">
      <c r="F4" s="92" t="s">
        <v>60</v>
      </c>
      <c r="G4" s="92"/>
      <c r="H4" s="92"/>
      <c r="I4" s="92"/>
      <c r="J4" s="92"/>
    </row>
    <row r="5" spans="1:10" x14ac:dyDescent="0.2">
      <c r="F5" s="92" t="s">
        <v>62</v>
      </c>
      <c r="G5" s="92"/>
      <c r="H5" s="92"/>
      <c r="I5" s="92"/>
      <c r="J5" s="92"/>
    </row>
    <row r="7" spans="1:10" ht="12.75" thickBot="1" x14ac:dyDescent="0.25"/>
    <row r="8" spans="1:10" ht="47.25" customHeight="1" thickTop="1" thickBot="1" x14ac:dyDescent="0.25">
      <c r="A8" s="21" t="s">
        <v>13</v>
      </c>
      <c r="B8" s="94" t="s">
        <v>288</v>
      </c>
      <c r="C8" s="95"/>
      <c r="D8" s="95"/>
      <c r="E8" s="95"/>
      <c r="F8" s="96"/>
      <c r="G8" s="21" t="s">
        <v>16</v>
      </c>
      <c r="H8" s="97" t="s">
        <v>90</v>
      </c>
      <c r="I8" s="98"/>
      <c r="J8" s="99"/>
    </row>
    <row r="9" spans="1:10" s="19" customFormat="1" ht="13.5" customHeight="1" thickTop="1" thickBot="1" x14ac:dyDescent="0.25">
      <c r="A9" s="24"/>
      <c r="B9" s="23"/>
      <c r="C9" s="23"/>
      <c r="D9" s="23"/>
      <c r="E9" s="23"/>
      <c r="F9" s="23"/>
      <c r="G9" s="24"/>
      <c r="H9" s="23"/>
      <c r="I9" s="23"/>
      <c r="J9" s="23"/>
    </row>
    <row r="10" spans="1:10" ht="18" customHeight="1" thickTop="1" thickBot="1" x14ac:dyDescent="0.25">
      <c r="A10" s="83" t="s">
        <v>65</v>
      </c>
      <c r="B10" s="84"/>
      <c r="C10" s="84"/>
      <c r="D10" s="84"/>
      <c r="E10" s="84"/>
      <c r="F10" s="84"/>
      <c r="G10" s="84"/>
      <c r="H10" s="84"/>
      <c r="I10" s="44"/>
    </row>
    <row r="11" spans="1:10" ht="39" customHeight="1" thickTop="1" thickBot="1" x14ac:dyDescent="0.25">
      <c r="A11" s="22" t="s">
        <v>64</v>
      </c>
      <c r="B11" s="68">
        <v>2378092927</v>
      </c>
      <c r="C11" s="22" t="s">
        <v>59</v>
      </c>
      <c r="D11" s="25">
        <v>24</v>
      </c>
      <c r="E11" s="22" t="s">
        <v>281</v>
      </c>
      <c r="F11" s="68">
        <f>MROUND((3*($B$11/$D$11)),100000)</f>
        <v>297300000</v>
      </c>
      <c r="G11" s="22" t="s">
        <v>276</v>
      </c>
      <c r="H11" s="68"/>
    </row>
    <row r="12" spans="1:10" ht="13.5" thickTop="1" thickBot="1" x14ac:dyDescent="0.25"/>
    <row r="13" spans="1:10" ht="13.5" thickTop="1" thickBot="1" x14ac:dyDescent="0.25">
      <c r="A13" s="85" t="s">
        <v>87</v>
      </c>
      <c r="B13" s="86"/>
      <c r="C13" s="86"/>
      <c r="D13" s="86"/>
      <c r="E13" s="86"/>
      <c r="F13" s="86"/>
      <c r="G13" s="86"/>
      <c r="H13" s="86"/>
      <c r="I13" s="86"/>
      <c r="J13" s="87"/>
    </row>
    <row r="14" spans="1:10" ht="12.75" thickTop="1" x14ac:dyDescent="0.2"/>
    <row r="15" spans="1:10" x14ac:dyDescent="0.2">
      <c r="A15" s="17" t="s">
        <v>63</v>
      </c>
    </row>
    <row r="16" spans="1:10" x14ac:dyDescent="0.2">
      <c r="A16" s="18" t="s">
        <v>56</v>
      </c>
    </row>
    <row r="17" spans="1:10" x14ac:dyDescent="0.2">
      <c r="A17" s="18" t="s">
        <v>55</v>
      </c>
    </row>
    <row r="18" spans="1:10" ht="21" customHeight="1" x14ac:dyDescent="0.2"/>
    <row r="19" spans="1:10" ht="120" x14ac:dyDescent="0.2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 x14ac:dyDescent="0.25">
      <c r="A20">
        <v>800042414</v>
      </c>
      <c r="B20" t="s">
        <v>97</v>
      </c>
      <c r="C20" t="s">
        <v>98</v>
      </c>
      <c r="D20" s="13">
        <v>1.4087564077123083</v>
      </c>
      <c r="E20" s="63">
        <v>5221718</v>
      </c>
      <c r="F20" s="64">
        <v>0.50616415609774634</v>
      </c>
      <c r="G20" s="65">
        <v>17996363</v>
      </c>
      <c r="H20" s="64">
        <v>0.10141452507857988</v>
      </c>
      <c r="I20" s="64">
        <v>5.8134968715623264E-2</v>
      </c>
      <c r="J20" s="66">
        <v>5.9596582170321843</v>
      </c>
    </row>
    <row r="21" spans="1:10" ht="15" customHeight="1" x14ac:dyDescent="0.25">
      <c r="A21">
        <v>800043977</v>
      </c>
      <c r="B21" s="67" t="s">
        <v>99</v>
      </c>
      <c r="C21" s="67" t="s">
        <v>95</v>
      </c>
      <c r="D21" s="13">
        <v>1.22300334913372</v>
      </c>
      <c r="E21" s="63">
        <v>1974190</v>
      </c>
      <c r="F21" s="64">
        <v>0.31212815817524736</v>
      </c>
      <c r="G21" s="65">
        <v>10826927</v>
      </c>
      <c r="H21" s="64">
        <v>0.1461801814848977</v>
      </c>
      <c r="I21" s="64">
        <v>8.5396345611270866E-2</v>
      </c>
      <c r="J21" s="66">
        <v>2.3434973259321219</v>
      </c>
    </row>
    <row r="22" spans="1:10" ht="15" customHeight="1" x14ac:dyDescent="0.25">
      <c r="A22">
        <v>800046874</v>
      </c>
      <c r="B22" t="s">
        <v>100</v>
      </c>
      <c r="C22" t="s">
        <v>95</v>
      </c>
      <c r="D22" s="13">
        <v>1.4501715866295397</v>
      </c>
      <c r="E22" s="63">
        <v>10342816</v>
      </c>
      <c r="F22" s="64">
        <v>0.64811088576834586</v>
      </c>
      <c r="G22" s="65">
        <v>33318091</v>
      </c>
      <c r="H22" s="64">
        <v>8.0610687596912103E-2</v>
      </c>
      <c r="I22" s="64">
        <v>3.8610195283997513E-2</v>
      </c>
      <c r="J22" s="66">
        <v>1.3464945472130025</v>
      </c>
    </row>
    <row r="23" spans="1:10" ht="15" customHeight="1" x14ac:dyDescent="0.25">
      <c r="A23">
        <v>800078300</v>
      </c>
      <c r="B23" s="67" t="s">
        <v>101</v>
      </c>
      <c r="C23" s="67" t="s">
        <v>102</v>
      </c>
      <c r="D23" s="13">
        <v>1.6461281817931337</v>
      </c>
      <c r="E23" s="63">
        <v>3142363</v>
      </c>
      <c r="F23" s="64">
        <v>0.64612818179313369</v>
      </c>
      <c r="G23" s="65">
        <v>8005737</v>
      </c>
      <c r="H23" s="64">
        <v>5.7145718178367527E-2</v>
      </c>
      <c r="I23" s="64">
        <v>3.4715229840800416E-2</v>
      </c>
      <c r="J23" s="66">
        <v>1.2895489007878693</v>
      </c>
    </row>
    <row r="24" spans="1:10" ht="15" customHeight="1" x14ac:dyDescent="0.25">
      <c r="A24">
        <v>800091140</v>
      </c>
      <c r="B24" s="67" t="s">
        <v>103</v>
      </c>
      <c r="C24" s="67" t="s">
        <v>102</v>
      </c>
      <c r="D24" s="13">
        <v>1.0158462610092844</v>
      </c>
      <c r="E24" s="63">
        <v>6646868</v>
      </c>
      <c r="F24" s="64">
        <v>2.3793681751035259E-2</v>
      </c>
      <c r="G24" s="65">
        <v>426106575</v>
      </c>
      <c r="H24" s="64">
        <v>1.5488018444131574E-2</v>
      </c>
      <c r="I24" s="64">
        <v>1.0153903398463166E-2</v>
      </c>
      <c r="J24" s="66" t="s">
        <v>88</v>
      </c>
    </row>
    <row r="25" spans="1:10" ht="15" customHeight="1" x14ac:dyDescent="0.25">
      <c r="A25">
        <v>800151054</v>
      </c>
      <c r="B25" t="s">
        <v>104</v>
      </c>
      <c r="C25" t="s">
        <v>95</v>
      </c>
      <c r="D25" s="13">
        <v>1.4435032296387584</v>
      </c>
      <c r="E25" s="63">
        <v>16493780</v>
      </c>
      <c r="F25" s="64">
        <v>0.65731188928638262</v>
      </c>
      <c r="G25" s="65">
        <v>53683543</v>
      </c>
      <c r="H25" s="64">
        <v>0.19681855845682439</v>
      </c>
      <c r="I25" s="64">
        <v>9.1996983135036375E-2</v>
      </c>
      <c r="J25" s="66">
        <v>3.6973886248224757</v>
      </c>
    </row>
    <row r="26" spans="1:10" ht="15" customHeight="1" x14ac:dyDescent="0.25">
      <c r="A26">
        <v>800171669</v>
      </c>
      <c r="B26" s="67" t="s">
        <v>105</v>
      </c>
      <c r="C26" s="67" t="s">
        <v>95</v>
      </c>
      <c r="D26" s="13">
        <v>1.4694035503473912</v>
      </c>
      <c r="E26" s="63">
        <v>2048118</v>
      </c>
      <c r="F26" s="64">
        <v>0.73170904237380174</v>
      </c>
      <c r="G26" s="65">
        <v>6411353</v>
      </c>
      <c r="H26" s="64">
        <v>0.12047817003252488</v>
      </c>
      <c r="I26" s="64">
        <v>5.2598726041133595E-2</v>
      </c>
      <c r="J26" s="66" t="s">
        <v>88</v>
      </c>
    </row>
    <row r="27" spans="1:10" ht="15" customHeight="1" x14ac:dyDescent="0.25">
      <c r="A27">
        <v>800177854</v>
      </c>
      <c r="B27" s="67" t="s">
        <v>106</v>
      </c>
      <c r="C27" s="67" t="s">
        <v>95</v>
      </c>
      <c r="D27" s="13">
        <v>1.4913937329909959</v>
      </c>
      <c r="E27" s="63">
        <v>26946623</v>
      </c>
      <c r="F27" s="64">
        <v>0.52970506139510465</v>
      </c>
      <c r="G27" s="65">
        <v>81783755</v>
      </c>
      <c r="H27" s="64">
        <v>0.19742138319530378</v>
      </c>
      <c r="I27" s="64">
        <v>0.12279971737663549</v>
      </c>
      <c r="J27" s="66">
        <v>5.9259712511661036</v>
      </c>
    </row>
    <row r="28" spans="1:10" ht="15" customHeight="1" x14ac:dyDescent="0.25">
      <c r="A28">
        <v>800179722</v>
      </c>
      <c r="B28" s="67" t="s">
        <v>107</v>
      </c>
      <c r="C28" s="67" t="s">
        <v>102</v>
      </c>
      <c r="D28" s="13">
        <v>1.7175124889238651</v>
      </c>
      <c r="E28" s="63">
        <v>12681503</v>
      </c>
      <c r="F28" s="64">
        <v>0.7276702433234844</v>
      </c>
      <c r="G28" s="65">
        <v>30355764</v>
      </c>
      <c r="H28" s="64">
        <v>0.41429820764730951</v>
      </c>
      <c r="I28" s="64">
        <v>0.23785265295908875</v>
      </c>
      <c r="J28" s="66">
        <v>7.5386622480047114</v>
      </c>
    </row>
    <row r="29" spans="1:10" ht="15" customHeight="1" x14ac:dyDescent="0.25">
      <c r="A29">
        <v>800183149</v>
      </c>
      <c r="B29" s="67" t="s">
        <v>108</v>
      </c>
      <c r="C29" s="67" t="s">
        <v>95</v>
      </c>
      <c r="D29" s="13">
        <v>1.4084999531150397</v>
      </c>
      <c r="E29" s="63">
        <v>4012251</v>
      </c>
      <c r="F29" s="64">
        <v>0.40849995311503978</v>
      </c>
      <c r="G29" s="65">
        <v>13834164</v>
      </c>
      <c r="H29" s="64">
        <v>0.15829828669832446</v>
      </c>
      <c r="I29" s="64">
        <v>0.11238785372213311</v>
      </c>
      <c r="J29" s="66">
        <v>54.651903406095116</v>
      </c>
    </row>
    <row r="30" spans="1:10" ht="15" customHeight="1" x14ac:dyDescent="0.25">
      <c r="A30">
        <v>800194632</v>
      </c>
      <c r="B30" s="67" t="s">
        <v>109</v>
      </c>
      <c r="C30" s="67" t="s">
        <v>110</v>
      </c>
      <c r="D30" s="13">
        <v>1.5402168117509014</v>
      </c>
      <c r="E30" s="63">
        <v>11283790</v>
      </c>
      <c r="F30" s="64">
        <v>0.55331017697281626</v>
      </c>
      <c r="G30" s="65">
        <v>32171311</v>
      </c>
      <c r="H30" s="64">
        <v>0.25913894527330006</v>
      </c>
      <c r="I30" s="64">
        <v>0.16426697687265526</v>
      </c>
      <c r="J30" s="66">
        <v>39.470636123953426</v>
      </c>
    </row>
    <row r="31" spans="1:10" ht="15" customHeight="1" x14ac:dyDescent="0.25">
      <c r="A31">
        <v>800252568</v>
      </c>
      <c r="B31" s="67" t="s">
        <v>111</v>
      </c>
      <c r="C31" s="67" t="s">
        <v>102</v>
      </c>
      <c r="D31" s="13">
        <v>1.6322375790767645</v>
      </c>
      <c r="E31" s="63">
        <v>1947740</v>
      </c>
      <c r="F31" s="64">
        <v>0.63223757907676448</v>
      </c>
      <c r="G31" s="65">
        <v>5028449</v>
      </c>
      <c r="H31" s="64">
        <v>0.67412111952151277</v>
      </c>
      <c r="I31" s="64">
        <v>0.413004288200994</v>
      </c>
      <c r="J31" s="66">
        <v>26.648159316335828</v>
      </c>
    </row>
    <row r="32" spans="1:10" ht="15" customHeight="1" x14ac:dyDescent="0.25">
      <c r="A32">
        <v>802013660</v>
      </c>
      <c r="B32" s="67" t="s">
        <v>112</v>
      </c>
      <c r="C32" s="67" t="s">
        <v>96</v>
      </c>
      <c r="D32" s="13">
        <v>1.7411996541539032</v>
      </c>
      <c r="E32" s="63">
        <v>3666499</v>
      </c>
      <c r="F32" s="64">
        <v>0.74567047314955104</v>
      </c>
      <c r="G32" s="65">
        <v>8613208</v>
      </c>
      <c r="H32" s="64">
        <v>6.2106547625100414E-2</v>
      </c>
      <c r="I32" s="64">
        <v>3.5454966372575697E-2</v>
      </c>
      <c r="J32" s="66">
        <v>0.70465600310123311</v>
      </c>
    </row>
    <row r="33" spans="1:10" ht="15" customHeight="1" x14ac:dyDescent="0.25">
      <c r="A33">
        <v>802019794</v>
      </c>
      <c r="B33" s="67" t="s">
        <v>113</v>
      </c>
      <c r="C33" s="67" t="s">
        <v>95</v>
      </c>
      <c r="D33" s="13">
        <v>1.5227821074264989</v>
      </c>
      <c r="E33" s="63">
        <v>1386082</v>
      </c>
      <c r="F33" s="64">
        <v>0.67330638971738344</v>
      </c>
      <c r="G33" s="65">
        <v>4037439</v>
      </c>
      <c r="H33" s="64">
        <v>0.21326762588530179</v>
      </c>
      <c r="I33" s="64">
        <v>0.10874145714647329</v>
      </c>
      <c r="J33" s="66">
        <v>1.5704683822319518</v>
      </c>
    </row>
    <row r="34" spans="1:10" ht="15" customHeight="1" x14ac:dyDescent="0.25">
      <c r="A34">
        <v>804004100</v>
      </c>
      <c r="B34" s="67" t="s">
        <v>114</v>
      </c>
      <c r="C34" s="67" t="s">
        <v>95</v>
      </c>
      <c r="D34" s="13">
        <v>1.3668941639916705</v>
      </c>
      <c r="E34" s="63">
        <v>17624889</v>
      </c>
      <c r="F34" s="64">
        <v>0.67110001619788628</v>
      </c>
      <c r="G34" s="65">
        <v>65662963</v>
      </c>
      <c r="H34" s="64">
        <v>0.30040518323221016</v>
      </c>
      <c r="I34" s="64">
        <v>0.12015063956221408</v>
      </c>
      <c r="J34" s="66">
        <v>3.6581885643223253</v>
      </c>
    </row>
    <row r="35" spans="1:10" ht="15" customHeight="1" x14ac:dyDescent="0.25">
      <c r="A35">
        <v>804007332</v>
      </c>
      <c r="B35" s="67" t="s">
        <v>115</v>
      </c>
      <c r="C35" s="67" t="s">
        <v>102</v>
      </c>
      <c r="D35" s="13">
        <v>1.6134809068429385</v>
      </c>
      <c r="E35" s="63">
        <v>3823886</v>
      </c>
      <c r="F35" s="64">
        <v>0.70368379511812174</v>
      </c>
      <c r="G35" s="65">
        <v>10056983</v>
      </c>
      <c r="H35" s="64">
        <v>0.34835539372962976</v>
      </c>
      <c r="I35" s="64">
        <v>0.18822712537149561</v>
      </c>
      <c r="J35" s="66">
        <v>6.9480018498671328</v>
      </c>
    </row>
    <row r="36" spans="1:10" ht="15" customHeight="1" x14ac:dyDescent="0.25">
      <c r="A36">
        <v>804007597</v>
      </c>
      <c r="B36" s="67" t="s">
        <v>116</v>
      </c>
      <c r="C36" s="67" t="s">
        <v>95</v>
      </c>
      <c r="D36" s="13">
        <v>1.3722254746244988</v>
      </c>
      <c r="E36" s="63">
        <v>2623364</v>
      </c>
      <c r="F36" s="64">
        <v>0.3722254746244989</v>
      </c>
      <c r="G36" s="65">
        <v>9671146</v>
      </c>
      <c r="H36" s="64">
        <v>0.17198730040174343</v>
      </c>
      <c r="I36" s="64">
        <v>0.1253345777222265</v>
      </c>
      <c r="J36" s="66">
        <v>16.413836529086772</v>
      </c>
    </row>
    <row r="37" spans="1:10" ht="15" customHeight="1" x14ac:dyDescent="0.25">
      <c r="A37">
        <v>804017067</v>
      </c>
      <c r="B37" s="67" t="s">
        <v>117</v>
      </c>
      <c r="C37" s="67" t="s">
        <v>95</v>
      </c>
      <c r="D37" s="13">
        <v>1.1096029625482013</v>
      </c>
      <c r="E37" s="63">
        <v>4945294</v>
      </c>
      <c r="F37" s="64">
        <v>0.28094538837240429</v>
      </c>
      <c r="G37" s="65">
        <v>50065370</v>
      </c>
      <c r="H37" s="64">
        <v>7.8932723232353535E-2</v>
      </c>
      <c r="I37" s="64">
        <v>2.775171740466514E-2</v>
      </c>
      <c r="J37" s="66">
        <v>1.2251772424253113</v>
      </c>
    </row>
    <row r="38" spans="1:10" ht="15" customHeight="1" x14ac:dyDescent="0.25">
      <c r="A38">
        <v>805009710</v>
      </c>
      <c r="B38" s="67" t="s">
        <v>118</v>
      </c>
      <c r="C38" s="67" t="s">
        <v>102</v>
      </c>
      <c r="D38" s="13">
        <v>1.2645044437235773</v>
      </c>
      <c r="E38" s="63">
        <v>2002597</v>
      </c>
      <c r="F38" s="64">
        <v>0.2844248944447727</v>
      </c>
      <c r="G38" s="65">
        <v>9573725</v>
      </c>
      <c r="H38" s="64">
        <v>0.22352810677780455</v>
      </c>
      <c r="I38" s="64">
        <v>0.1643906629864551</v>
      </c>
      <c r="J38" s="66">
        <v>1.6749778898333676</v>
      </c>
    </row>
    <row r="39" spans="1:10" ht="15" customHeight="1" x14ac:dyDescent="0.25">
      <c r="A39">
        <v>805018570</v>
      </c>
      <c r="B39" s="67" t="s">
        <v>119</v>
      </c>
      <c r="C39" s="67" t="s">
        <v>110</v>
      </c>
      <c r="D39" s="13">
        <v>1.2133111471363756</v>
      </c>
      <c r="E39" s="63">
        <v>1045939</v>
      </c>
      <c r="F39" s="64">
        <v>0.22979039301501919</v>
      </c>
      <c r="G39" s="65">
        <v>5949288</v>
      </c>
      <c r="H39" s="64">
        <v>0.45353756138628371</v>
      </c>
      <c r="I39" s="64">
        <v>0.34699463196268193</v>
      </c>
      <c r="J39" s="66" t="s">
        <v>88</v>
      </c>
    </row>
    <row r="40" spans="1:10" ht="15" customHeight="1" x14ac:dyDescent="0.25">
      <c r="A40">
        <v>805018839</v>
      </c>
      <c r="B40" s="67" t="s">
        <v>120</v>
      </c>
      <c r="C40" s="67" t="s">
        <v>95</v>
      </c>
      <c r="D40" s="13">
        <v>1.6747394359154766</v>
      </c>
      <c r="E40" s="63">
        <v>6045525</v>
      </c>
      <c r="F40" s="64">
        <v>0.67473943591547658</v>
      </c>
      <c r="G40" s="65">
        <v>15005317</v>
      </c>
      <c r="H40" s="64">
        <v>2.711391068006936E-2</v>
      </c>
      <c r="I40" s="64">
        <v>1.6189927876898567E-2</v>
      </c>
      <c r="J40" s="66" t="s">
        <v>88</v>
      </c>
    </row>
    <row r="41" spans="1:10" ht="15" customHeight="1" x14ac:dyDescent="0.25">
      <c r="A41">
        <v>806006970</v>
      </c>
      <c r="B41" s="67" t="s">
        <v>121</v>
      </c>
      <c r="C41" s="67" t="s">
        <v>95</v>
      </c>
      <c r="D41" s="13">
        <v>1.1702548835873137</v>
      </c>
      <c r="E41" s="63">
        <v>2152517</v>
      </c>
      <c r="F41" s="64">
        <v>0.17025488358731364</v>
      </c>
      <c r="G41" s="65">
        <v>14795426</v>
      </c>
      <c r="H41" s="64">
        <v>2.9628624235134494E-2</v>
      </c>
      <c r="I41" s="64">
        <v>2.531809493014936E-2</v>
      </c>
      <c r="J41" s="66">
        <v>6.0765013139538659</v>
      </c>
    </row>
    <row r="42" spans="1:10" ht="15" customHeight="1" x14ac:dyDescent="0.25">
      <c r="A42">
        <v>811000056</v>
      </c>
      <c r="B42" t="s">
        <v>122</v>
      </c>
      <c r="C42" t="s">
        <v>102</v>
      </c>
      <c r="D42" s="13">
        <v>1.1452262773358677</v>
      </c>
      <c r="E42" s="63">
        <v>17242669</v>
      </c>
      <c r="F42" s="64">
        <v>0.2265884396992407</v>
      </c>
      <c r="G42" s="65">
        <v>135972346</v>
      </c>
      <c r="H42" s="64">
        <v>5.3604983785073605E-2</v>
      </c>
      <c r="I42" s="64">
        <v>3.0000004559750701E-2</v>
      </c>
      <c r="J42" s="66">
        <v>3.1293745349095903</v>
      </c>
    </row>
    <row r="43" spans="1:10" ht="15" customHeight="1" x14ac:dyDescent="0.25">
      <c r="A43">
        <v>811002867</v>
      </c>
      <c r="B43" s="67" t="s">
        <v>123</v>
      </c>
      <c r="C43" s="67" t="s">
        <v>102</v>
      </c>
      <c r="D43" s="13">
        <v>1.4946260814915913</v>
      </c>
      <c r="E43" s="63">
        <v>3576291</v>
      </c>
      <c r="F43" s="64">
        <v>0.50390814062458389</v>
      </c>
      <c r="G43" s="65">
        <v>10806583</v>
      </c>
      <c r="H43" s="64">
        <v>0.28362633291950284</v>
      </c>
      <c r="I43" s="64">
        <v>0.18626859202395429</v>
      </c>
      <c r="J43" s="66">
        <v>14.552997823839441</v>
      </c>
    </row>
    <row r="44" spans="1:10" ht="15" customHeight="1" x14ac:dyDescent="0.25">
      <c r="A44">
        <v>811005246</v>
      </c>
      <c r="B44" t="s">
        <v>124</v>
      </c>
      <c r="C44" t="s">
        <v>110</v>
      </c>
      <c r="D44" s="13">
        <v>1.2818766669357351</v>
      </c>
      <c r="E44" s="63">
        <v>5433564</v>
      </c>
      <c r="F44" s="64">
        <v>0.58229812192921926</v>
      </c>
      <c r="G44" s="65">
        <v>29229590</v>
      </c>
      <c r="H44" s="64">
        <v>0.41016468411626161</v>
      </c>
      <c r="I44" s="64">
        <v>0.23985731582276726</v>
      </c>
      <c r="J44" s="66" t="s">
        <v>88</v>
      </c>
    </row>
    <row r="45" spans="1:10" ht="15" customHeight="1" x14ac:dyDescent="0.25">
      <c r="A45">
        <v>811037742</v>
      </c>
      <c r="B45" t="s">
        <v>125</v>
      </c>
      <c r="C45" t="s">
        <v>102</v>
      </c>
      <c r="D45" s="13">
        <v>1.4579537724253222</v>
      </c>
      <c r="E45" s="63">
        <v>17690980</v>
      </c>
      <c r="F45" s="64">
        <v>0.56891122244659753</v>
      </c>
      <c r="G45" s="65">
        <v>56321473</v>
      </c>
      <c r="H45" s="64">
        <v>3.4949023522323708E-2</v>
      </c>
      <c r="I45" s="64">
        <v>1.9296050726514202E-2</v>
      </c>
      <c r="J45" s="66">
        <v>2.5328603757402588</v>
      </c>
    </row>
    <row r="46" spans="1:10" ht="15" customHeight="1" x14ac:dyDescent="0.25">
      <c r="A46">
        <v>811037915</v>
      </c>
      <c r="B46" s="67" t="s">
        <v>126</v>
      </c>
      <c r="C46" s="67" t="s">
        <v>95</v>
      </c>
      <c r="D46" s="13">
        <v>1.3765208290241546</v>
      </c>
      <c r="E46" s="63">
        <v>2546660</v>
      </c>
      <c r="F46" s="64">
        <v>0.69648677113813251</v>
      </c>
      <c r="G46" s="65">
        <v>9310323</v>
      </c>
      <c r="H46" s="64">
        <v>0.15527301578011599</v>
      </c>
      <c r="I46" s="64">
        <v>6.0980268890778545E-2</v>
      </c>
      <c r="J46" s="66">
        <v>1.4028776800650358</v>
      </c>
    </row>
    <row r="47" spans="1:10" ht="15" customHeight="1" x14ac:dyDescent="0.25">
      <c r="A47">
        <v>811045673</v>
      </c>
      <c r="B47" s="67" t="s">
        <v>127</v>
      </c>
      <c r="C47" s="67" t="s">
        <v>102</v>
      </c>
      <c r="D47" s="13">
        <v>1.4148850020917256</v>
      </c>
      <c r="E47" s="63">
        <v>2206597</v>
      </c>
      <c r="F47" s="64">
        <v>0.41488500209172569</v>
      </c>
      <c r="G47" s="65">
        <v>7525172</v>
      </c>
      <c r="H47" s="64">
        <v>0.18876014721988502</v>
      </c>
      <c r="I47" s="64">
        <v>0.13341023965963836</v>
      </c>
      <c r="J47" s="66">
        <v>2.4290708928139364</v>
      </c>
    </row>
    <row r="48" spans="1:10" ht="15" customHeight="1" x14ac:dyDescent="0.25">
      <c r="A48">
        <v>817000639</v>
      </c>
      <c r="B48" s="67" t="s">
        <v>128</v>
      </c>
      <c r="C48" s="67" t="s">
        <v>95</v>
      </c>
      <c r="D48" s="13">
        <v>1.2947074900012507</v>
      </c>
      <c r="E48" s="63">
        <v>10146427</v>
      </c>
      <c r="F48" s="64">
        <v>0.33914359984477466</v>
      </c>
      <c r="G48" s="65">
        <v>44575233</v>
      </c>
      <c r="H48" s="64">
        <v>9.5498698266148666E-2</v>
      </c>
      <c r="I48" s="64">
        <v>6.4096355929311691E-2</v>
      </c>
      <c r="J48" s="66">
        <v>2.3729420275290543</v>
      </c>
    </row>
    <row r="49" spans="1:10" ht="15" customHeight="1" x14ac:dyDescent="0.25">
      <c r="A49">
        <v>822005907</v>
      </c>
      <c r="B49" s="67" t="s">
        <v>129</v>
      </c>
      <c r="C49" s="67" t="s">
        <v>95</v>
      </c>
      <c r="D49" s="13">
        <v>1.4280896573578818</v>
      </c>
      <c r="E49" s="63">
        <v>7801431</v>
      </c>
      <c r="F49" s="64">
        <v>0.50062855862363176</v>
      </c>
      <c r="G49" s="65">
        <v>26025256</v>
      </c>
      <c r="H49" s="64">
        <v>0.22304199015457088</v>
      </c>
      <c r="I49" s="64">
        <v>0.13355196198646421</v>
      </c>
      <c r="J49" s="66" t="s">
        <v>88</v>
      </c>
    </row>
    <row r="50" spans="1:10" ht="15" customHeight="1" x14ac:dyDescent="0.25">
      <c r="A50">
        <v>826001185</v>
      </c>
      <c r="B50" s="67" t="s">
        <v>130</v>
      </c>
      <c r="C50" s="67" t="s">
        <v>95</v>
      </c>
      <c r="D50" s="13">
        <v>1.2357613780700401</v>
      </c>
      <c r="E50" s="63">
        <v>1273690</v>
      </c>
      <c r="F50" s="64">
        <v>0.38003024869992952</v>
      </c>
      <c r="G50" s="65">
        <v>6676144</v>
      </c>
      <c r="H50" s="64">
        <v>0.18097840729764059</v>
      </c>
      <c r="I50" s="64">
        <v>9.0854541184252471E-2</v>
      </c>
      <c r="J50" s="66">
        <v>1.3432946882370529</v>
      </c>
    </row>
    <row r="51" spans="1:10" ht="15" customHeight="1" x14ac:dyDescent="0.25">
      <c r="A51">
        <v>827001025</v>
      </c>
      <c r="B51" s="67" t="s">
        <v>131</v>
      </c>
      <c r="C51" s="67" t="s">
        <v>102</v>
      </c>
      <c r="D51" s="13">
        <v>1.4222195384483829</v>
      </c>
      <c r="E51" s="63">
        <v>2562618</v>
      </c>
      <c r="F51" s="64">
        <v>0.62977776565383403</v>
      </c>
      <c r="G51" s="65">
        <v>8632015</v>
      </c>
      <c r="H51" s="64">
        <v>0.21675497894734513</v>
      </c>
      <c r="I51" s="64">
        <v>0.10217706989619457</v>
      </c>
      <c r="J51" s="66" t="s">
        <v>88</v>
      </c>
    </row>
    <row r="52" spans="1:10" ht="15" customHeight="1" x14ac:dyDescent="0.25">
      <c r="A52">
        <v>830008439</v>
      </c>
      <c r="B52" s="67" t="s">
        <v>132</v>
      </c>
      <c r="C52" s="67" t="s">
        <v>98</v>
      </c>
      <c r="D52" s="13">
        <v>1.3995659014876698</v>
      </c>
      <c r="E52" s="63">
        <v>3016130</v>
      </c>
      <c r="F52" s="64">
        <v>0.56164286118634121</v>
      </c>
      <c r="G52" s="65">
        <v>10564647</v>
      </c>
      <c r="H52" s="64">
        <v>0.25756509264473226</v>
      </c>
      <c r="I52" s="64">
        <v>0.13092477202503786</v>
      </c>
      <c r="J52" s="66">
        <v>4.0536847843288966</v>
      </c>
    </row>
    <row r="53" spans="1:10" ht="15" customHeight="1" x14ac:dyDescent="0.25">
      <c r="A53">
        <v>830021790</v>
      </c>
      <c r="B53" s="67" t="s">
        <v>133</v>
      </c>
      <c r="C53" s="67" t="s">
        <v>110</v>
      </c>
      <c r="D53" s="13">
        <v>1.3819518630273366</v>
      </c>
      <c r="E53" s="63">
        <v>3561818</v>
      </c>
      <c r="F53" s="64">
        <v>0.38195186302733658</v>
      </c>
      <c r="G53" s="65">
        <v>12887124</v>
      </c>
      <c r="H53" s="64">
        <v>0.1945690575730169</v>
      </c>
      <c r="I53" s="64">
        <v>0.14079293409452723</v>
      </c>
      <c r="J53" s="66" t="s">
        <v>88</v>
      </c>
    </row>
    <row r="54" spans="1:10" ht="15" customHeight="1" x14ac:dyDescent="0.25">
      <c r="A54">
        <v>830023696</v>
      </c>
      <c r="B54" s="67" t="s">
        <v>134</v>
      </c>
      <c r="C54" s="67" t="s">
        <v>102</v>
      </c>
      <c r="D54" s="13">
        <v>1.3869586929814575</v>
      </c>
      <c r="E54" s="63">
        <v>3231980</v>
      </c>
      <c r="F54" s="64">
        <v>0.38695869298145735</v>
      </c>
      <c r="G54" s="65">
        <v>11584241</v>
      </c>
      <c r="H54" s="64">
        <v>5.7916533020220512E-2</v>
      </c>
      <c r="I54" s="64">
        <v>4.1757936493206589E-2</v>
      </c>
      <c r="J54" s="66">
        <v>2.5862043155621137</v>
      </c>
    </row>
    <row r="55" spans="1:10" ht="15" customHeight="1" x14ac:dyDescent="0.25">
      <c r="A55">
        <v>830025968</v>
      </c>
      <c r="B55" s="67" t="s">
        <v>135</v>
      </c>
      <c r="C55" s="67" t="s">
        <v>102</v>
      </c>
      <c r="D55" s="13">
        <v>1.5123781624344868</v>
      </c>
      <c r="E55" s="63">
        <v>3328117</v>
      </c>
      <c r="F55" s="64">
        <v>0.58092175496436738</v>
      </c>
      <c r="G55" s="65">
        <v>9823548</v>
      </c>
      <c r="H55" s="64">
        <v>0.13700212322229879</v>
      </c>
      <c r="I55" s="64">
        <v>7.9898729053901912E-2</v>
      </c>
      <c r="J55" s="66">
        <v>1.2591283674415545</v>
      </c>
    </row>
    <row r="56" spans="1:10" ht="15" customHeight="1" x14ac:dyDescent="0.25">
      <c r="A56">
        <v>830034343</v>
      </c>
      <c r="B56" t="s">
        <v>136</v>
      </c>
      <c r="C56" t="s">
        <v>98</v>
      </c>
      <c r="D56" s="13">
        <v>1.3381791132194363</v>
      </c>
      <c r="E56" s="63">
        <v>41491307</v>
      </c>
      <c r="F56" s="64">
        <v>0.73947281152483313</v>
      </c>
      <c r="G56" s="65">
        <v>164181637</v>
      </c>
      <c r="H56" s="64">
        <v>0.26693229342504621</v>
      </c>
      <c r="I56" s="64">
        <v>9.1224489374533396E-2</v>
      </c>
      <c r="J56" s="66">
        <v>2.5905498995338099</v>
      </c>
    </row>
    <row r="57" spans="1:10" ht="15" customHeight="1" x14ac:dyDescent="0.25">
      <c r="A57">
        <v>830038192</v>
      </c>
      <c r="B57" t="s">
        <v>137</v>
      </c>
      <c r="C57" t="s">
        <v>102</v>
      </c>
      <c r="D57" s="13">
        <v>1.5281769001425001</v>
      </c>
      <c r="E57" s="63">
        <v>5977847</v>
      </c>
      <c r="F57" s="64">
        <v>0.58198723840084743</v>
      </c>
      <c r="G57" s="65">
        <v>17295735</v>
      </c>
      <c r="H57" s="64">
        <v>0.18757876208204496</v>
      </c>
      <c r="I57" s="64">
        <v>0.11139763646933767</v>
      </c>
      <c r="J57" s="66">
        <v>2.4156935121079068</v>
      </c>
    </row>
    <row r="58" spans="1:10" ht="15" customHeight="1" x14ac:dyDescent="0.25">
      <c r="A58">
        <v>830054864</v>
      </c>
      <c r="B58" s="67" t="s">
        <v>138</v>
      </c>
      <c r="C58" s="67" t="s">
        <v>102</v>
      </c>
      <c r="D58" s="13">
        <v>1.1381233717919232</v>
      </c>
      <c r="E58" s="63">
        <v>1057584</v>
      </c>
      <c r="F58" s="64">
        <v>0.20107998469061525</v>
      </c>
      <c r="G58" s="65">
        <v>8714391</v>
      </c>
      <c r="H58" s="64">
        <v>0.23034121561306273</v>
      </c>
      <c r="I58" s="64">
        <v>0.13902107445029721</v>
      </c>
      <c r="J58" s="66" t="s">
        <v>88</v>
      </c>
    </row>
    <row r="59" spans="1:10" ht="15" customHeight="1" x14ac:dyDescent="0.25">
      <c r="A59">
        <v>830055049</v>
      </c>
      <c r="B59" s="67" t="s">
        <v>139</v>
      </c>
      <c r="C59" s="67" t="s">
        <v>110</v>
      </c>
      <c r="D59" s="13">
        <v>1.6023343564269068</v>
      </c>
      <c r="E59" s="63">
        <v>3706500</v>
      </c>
      <c r="F59" s="64">
        <v>0.69068198906722988</v>
      </c>
      <c r="G59" s="65">
        <v>9860059</v>
      </c>
      <c r="H59" s="64">
        <v>1.0640481064244698</v>
      </c>
      <c r="I59" s="64">
        <v>0.57911874563833743</v>
      </c>
      <c r="J59" s="66" t="s">
        <v>88</v>
      </c>
    </row>
    <row r="60" spans="1:10" ht="15" customHeight="1" x14ac:dyDescent="0.25">
      <c r="A60">
        <v>830074362</v>
      </c>
      <c r="B60" s="67" t="s">
        <v>140</v>
      </c>
      <c r="C60" s="67" t="s">
        <v>98</v>
      </c>
      <c r="D60" s="13">
        <v>1.2282495161517</v>
      </c>
      <c r="E60" s="63">
        <v>2021986</v>
      </c>
      <c r="F60" s="64">
        <v>0.45234909959086955</v>
      </c>
      <c r="G60" s="65">
        <v>10880651</v>
      </c>
      <c r="H60" s="64">
        <v>0.27271716486560976</v>
      </c>
      <c r="I60" s="64">
        <v>0.11203713821902751</v>
      </c>
      <c r="J60" s="66" t="s">
        <v>88</v>
      </c>
    </row>
    <row r="61" spans="1:10" ht="15" customHeight="1" x14ac:dyDescent="0.25">
      <c r="A61">
        <v>830076882</v>
      </c>
      <c r="B61" s="67" t="s">
        <v>141</v>
      </c>
      <c r="C61" s="67" t="s">
        <v>98</v>
      </c>
      <c r="D61" s="13">
        <v>1.192211339959605</v>
      </c>
      <c r="E61" s="63">
        <v>95529800</v>
      </c>
      <c r="F61" s="64">
        <v>0.19221133995960496</v>
      </c>
      <c r="G61" s="65">
        <v>592533775</v>
      </c>
      <c r="H61" s="64">
        <v>0.10481825422020015</v>
      </c>
      <c r="I61" s="64">
        <v>8.7919189079137303E-2</v>
      </c>
      <c r="J61" s="66">
        <v>1.2681213056551737</v>
      </c>
    </row>
    <row r="62" spans="1:10" ht="15" customHeight="1" x14ac:dyDescent="0.25">
      <c r="A62">
        <v>830078916</v>
      </c>
      <c r="B62" s="67" t="s">
        <v>142</v>
      </c>
      <c r="C62" s="67" t="s">
        <v>95</v>
      </c>
      <c r="D62" s="13">
        <v>1.7498093181796688</v>
      </c>
      <c r="E62" s="63">
        <v>1347780</v>
      </c>
      <c r="F62" s="64">
        <v>0.74980931817966878</v>
      </c>
      <c r="G62" s="65">
        <v>3145277</v>
      </c>
      <c r="H62" s="64">
        <v>2.2941901989266184E-2</v>
      </c>
      <c r="I62" s="64">
        <v>1.3111086877244833E-2</v>
      </c>
      <c r="J62" s="66" t="s">
        <v>88</v>
      </c>
    </row>
    <row r="63" spans="1:10" ht="15" customHeight="1" x14ac:dyDescent="0.25">
      <c r="A63">
        <v>830080671</v>
      </c>
      <c r="B63" t="s">
        <v>143</v>
      </c>
      <c r="C63" t="s">
        <v>95</v>
      </c>
      <c r="D63" s="13">
        <v>1.2863570750983091</v>
      </c>
      <c r="E63" s="63">
        <v>1568193</v>
      </c>
      <c r="F63" s="64">
        <v>0.319291788838094</v>
      </c>
      <c r="G63" s="65">
        <v>7044548</v>
      </c>
      <c r="H63" s="64">
        <v>8.0999732666758015E-2</v>
      </c>
      <c r="I63" s="64">
        <v>5.647317613564419E-2</v>
      </c>
      <c r="J63" s="66" t="s">
        <v>88</v>
      </c>
    </row>
    <row r="64" spans="1:10" ht="15" customHeight="1" x14ac:dyDescent="0.25">
      <c r="A64">
        <v>830082285</v>
      </c>
      <c r="B64" s="67" t="s">
        <v>144</v>
      </c>
      <c r="C64" s="67" t="s">
        <v>102</v>
      </c>
      <c r="D64" s="13">
        <v>1.3439384307661604</v>
      </c>
      <c r="E64" s="63">
        <v>7424202</v>
      </c>
      <c r="F64" s="64">
        <v>0.55442503752386052</v>
      </c>
      <c r="G64" s="65">
        <v>29010048</v>
      </c>
      <c r="H64" s="64">
        <v>0.10392692363040243</v>
      </c>
      <c r="I64" s="64">
        <v>4.7971861335768903E-2</v>
      </c>
      <c r="J64" s="66">
        <v>1.2173318987762529</v>
      </c>
    </row>
    <row r="65" spans="1:10" ht="15" customHeight="1" x14ac:dyDescent="0.25">
      <c r="A65">
        <v>830082693</v>
      </c>
      <c r="B65" s="67" t="s">
        <v>145</v>
      </c>
      <c r="C65" s="67" t="s">
        <v>102</v>
      </c>
      <c r="D65" s="13">
        <v>1.5758746457173696</v>
      </c>
      <c r="E65" s="63">
        <v>11898620</v>
      </c>
      <c r="F65" s="64">
        <v>0.72280477864604054</v>
      </c>
      <c r="G65" s="65">
        <v>32560443</v>
      </c>
      <c r="H65" s="64">
        <v>0.68140962549874762</v>
      </c>
      <c r="I65" s="64">
        <v>0.34450342091475844</v>
      </c>
      <c r="J65" s="66" t="s">
        <v>88</v>
      </c>
    </row>
    <row r="66" spans="1:10" ht="15" customHeight="1" x14ac:dyDescent="0.25">
      <c r="A66">
        <v>830087330</v>
      </c>
      <c r="B66" s="67" t="s">
        <v>146</v>
      </c>
      <c r="C66" s="67" t="s">
        <v>110</v>
      </c>
      <c r="D66" s="13">
        <v>1.3040671854270767</v>
      </c>
      <c r="E66" s="63">
        <v>1195026</v>
      </c>
      <c r="F66" s="64">
        <v>0.30406718542707661</v>
      </c>
      <c r="G66" s="65">
        <v>5125164</v>
      </c>
      <c r="H66" s="64">
        <v>0.1310353478681919</v>
      </c>
      <c r="I66" s="64">
        <v>0.10048205286699119</v>
      </c>
      <c r="J66" s="66" t="s">
        <v>88</v>
      </c>
    </row>
    <row r="67" spans="1:10" ht="15" customHeight="1" x14ac:dyDescent="0.25">
      <c r="A67">
        <v>830088602</v>
      </c>
      <c r="B67" s="67" t="s">
        <v>147</v>
      </c>
      <c r="C67" s="67" t="s">
        <v>98</v>
      </c>
      <c r="D67" s="13">
        <v>1.1804250239786527</v>
      </c>
      <c r="E67" s="63">
        <v>5738109</v>
      </c>
      <c r="F67" s="64">
        <v>0.28666741571136406</v>
      </c>
      <c r="G67" s="65">
        <v>37541397</v>
      </c>
      <c r="H67" s="64">
        <v>0.18445968390147241</v>
      </c>
      <c r="I67" s="64">
        <v>9.8351614352550604E-2</v>
      </c>
      <c r="J67" s="66">
        <v>4.822212238319814</v>
      </c>
    </row>
    <row r="68" spans="1:10" ht="15" customHeight="1" x14ac:dyDescent="0.25">
      <c r="A68">
        <v>830094781</v>
      </c>
      <c r="B68" s="67" t="s">
        <v>148</v>
      </c>
      <c r="C68" s="67" t="s">
        <v>95</v>
      </c>
      <c r="D68" s="13">
        <v>1.4274047076170435</v>
      </c>
      <c r="E68" s="63">
        <v>1400636</v>
      </c>
      <c r="F68" s="64">
        <v>0.52782722864287901</v>
      </c>
      <c r="G68" s="65">
        <v>4677708</v>
      </c>
      <c r="H68" s="64">
        <v>0.26967185561586804</v>
      </c>
      <c r="I68" s="64">
        <v>0.15298047676340634</v>
      </c>
      <c r="J68" s="66">
        <v>2.5389951143012244</v>
      </c>
    </row>
    <row r="69" spans="1:10" ht="15" customHeight="1" x14ac:dyDescent="0.25">
      <c r="A69">
        <v>830101571</v>
      </c>
      <c r="B69" s="67" t="s">
        <v>149</v>
      </c>
      <c r="C69" s="67" t="s">
        <v>110</v>
      </c>
      <c r="D69" s="13">
        <v>1.6133541881092472</v>
      </c>
      <c r="E69" s="63">
        <v>5802541</v>
      </c>
      <c r="F69" s="64">
        <v>0.63295756481756005</v>
      </c>
      <c r="G69" s="65">
        <v>15262884</v>
      </c>
      <c r="H69" s="64">
        <v>0.40937049828816324</v>
      </c>
      <c r="I69" s="64">
        <v>0.24588020193300297</v>
      </c>
      <c r="J69" s="66">
        <v>21.659169610083801</v>
      </c>
    </row>
    <row r="70" spans="1:10" ht="15" customHeight="1" x14ac:dyDescent="0.25">
      <c r="A70">
        <v>830107316</v>
      </c>
      <c r="B70" t="s">
        <v>150</v>
      </c>
      <c r="C70" t="s">
        <v>96</v>
      </c>
      <c r="D70" s="13">
        <v>1.4478705694254603</v>
      </c>
      <c r="E70" s="63">
        <v>3397891</v>
      </c>
      <c r="F70" s="64">
        <v>0.56795295366739218</v>
      </c>
      <c r="G70" s="65">
        <v>10984661</v>
      </c>
      <c r="H70" s="64">
        <v>0.18761953219099475</v>
      </c>
      <c r="I70" s="64">
        <v>0.1021853109531555</v>
      </c>
      <c r="J70" s="66">
        <v>4.0237992816122858</v>
      </c>
    </row>
    <row r="71" spans="1:10" ht="15" customHeight="1" x14ac:dyDescent="0.25">
      <c r="A71">
        <v>830114866</v>
      </c>
      <c r="B71" t="s">
        <v>151</v>
      </c>
      <c r="C71" t="s">
        <v>95</v>
      </c>
      <c r="D71" s="13">
        <v>1.179787938110779</v>
      </c>
      <c r="E71" s="63">
        <v>6411605</v>
      </c>
      <c r="F71" s="64">
        <v>0.22772996211607271</v>
      </c>
      <c r="G71" s="65">
        <v>42073647</v>
      </c>
      <c r="H71" s="64">
        <v>0.11558114143356532</v>
      </c>
      <c r="I71" s="64">
        <v>7.7343425921693923E-2</v>
      </c>
      <c r="J71" s="66" t="s">
        <v>88</v>
      </c>
    </row>
    <row r="72" spans="1:10" ht="15" customHeight="1" x14ac:dyDescent="0.25">
      <c r="A72">
        <v>830117784</v>
      </c>
      <c r="B72" s="67" t="s">
        <v>152</v>
      </c>
      <c r="C72" s="67" t="s">
        <v>96</v>
      </c>
      <c r="D72" s="13">
        <v>1.3874197522353982</v>
      </c>
      <c r="E72" s="63">
        <v>1792862</v>
      </c>
      <c r="F72" s="64">
        <v>0.38741975223539821</v>
      </c>
      <c r="G72" s="65">
        <v>6420561</v>
      </c>
      <c r="H72" s="64">
        <v>5.7175283007818788E-2</v>
      </c>
      <c r="I72" s="64">
        <v>4.120979459583049E-2</v>
      </c>
      <c r="J72" s="66" t="s">
        <v>88</v>
      </c>
    </row>
    <row r="73" spans="1:10" ht="15" customHeight="1" x14ac:dyDescent="0.25">
      <c r="A73">
        <v>830119307</v>
      </c>
      <c r="B73" s="67" t="s">
        <v>153</v>
      </c>
      <c r="C73" s="67" t="s">
        <v>110</v>
      </c>
      <c r="D73" s="13">
        <v>1.2640973657389221</v>
      </c>
      <c r="E73" s="63">
        <v>9601424</v>
      </c>
      <c r="F73" s="64">
        <v>0.71957701142533814</v>
      </c>
      <c r="G73" s="65">
        <v>45957046</v>
      </c>
      <c r="H73" s="64">
        <v>0.14153584423468221</v>
      </c>
      <c r="I73" s="64">
        <v>4.1093459314160447E-2</v>
      </c>
      <c r="J73" s="66">
        <v>11.377464771761984</v>
      </c>
    </row>
    <row r="74" spans="1:10" ht="15" customHeight="1" x14ac:dyDescent="0.25">
      <c r="A74">
        <v>830120141</v>
      </c>
      <c r="B74" s="67" t="s">
        <v>154</v>
      </c>
      <c r="C74" s="67" t="s">
        <v>95</v>
      </c>
      <c r="D74" s="13">
        <v>1.6856825678897882</v>
      </c>
      <c r="E74" s="63">
        <v>1277945</v>
      </c>
      <c r="F74" s="64">
        <v>0.69124589724117191</v>
      </c>
      <c r="G74" s="65">
        <v>3141701</v>
      </c>
      <c r="H74" s="64">
        <v>8.0921982132850415E-2</v>
      </c>
      <c r="I74" s="64">
        <v>4.7619108247411196E-2</v>
      </c>
      <c r="J74" s="66">
        <v>21.271861225650504</v>
      </c>
    </row>
    <row r="75" spans="1:10" ht="15" customHeight="1" x14ac:dyDescent="0.25">
      <c r="A75">
        <v>830126310</v>
      </c>
      <c r="B75" s="67" t="s">
        <v>155</v>
      </c>
      <c r="C75" s="67" t="s">
        <v>110</v>
      </c>
      <c r="D75" s="13">
        <v>1.4833170596230547</v>
      </c>
      <c r="E75" s="63">
        <v>4858798</v>
      </c>
      <c r="F75" s="64">
        <v>0.50112854012165375</v>
      </c>
      <c r="G75" s="65">
        <v>14911822</v>
      </c>
      <c r="H75" s="64">
        <v>0.54670198537250281</v>
      </c>
      <c r="I75" s="64">
        <v>0.35546729299746199</v>
      </c>
      <c r="J75" s="66" t="s">
        <v>88</v>
      </c>
    </row>
    <row r="76" spans="1:10" ht="15" customHeight="1" x14ac:dyDescent="0.25">
      <c r="A76">
        <v>830129215</v>
      </c>
      <c r="B76" s="67" t="s">
        <v>156</v>
      </c>
      <c r="C76" s="67" t="s">
        <v>110</v>
      </c>
      <c r="D76" s="13">
        <v>1.6512326742594794</v>
      </c>
      <c r="E76" s="63">
        <v>2118624</v>
      </c>
      <c r="F76" s="64">
        <v>0.66627544733917399</v>
      </c>
      <c r="G76" s="65">
        <v>5371876</v>
      </c>
      <c r="H76" s="64">
        <v>8.2421798589975101E-2</v>
      </c>
      <c r="I76" s="64">
        <v>4.8788356246495634E-2</v>
      </c>
      <c r="J76" s="66">
        <v>10.420460419068824</v>
      </c>
    </row>
    <row r="77" spans="1:10" ht="15" customHeight="1" x14ac:dyDescent="0.25">
      <c r="A77">
        <v>830133692</v>
      </c>
      <c r="B77" s="67" t="s">
        <v>157</v>
      </c>
      <c r="C77" s="67" t="s">
        <v>102</v>
      </c>
      <c r="D77" s="13">
        <v>1.6686031966141384</v>
      </c>
      <c r="E77" s="63">
        <v>2220817</v>
      </c>
      <c r="F77" s="64">
        <v>0.66860319661413836</v>
      </c>
      <c r="G77" s="65">
        <v>5542394</v>
      </c>
      <c r="H77" s="64">
        <v>0.10270904452914986</v>
      </c>
      <c r="I77" s="64">
        <v>6.1553906127929554E-2</v>
      </c>
      <c r="J77" s="66">
        <v>2.2449495281839358</v>
      </c>
    </row>
    <row r="78" spans="1:10" ht="15" customHeight="1" x14ac:dyDescent="0.25">
      <c r="A78">
        <v>830136035</v>
      </c>
      <c r="B78" s="67" t="s">
        <v>158</v>
      </c>
      <c r="C78" s="67" t="s">
        <v>98</v>
      </c>
      <c r="D78" s="13">
        <v>1.7061446355071763</v>
      </c>
      <c r="E78" s="63">
        <v>1670496</v>
      </c>
      <c r="F78" s="64">
        <v>0.70652452963455614</v>
      </c>
      <c r="G78" s="65">
        <v>4036153</v>
      </c>
      <c r="H78" s="64">
        <v>6.9196852458461716E-2</v>
      </c>
      <c r="I78" s="64">
        <v>4.0535628852523681E-2</v>
      </c>
      <c r="J78" s="66" t="s">
        <v>88</v>
      </c>
    </row>
    <row r="79" spans="1:10" ht="15" customHeight="1" x14ac:dyDescent="0.25">
      <c r="A79">
        <v>830501913</v>
      </c>
      <c r="B79" s="67" t="s">
        <v>159</v>
      </c>
      <c r="C79" s="67" t="s">
        <v>102</v>
      </c>
      <c r="D79" s="13">
        <v>1.5961248770826213</v>
      </c>
      <c r="E79" s="63">
        <v>1709555</v>
      </c>
      <c r="F79" s="64">
        <v>0.71824941842364975</v>
      </c>
      <c r="G79" s="65">
        <v>4577335</v>
      </c>
      <c r="H79" s="64">
        <v>0.22925767035870143</v>
      </c>
      <c r="I79" s="64">
        <v>0.11921172472628724</v>
      </c>
      <c r="J79" s="66">
        <v>4.7026500624811476</v>
      </c>
    </row>
    <row r="80" spans="1:10" ht="15" customHeight="1" x14ac:dyDescent="0.25">
      <c r="A80">
        <v>830504035</v>
      </c>
      <c r="B80" s="67" t="s">
        <v>160</v>
      </c>
      <c r="C80" s="67" t="s">
        <v>102</v>
      </c>
      <c r="D80" s="13">
        <v>1.4871338052552474</v>
      </c>
      <c r="E80" s="63">
        <v>1382987</v>
      </c>
      <c r="F80" s="64">
        <v>0.48713380525524747</v>
      </c>
      <c r="G80" s="65">
        <v>4222016</v>
      </c>
      <c r="H80" s="64">
        <v>0.10593375411100063</v>
      </c>
      <c r="I80" s="64">
        <v>7.1233505510163858E-2</v>
      </c>
      <c r="J80" s="66">
        <v>16.281344737981811</v>
      </c>
    </row>
    <row r="81" spans="1:10" ht="15" customHeight="1" x14ac:dyDescent="0.25">
      <c r="A81">
        <v>832011532</v>
      </c>
      <c r="B81" s="67" t="s">
        <v>161</v>
      </c>
      <c r="C81" s="67" t="s">
        <v>95</v>
      </c>
      <c r="D81" s="13">
        <v>1.3520833731240158</v>
      </c>
      <c r="E81" s="63">
        <v>3152238</v>
      </c>
      <c r="F81" s="64">
        <v>0.59864722020388172</v>
      </c>
      <c r="G81" s="65">
        <v>12105339</v>
      </c>
      <c r="H81" s="64">
        <v>0.16570982767022649</v>
      </c>
      <c r="I81" s="64">
        <v>7.2080757094039244E-2</v>
      </c>
      <c r="J81" s="66">
        <v>4.3376300575161189</v>
      </c>
    </row>
    <row r="82" spans="1:10" ht="15" customHeight="1" x14ac:dyDescent="0.25">
      <c r="A82">
        <v>844004815</v>
      </c>
      <c r="B82" s="67" t="s">
        <v>162</v>
      </c>
      <c r="C82" s="67" t="s">
        <v>95</v>
      </c>
      <c r="D82" s="13">
        <v>1.43145872067663</v>
      </c>
      <c r="E82" s="63">
        <v>4184058</v>
      </c>
      <c r="F82" s="64">
        <v>0.49004492914182074</v>
      </c>
      <c r="G82" s="65">
        <v>13881528</v>
      </c>
      <c r="H82" s="64">
        <v>1.9505485463939272E-2</v>
      </c>
      <c r="I82" s="64">
        <v>1.19972383443667E-2</v>
      </c>
      <c r="J82" s="66">
        <v>16.062885802469136</v>
      </c>
    </row>
    <row r="83" spans="1:10" ht="15" customHeight="1" x14ac:dyDescent="0.25">
      <c r="A83">
        <v>860003171</v>
      </c>
      <c r="B83" s="67" t="s">
        <v>163</v>
      </c>
      <c r="C83" s="67" t="s">
        <v>95</v>
      </c>
      <c r="D83" s="13">
        <v>1.2944850276250384</v>
      </c>
      <c r="E83" s="63">
        <v>1473116</v>
      </c>
      <c r="F83" s="64">
        <v>0.69667443368328263</v>
      </c>
      <c r="G83" s="65">
        <v>6475462</v>
      </c>
      <c r="H83" s="64">
        <v>0.55247134424877409</v>
      </c>
      <c r="I83" s="64">
        <v>0.18040396191036254</v>
      </c>
      <c r="J83" s="66">
        <v>4.2660689831467851</v>
      </c>
    </row>
    <row r="84" spans="1:10" ht="15" customHeight="1" x14ac:dyDescent="0.25">
      <c r="A84">
        <v>860031282</v>
      </c>
      <c r="B84" s="67" t="s">
        <v>164</v>
      </c>
      <c r="C84" s="67" t="s">
        <v>102</v>
      </c>
      <c r="D84" s="13">
        <v>1.1017291484503038</v>
      </c>
      <c r="E84" s="63">
        <v>2424717</v>
      </c>
      <c r="F84" s="64">
        <v>0.10488235238648826</v>
      </c>
      <c r="G84" s="65">
        <v>26259744</v>
      </c>
      <c r="H84" s="64">
        <v>6.4355493444498826E-2</v>
      </c>
      <c r="I84" s="64">
        <v>5.6657026054785606E-2</v>
      </c>
      <c r="J84" s="66">
        <v>10.75527715929792</v>
      </c>
    </row>
    <row r="85" spans="1:10" ht="15" customHeight="1" x14ac:dyDescent="0.25">
      <c r="A85">
        <v>860038516</v>
      </c>
      <c r="B85" s="67" t="s">
        <v>165</v>
      </c>
      <c r="C85" s="67" t="s">
        <v>102</v>
      </c>
      <c r="D85" s="13">
        <v>1.6891548134531522</v>
      </c>
      <c r="E85" s="63">
        <v>4838813</v>
      </c>
      <c r="F85" s="64">
        <v>0.69790172835068875</v>
      </c>
      <c r="G85" s="65">
        <v>11860186</v>
      </c>
      <c r="H85" s="64">
        <v>0.11437218219761147</v>
      </c>
      <c r="I85" s="64">
        <v>6.6861093072233438E-2</v>
      </c>
      <c r="J85" s="66">
        <v>1.3989351661553606</v>
      </c>
    </row>
    <row r="86" spans="1:10" ht="15" customHeight="1" x14ac:dyDescent="0.25">
      <c r="A86">
        <v>860091073</v>
      </c>
      <c r="B86" t="s">
        <v>166</v>
      </c>
      <c r="C86" t="s">
        <v>95</v>
      </c>
      <c r="D86" s="13">
        <v>1.1555765485945206</v>
      </c>
      <c r="E86" s="63">
        <v>1930777</v>
      </c>
      <c r="F86" s="64">
        <v>0.32222628505283135</v>
      </c>
      <c r="G86" s="65">
        <v>14341240</v>
      </c>
      <c r="H86" s="64">
        <v>0.1206593935137753</v>
      </c>
      <c r="I86" s="64">
        <v>5.0413353378090039E-2</v>
      </c>
      <c r="J86" s="66" t="s">
        <v>88</v>
      </c>
    </row>
    <row r="87" spans="1:10" ht="15" customHeight="1" x14ac:dyDescent="0.25">
      <c r="A87">
        <v>860519556</v>
      </c>
      <c r="B87" s="67" t="s">
        <v>167</v>
      </c>
      <c r="C87" s="67" t="s">
        <v>110</v>
      </c>
      <c r="D87" s="13">
        <v>1.3603203946897588</v>
      </c>
      <c r="E87" s="63">
        <v>16111222</v>
      </c>
      <c r="F87" s="64">
        <v>0.37773244133968231</v>
      </c>
      <c r="G87" s="65">
        <v>60824822</v>
      </c>
      <c r="H87" s="64">
        <v>0.10114891116155966</v>
      </c>
      <c r="I87" s="64">
        <v>7.09291183786777E-2</v>
      </c>
      <c r="J87" s="66" t="s">
        <v>88</v>
      </c>
    </row>
    <row r="88" spans="1:10" ht="15" customHeight="1" x14ac:dyDescent="0.25">
      <c r="A88">
        <v>860522381</v>
      </c>
      <c r="B88" s="67" t="s">
        <v>168</v>
      </c>
      <c r="C88" s="67" t="s">
        <v>110</v>
      </c>
      <c r="D88" s="13">
        <v>1.367690697330618</v>
      </c>
      <c r="E88" s="63">
        <v>13291501</v>
      </c>
      <c r="F88" s="64">
        <v>0.36769069733061804</v>
      </c>
      <c r="G88" s="65">
        <v>49440093</v>
      </c>
      <c r="H88" s="64">
        <v>0.11894073218674742</v>
      </c>
      <c r="I88" s="64">
        <v>8.6964642238840442E-2</v>
      </c>
      <c r="J88" s="66">
        <v>5.9636897273469973</v>
      </c>
    </row>
    <row r="89" spans="1:10" ht="15" customHeight="1" x14ac:dyDescent="0.25">
      <c r="A89">
        <v>890113551</v>
      </c>
      <c r="B89" s="67" t="s">
        <v>169</v>
      </c>
      <c r="C89" s="67" t="s">
        <v>96</v>
      </c>
      <c r="D89" s="13">
        <v>1.3728956985595933</v>
      </c>
      <c r="E89" s="63">
        <v>25740892</v>
      </c>
      <c r="F89" s="64">
        <v>0.67072195322473194</v>
      </c>
      <c r="G89" s="65">
        <v>94770629</v>
      </c>
      <c r="H89" s="64">
        <v>4.5605271452144526E-2</v>
      </c>
      <c r="I89" s="64">
        <v>1.8468105767241453E-2</v>
      </c>
      <c r="J89" s="66">
        <v>1.8640332286064221</v>
      </c>
    </row>
    <row r="90" spans="1:10" ht="15" customHeight="1" x14ac:dyDescent="0.25">
      <c r="A90">
        <v>890404190</v>
      </c>
      <c r="B90" s="67" t="s">
        <v>170</v>
      </c>
      <c r="C90" s="67" t="s">
        <v>110</v>
      </c>
      <c r="D90" s="13">
        <v>1.3634737606187375</v>
      </c>
      <c r="E90" s="63">
        <v>4999856</v>
      </c>
      <c r="F90" s="64">
        <v>0.47094381365459909</v>
      </c>
      <c r="G90" s="65">
        <v>18755611</v>
      </c>
      <c r="H90" s="64">
        <v>0.15972773765639553</v>
      </c>
      <c r="I90" s="64">
        <v>9.0414383194447778E-2</v>
      </c>
      <c r="J90" s="66">
        <v>24.743226088859707</v>
      </c>
    </row>
    <row r="91" spans="1:10" ht="15" customHeight="1" x14ac:dyDescent="0.25">
      <c r="A91">
        <v>890913356</v>
      </c>
      <c r="B91" s="67" t="s">
        <v>171</v>
      </c>
      <c r="C91" s="67" t="s">
        <v>95</v>
      </c>
      <c r="D91" s="13">
        <v>1.5657017960133752</v>
      </c>
      <c r="E91" s="63">
        <v>5007904</v>
      </c>
      <c r="F91" s="64">
        <v>0.59407482046033855</v>
      </c>
      <c r="G91" s="65">
        <v>13860455</v>
      </c>
      <c r="H91" s="64">
        <v>6.9463363873176351E-2</v>
      </c>
      <c r="I91" s="64">
        <v>4.2246737210286385E-2</v>
      </c>
      <c r="J91" s="66" t="s">
        <v>88</v>
      </c>
    </row>
    <row r="92" spans="1:10" ht="15" customHeight="1" x14ac:dyDescent="0.25">
      <c r="A92">
        <v>890935763</v>
      </c>
      <c r="B92" s="67" t="s">
        <v>172</v>
      </c>
      <c r="C92" s="67" t="s">
        <v>98</v>
      </c>
      <c r="D92" s="13">
        <v>1.3144632019995879</v>
      </c>
      <c r="E92" s="63">
        <v>4574244</v>
      </c>
      <c r="F92" s="64">
        <v>0.69390132108790759</v>
      </c>
      <c r="G92" s="65">
        <v>19120442</v>
      </c>
      <c r="H92" s="64">
        <v>0.27098040720763306</v>
      </c>
      <c r="I92" s="64">
        <v>9.3424670831354209E-2</v>
      </c>
      <c r="J92" s="66">
        <v>1.4451324534117522</v>
      </c>
    </row>
    <row r="93" spans="1:10" ht="15" customHeight="1" x14ac:dyDescent="0.25">
      <c r="A93">
        <v>890940621</v>
      </c>
      <c r="B93" t="s">
        <v>173</v>
      </c>
      <c r="C93" t="s">
        <v>95</v>
      </c>
      <c r="D93" s="13">
        <v>1.1121854152870632</v>
      </c>
      <c r="E93" s="63">
        <v>3673502</v>
      </c>
      <c r="F93" s="64">
        <v>0.56607393799458572</v>
      </c>
      <c r="G93" s="65">
        <v>46972928</v>
      </c>
      <c r="H93" s="64">
        <v>0.13673685863524812</v>
      </c>
      <c r="I93" s="64">
        <v>7.3165952099047346E-2</v>
      </c>
      <c r="J93" s="66">
        <v>2.1905649686185202</v>
      </c>
    </row>
    <row r="94" spans="1:10" ht="15" customHeight="1" x14ac:dyDescent="0.25">
      <c r="A94">
        <v>900030373</v>
      </c>
      <c r="B94" s="67" t="s">
        <v>174</v>
      </c>
      <c r="C94" s="67" t="s">
        <v>95</v>
      </c>
      <c r="D94" s="13">
        <v>1.2353237448325403</v>
      </c>
      <c r="E94" s="63">
        <v>2951930</v>
      </c>
      <c r="F94" s="64">
        <v>0.32095782522866612</v>
      </c>
      <c r="G94" s="65">
        <v>15496053</v>
      </c>
      <c r="H94" s="64">
        <v>0.12411979143335422</v>
      </c>
      <c r="I94" s="64">
        <v>7.3667855937250601E-2</v>
      </c>
      <c r="J94" s="66">
        <v>1.623588058767476</v>
      </c>
    </row>
    <row r="95" spans="1:10" ht="15" customHeight="1" x14ac:dyDescent="0.25">
      <c r="A95">
        <v>900030756</v>
      </c>
      <c r="B95" s="67" t="s">
        <v>175</v>
      </c>
      <c r="C95" s="67" t="s">
        <v>96</v>
      </c>
      <c r="D95" s="13">
        <v>1.4394607043273082</v>
      </c>
      <c r="E95" s="63">
        <v>19239097</v>
      </c>
      <c r="F95" s="64">
        <v>0.67715066404883795</v>
      </c>
      <c r="G95" s="65">
        <v>63017976</v>
      </c>
      <c r="H95" s="64">
        <v>5.8092715639229429E-2</v>
      </c>
      <c r="I95" s="64">
        <v>2.6191272788577025E-2</v>
      </c>
      <c r="J95" s="66">
        <v>7.3445602887058516</v>
      </c>
    </row>
    <row r="96" spans="1:10" ht="15" customHeight="1" x14ac:dyDescent="0.25">
      <c r="A96">
        <v>900041598</v>
      </c>
      <c r="B96" s="67" t="s">
        <v>176</v>
      </c>
      <c r="C96" s="67" t="s">
        <v>95</v>
      </c>
      <c r="D96" s="13">
        <v>1.4303468865449056</v>
      </c>
      <c r="E96" s="63">
        <v>2594054</v>
      </c>
      <c r="F96" s="64">
        <v>0.45071952033599277</v>
      </c>
      <c r="G96" s="65">
        <v>8621875</v>
      </c>
      <c r="H96" s="64">
        <v>0.22830883617746373</v>
      </c>
      <c r="I96" s="64">
        <v>0.15240304458137005</v>
      </c>
      <c r="J96" s="66">
        <v>1.5769047064725097</v>
      </c>
    </row>
    <row r="97" spans="1:10" ht="15" customHeight="1" x14ac:dyDescent="0.25">
      <c r="A97">
        <v>900049238</v>
      </c>
      <c r="B97" s="67" t="s">
        <v>177</v>
      </c>
      <c r="C97" s="67" t="s">
        <v>95</v>
      </c>
      <c r="D97" s="13">
        <v>1.5505561218103463</v>
      </c>
      <c r="E97" s="63">
        <v>1847325</v>
      </c>
      <c r="F97" s="64">
        <v>0.61123373707808881</v>
      </c>
      <c r="G97" s="65">
        <v>5202705</v>
      </c>
      <c r="H97" s="64">
        <v>0.13827863582867159</v>
      </c>
      <c r="I97" s="64">
        <v>8.0327060634804395E-2</v>
      </c>
      <c r="J97" s="66">
        <v>5.7012400583877874</v>
      </c>
    </row>
    <row r="98" spans="1:10" ht="15" customHeight="1" x14ac:dyDescent="0.25">
      <c r="A98">
        <v>900053064</v>
      </c>
      <c r="B98" s="67" t="s">
        <v>178</v>
      </c>
      <c r="C98" s="67" t="s">
        <v>95</v>
      </c>
      <c r="D98" s="13">
        <v>1.0899747298395737</v>
      </c>
      <c r="E98" s="63">
        <v>2753665</v>
      </c>
      <c r="F98" s="64">
        <v>0.11628861582186335</v>
      </c>
      <c r="G98" s="65">
        <v>33358536</v>
      </c>
      <c r="H98" s="64">
        <v>5.5746524166924445E-2</v>
      </c>
      <c r="I98" s="64">
        <v>3.9571700628588738E-2</v>
      </c>
      <c r="J98" s="66">
        <v>1.3960936359771303</v>
      </c>
    </row>
    <row r="99" spans="1:10" ht="15" customHeight="1" x14ac:dyDescent="0.25">
      <c r="A99">
        <v>900068796</v>
      </c>
      <c r="B99" s="67" t="s">
        <v>179</v>
      </c>
      <c r="C99" s="67" t="s">
        <v>110</v>
      </c>
      <c r="D99" s="13">
        <v>1.7113492784084272</v>
      </c>
      <c r="E99" s="63">
        <v>8732565</v>
      </c>
      <c r="F99" s="64">
        <v>0.7131621517352762</v>
      </c>
      <c r="G99" s="65">
        <v>21008623</v>
      </c>
      <c r="H99" s="64">
        <v>0.36311120787740025</v>
      </c>
      <c r="I99" s="64">
        <v>0.21163895415706208</v>
      </c>
      <c r="J99" s="66">
        <v>191.68971761155422</v>
      </c>
    </row>
    <row r="100" spans="1:10" ht="15" customHeight="1" x14ac:dyDescent="0.25">
      <c r="A100">
        <v>900070165</v>
      </c>
      <c r="B100" s="67" t="s">
        <v>180</v>
      </c>
      <c r="C100" s="67" t="s">
        <v>102</v>
      </c>
      <c r="D100" s="13">
        <v>1.3696245358572268</v>
      </c>
      <c r="E100" s="63">
        <v>2239164</v>
      </c>
      <c r="F100" s="64">
        <v>0.3699053564286709</v>
      </c>
      <c r="G100" s="65">
        <v>8297106</v>
      </c>
      <c r="H100" s="64">
        <v>8.9295286918319353E-2</v>
      </c>
      <c r="I100" s="64">
        <v>6.5147414050151939E-2</v>
      </c>
      <c r="J100" s="66">
        <v>2.082288404272941</v>
      </c>
    </row>
    <row r="101" spans="1:10" ht="15" customHeight="1" x14ac:dyDescent="0.25">
      <c r="A101">
        <v>900097794</v>
      </c>
      <c r="B101" s="67" t="s">
        <v>181</v>
      </c>
      <c r="C101" s="67" t="s">
        <v>95</v>
      </c>
      <c r="D101" s="13">
        <v>1.6394265165916246</v>
      </c>
      <c r="E101" s="63">
        <v>5263229</v>
      </c>
      <c r="F101" s="64">
        <v>0.63942651659162464</v>
      </c>
      <c r="G101" s="65">
        <v>13494400</v>
      </c>
      <c r="H101" s="64">
        <v>2.5661233377365141E-2</v>
      </c>
      <c r="I101" s="64">
        <v>1.565256699075172E-2</v>
      </c>
      <c r="J101" s="66">
        <v>138.14388489208633</v>
      </c>
    </row>
    <row r="102" spans="1:10" ht="15" customHeight="1" x14ac:dyDescent="0.25">
      <c r="A102">
        <v>900110934</v>
      </c>
      <c r="B102" s="67" t="s">
        <v>182</v>
      </c>
      <c r="C102" s="67" t="s">
        <v>110</v>
      </c>
      <c r="D102" s="13">
        <v>1.1830893878185753</v>
      </c>
      <c r="E102" s="63">
        <v>2033284</v>
      </c>
      <c r="F102" s="64">
        <v>0.47606531368743621</v>
      </c>
      <c r="G102" s="65">
        <v>13138701</v>
      </c>
      <c r="H102" s="64">
        <v>5.4376718998440418E-2</v>
      </c>
      <c r="I102" s="64">
        <v>1.7676328885176701E-2</v>
      </c>
      <c r="J102" s="66" t="s">
        <v>88</v>
      </c>
    </row>
    <row r="103" spans="1:10" ht="15" customHeight="1" x14ac:dyDescent="0.25">
      <c r="A103">
        <v>900112154</v>
      </c>
      <c r="B103" t="s">
        <v>183</v>
      </c>
      <c r="C103" t="s">
        <v>102</v>
      </c>
      <c r="D103" s="13">
        <v>1.0201577871407339</v>
      </c>
      <c r="E103" s="63">
        <v>1018575</v>
      </c>
      <c r="F103" s="64">
        <v>0.20420234224014147</v>
      </c>
      <c r="G103" s="65">
        <v>59839569</v>
      </c>
      <c r="H103" s="64">
        <v>5.1630363553764748E-2</v>
      </c>
      <c r="I103" s="64">
        <v>3.933515964996339E-2</v>
      </c>
      <c r="J103" s="66">
        <v>260.98225967402152</v>
      </c>
    </row>
    <row r="104" spans="1:10" ht="15" customHeight="1" x14ac:dyDescent="0.25">
      <c r="A104">
        <v>900131199</v>
      </c>
      <c r="B104" s="67" t="s">
        <v>94</v>
      </c>
      <c r="C104" s="67" t="s">
        <v>96</v>
      </c>
      <c r="D104" s="13">
        <v>1.1329907902217846</v>
      </c>
      <c r="E104" s="63">
        <v>5353723</v>
      </c>
      <c r="F104" s="64">
        <v>0.29322667742799624</v>
      </c>
      <c r="G104" s="65">
        <v>45610067</v>
      </c>
      <c r="H104" s="64">
        <v>0.15636154890629389</v>
      </c>
      <c r="I104" s="64">
        <v>6.2592409697622239E-2</v>
      </c>
      <c r="J104" s="66" t="s">
        <v>88</v>
      </c>
    </row>
    <row r="105" spans="1:10" ht="15" customHeight="1" x14ac:dyDescent="0.25">
      <c r="A105">
        <v>900159278</v>
      </c>
      <c r="B105" s="67" t="s">
        <v>184</v>
      </c>
      <c r="C105" s="67" t="s">
        <v>102</v>
      </c>
      <c r="D105" s="13">
        <v>1.3506586398044942</v>
      </c>
      <c r="E105" s="63">
        <v>5883000</v>
      </c>
      <c r="F105" s="64">
        <v>0.60202619729840356</v>
      </c>
      <c r="G105" s="65">
        <v>22660000</v>
      </c>
      <c r="H105" s="64">
        <v>0.36635284486287351</v>
      </c>
      <c r="I105" s="64">
        <v>0.15798764342453664</v>
      </c>
      <c r="J105" s="66">
        <v>4.7669773635153128</v>
      </c>
    </row>
    <row r="106" spans="1:10" ht="15" customHeight="1" x14ac:dyDescent="0.25">
      <c r="A106">
        <v>900165846</v>
      </c>
      <c r="B106" s="67" t="s">
        <v>185</v>
      </c>
      <c r="C106" s="67" t="s">
        <v>102</v>
      </c>
      <c r="D106" s="13">
        <v>1.5282000047975841</v>
      </c>
      <c r="E106" s="63">
        <v>4073592</v>
      </c>
      <c r="F106" s="64">
        <v>0.52820000479758411</v>
      </c>
      <c r="G106" s="65">
        <v>11785807</v>
      </c>
      <c r="H106" s="64">
        <v>0.22635948297603217</v>
      </c>
      <c r="I106" s="64">
        <v>0.14812163477647308</v>
      </c>
      <c r="J106" s="66">
        <v>4.1278188021819782</v>
      </c>
    </row>
    <row r="107" spans="1:10" ht="15" customHeight="1" x14ac:dyDescent="0.25">
      <c r="A107">
        <v>900170148</v>
      </c>
      <c r="B107" s="67" t="s">
        <v>186</v>
      </c>
      <c r="C107" s="67" t="s">
        <v>95</v>
      </c>
      <c r="D107" s="13">
        <v>1.3823262249225494</v>
      </c>
      <c r="E107" s="63">
        <v>2860020</v>
      </c>
      <c r="F107" s="64">
        <v>0.61046005313953566</v>
      </c>
      <c r="G107" s="65">
        <v>10340595</v>
      </c>
      <c r="H107" s="64">
        <v>0.16921172655679032</v>
      </c>
      <c r="I107" s="64">
        <v>7.6664930789765967E-2</v>
      </c>
      <c r="J107" s="66">
        <v>4.4412629762631726</v>
      </c>
    </row>
    <row r="108" spans="1:10" ht="15" customHeight="1" x14ac:dyDescent="0.25">
      <c r="A108">
        <v>900182180</v>
      </c>
      <c r="B108" s="67" t="s">
        <v>187</v>
      </c>
      <c r="C108" s="67" t="s">
        <v>98</v>
      </c>
      <c r="D108" s="13">
        <v>1.1692336782059733</v>
      </c>
      <c r="E108" s="63">
        <v>8742569</v>
      </c>
      <c r="F108" s="64">
        <v>0.60879080720253897</v>
      </c>
      <c r="G108" s="65">
        <v>60402316</v>
      </c>
      <c r="H108" s="64">
        <v>0.61241880270995253</v>
      </c>
      <c r="I108" s="64">
        <v>0.14560151965033924</v>
      </c>
      <c r="J108" s="66">
        <v>2.9837227472723948</v>
      </c>
    </row>
    <row r="109" spans="1:10" ht="15" customHeight="1" x14ac:dyDescent="0.25">
      <c r="A109">
        <v>900193620</v>
      </c>
      <c r="B109" s="67" t="s">
        <v>188</v>
      </c>
      <c r="C109" s="67" t="s">
        <v>95</v>
      </c>
      <c r="D109" s="13">
        <v>1.5520545388230422</v>
      </c>
      <c r="E109" s="63">
        <v>1736084</v>
      </c>
      <c r="F109" s="64">
        <v>0.55205453882304234</v>
      </c>
      <c r="G109" s="65">
        <v>4880853</v>
      </c>
      <c r="H109" s="64">
        <v>7.9799183978219071E-2</v>
      </c>
      <c r="I109" s="64">
        <v>5.1415193204958229E-2</v>
      </c>
      <c r="J109" s="66">
        <v>1.7726087969993856</v>
      </c>
    </row>
    <row r="110" spans="1:10" ht="15" customHeight="1" x14ac:dyDescent="0.25">
      <c r="A110">
        <v>900202232</v>
      </c>
      <c r="B110" s="67" t="s">
        <v>189</v>
      </c>
      <c r="C110" s="67" t="s">
        <v>98</v>
      </c>
      <c r="D110" s="13">
        <v>1.4834317086413698</v>
      </c>
      <c r="E110" s="63">
        <v>1821678</v>
      </c>
      <c r="F110" s="64">
        <v>0.48343170864136986</v>
      </c>
      <c r="G110" s="65">
        <v>5589900</v>
      </c>
      <c r="H110" s="64">
        <v>6.7559183084223803E-2</v>
      </c>
      <c r="I110" s="64">
        <v>4.5542496287947903E-2</v>
      </c>
      <c r="J110" s="66" t="s">
        <v>88</v>
      </c>
    </row>
    <row r="111" spans="1:10" ht="15" customHeight="1" x14ac:dyDescent="0.25">
      <c r="A111">
        <v>900216255</v>
      </c>
      <c r="B111" s="67" t="s">
        <v>190</v>
      </c>
      <c r="C111" s="67" t="s">
        <v>95</v>
      </c>
      <c r="D111" s="13">
        <v>1.3704516922995709</v>
      </c>
      <c r="E111" s="63">
        <v>1122815</v>
      </c>
      <c r="F111" s="64">
        <v>0.42330315309133848</v>
      </c>
      <c r="G111" s="65">
        <v>4153750</v>
      </c>
      <c r="H111" s="64">
        <v>0.2329455745279562</v>
      </c>
      <c r="I111" s="64">
        <v>0.14875473969304845</v>
      </c>
      <c r="J111" s="66">
        <v>15.892641271637645</v>
      </c>
    </row>
    <row r="112" spans="1:10" ht="15" customHeight="1" x14ac:dyDescent="0.25">
      <c r="A112">
        <v>900221386</v>
      </c>
      <c r="B112" s="67" t="s">
        <v>191</v>
      </c>
      <c r="C112" s="67" t="s">
        <v>95</v>
      </c>
      <c r="D112" s="13">
        <v>1.2202051121138793</v>
      </c>
      <c r="E112" s="63">
        <v>1875165</v>
      </c>
      <c r="F112" s="64">
        <v>0.48634615773658074</v>
      </c>
      <c r="G112" s="65">
        <v>10390703</v>
      </c>
      <c r="H112" s="64">
        <v>0.20201560424295145</v>
      </c>
      <c r="I112" s="64">
        <v>7.4960760595312939E-2</v>
      </c>
      <c r="J112" s="66">
        <v>479.61514778325125</v>
      </c>
    </row>
    <row r="113" spans="1:10" ht="15" customHeight="1" x14ac:dyDescent="0.25">
      <c r="A113">
        <v>900233015</v>
      </c>
      <c r="B113" s="67" t="s">
        <v>192</v>
      </c>
      <c r="C113" s="67" t="s">
        <v>102</v>
      </c>
      <c r="D113" s="13">
        <v>1.4101001133218882</v>
      </c>
      <c r="E113" s="63">
        <v>8987166</v>
      </c>
      <c r="F113" s="64">
        <v>0.5546162230919367</v>
      </c>
      <c r="G113" s="65">
        <v>30901732</v>
      </c>
      <c r="H113" s="64">
        <v>0.21965729213677088</v>
      </c>
      <c r="I113" s="64">
        <v>0.11518422333091233</v>
      </c>
      <c r="J113" s="66">
        <v>15.172755988081384</v>
      </c>
    </row>
    <row r="114" spans="1:10" ht="15" customHeight="1" x14ac:dyDescent="0.25">
      <c r="A114">
        <v>900233876</v>
      </c>
      <c r="B114" s="67" t="s">
        <v>193</v>
      </c>
      <c r="C114" s="67" t="s">
        <v>95</v>
      </c>
      <c r="D114" s="13">
        <v>1.4459604664164889</v>
      </c>
      <c r="E114" s="63">
        <v>4166944</v>
      </c>
      <c r="F114" s="64">
        <v>0.70586975774129479</v>
      </c>
      <c r="G114" s="65">
        <v>13510696</v>
      </c>
      <c r="H114" s="64">
        <v>0.2757235135202894</v>
      </c>
      <c r="I114" s="64">
        <v>0.12047284610652183</v>
      </c>
      <c r="J114" s="66">
        <v>2.227859605611286</v>
      </c>
    </row>
    <row r="115" spans="1:10" ht="15" customHeight="1" x14ac:dyDescent="0.25">
      <c r="A115">
        <v>900236840</v>
      </c>
      <c r="B115" s="67" t="s">
        <v>194</v>
      </c>
      <c r="C115" s="67" t="s">
        <v>95</v>
      </c>
      <c r="D115" s="13">
        <v>1.2865211060068682</v>
      </c>
      <c r="E115" s="63">
        <v>3240860</v>
      </c>
      <c r="F115" s="64">
        <v>0.48396297530771282</v>
      </c>
      <c r="G115" s="65">
        <v>14551929</v>
      </c>
      <c r="H115" s="64">
        <v>4.4375542820552338E-2</v>
      </c>
      <c r="I115" s="64">
        <v>2.0420729100588658E-2</v>
      </c>
      <c r="J115" s="66" t="s">
        <v>88</v>
      </c>
    </row>
    <row r="116" spans="1:10" ht="15" customHeight="1" x14ac:dyDescent="0.25">
      <c r="A116">
        <v>900258284</v>
      </c>
      <c r="B116" s="67" t="s">
        <v>195</v>
      </c>
      <c r="C116" s="67" t="s">
        <v>95</v>
      </c>
      <c r="D116" s="13">
        <v>1.1703339218782787</v>
      </c>
      <c r="E116" s="63">
        <v>2894732</v>
      </c>
      <c r="F116" s="64">
        <v>0.17033392187827864</v>
      </c>
      <c r="G116" s="65">
        <v>19889186</v>
      </c>
      <c r="H116" s="64">
        <v>4.8325589042166342E-2</v>
      </c>
      <c r="I116" s="64">
        <v>4.1292137345389598E-2</v>
      </c>
      <c r="J116" s="66" t="s">
        <v>88</v>
      </c>
    </row>
    <row r="117" spans="1:10" ht="15" customHeight="1" x14ac:dyDescent="0.25">
      <c r="A117">
        <v>900258381</v>
      </c>
      <c r="B117" s="67" t="s">
        <v>196</v>
      </c>
      <c r="C117" s="67" t="s">
        <v>95</v>
      </c>
      <c r="D117" s="13">
        <v>1.2925276021223422</v>
      </c>
      <c r="E117" s="63">
        <v>2773685</v>
      </c>
      <c r="F117" s="64">
        <v>0.29967858144960424</v>
      </c>
      <c r="G117" s="65">
        <v>12255474</v>
      </c>
      <c r="H117" s="64">
        <v>0.10808464515225649</v>
      </c>
      <c r="I117" s="64">
        <v>8.1627279369202693E-2</v>
      </c>
      <c r="J117" s="66">
        <v>4.2849842800969755</v>
      </c>
    </row>
    <row r="118" spans="1:10" ht="15" customHeight="1" x14ac:dyDescent="0.25">
      <c r="A118">
        <v>900269775</v>
      </c>
      <c r="B118" s="67" t="s">
        <v>197</v>
      </c>
      <c r="C118" s="67" t="s">
        <v>102</v>
      </c>
      <c r="D118" s="13">
        <v>1.5042786810908855</v>
      </c>
      <c r="E118" s="63">
        <v>6539022</v>
      </c>
      <c r="F118" s="64">
        <v>0.50427868109088558</v>
      </c>
      <c r="G118" s="65">
        <v>19506102</v>
      </c>
      <c r="H118" s="64">
        <v>4.6919738291118743E-2</v>
      </c>
      <c r="I118" s="64">
        <v>3.119085504628244E-2</v>
      </c>
      <c r="J118" s="66">
        <v>23.687444033482578</v>
      </c>
    </row>
    <row r="119" spans="1:10" ht="15" customHeight="1" x14ac:dyDescent="0.25">
      <c r="A119">
        <v>900269791</v>
      </c>
      <c r="B119" t="s">
        <v>198</v>
      </c>
      <c r="C119" t="s">
        <v>102</v>
      </c>
      <c r="D119" s="13">
        <v>1.2352045377202301</v>
      </c>
      <c r="E119" s="63">
        <v>2948438</v>
      </c>
      <c r="F119" s="64">
        <v>0.52843926924909868</v>
      </c>
      <c r="G119" s="65">
        <v>15484072</v>
      </c>
      <c r="H119" s="64">
        <v>0.14348095472711725</v>
      </c>
      <c r="I119" s="64">
        <v>5.1701839154454976E-2</v>
      </c>
      <c r="J119" s="66">
        <v>1.4128604708623063</v>
      </c>
    </row>
    <row r="120" spans="1:10" ht="15" customHeight="1" x14ac:dyDescent="0.25">
      <c r="A120">
        <v>900319286</v>
      </c>
      <c r="B120" s="67" t="s">
        <v>199</v>
      </c>
      <c r="C120" s="67" t="s">
        <v>102</v>
      </c>
      <c r="D120" s="13">
        <v>1.6031664606357339</v>
      </c>
      <c r="E120" s="63">
        <v>5775574</v>
      </c>
      <c r="F120" s="64">
        <v>0.69713686882793424</v>
      </c>
      <c r="G120" s="65">
        <v>15350997</v>
      </c>
      <c r="H120" s="64">
        <v>2.9661885406675869E-2</v>
      </c>
      <c r="I120" s="64">
        <v>1.6008080778075848E-2</v>
      </c>
      <c r="J120" s="66" t="s">
        <v>88</v>
      </c>
    </row>
    <row r="121" spans="1:10" ht="15" customHeight="1" x14ac:dyDescent="0.25">
      <c r="A121">
        <v>900320206</v>
      </c>
      <c r="B121" t="s">
        <v>200</v>
      </c>
      <c r="C121" t="s">
        <v>102</v>
      </c>
      <c r="D121" s="13">
        <v>1.4326678447960515</v>
      </c>
      <c r="E121" s="63">
        <v>2099445</v>
      </c>
      <c r="F121" s="64">
        <v>0.59544939384244666</v>
      </c>
      <c r="G121" s="65">
        <v>6951770</v>
      </c>
      <c r="H121" s="64">
        <v>0.12562992510102625</v>
      </c>
      <c r="I121" s="64">
        <v>6.3717297896794631E-2</v>
      </c>
      <c r="J121" s="66" t="s">
        <v>88</v>
      </c>
    </row>
    <row r="122" spans="1:10" ht="15" customHeight="1" x14ac:dyDescent="0.25">
      <c r="A122">
        <v>900320511</v>
      </c>
      <c r="B122" s="67" t="s">
        <v>201</v>
      </c>
      <c r="C122" s="67" t="s">
        <v>95</v>
      </c>
      <c r="D122" s="13">
        <v>1.4232481150923129</v>
      </c>
      <c r="E122" s="63">
        <v>1686339</v>
      </c>
      <c r="F122" s="64">
        <v>0.71694825107871363</v>
      </c>
      <c r="G122" s="65">
        <v>5670619</v>
      </c>
      <c r="H122" s="64">
        <v>0.39682293365055249</v>
      </c>
      <c r="I122" s="64">
        <v>0.16459755099046505</v>
      </c>
      <c r="J122" s="66">
        <v>9.5950696985895796</v>
      </c>
    </row>
    <row r="123" spans="1:10" ht="15" customHeight="1" x14ac:dyDescent="0.25">
      <c r="A123">
        <v>900337549</v>
      </c>
      <c r="B123" s="67" t="s">
        <v>202</v>
      </c>
      <c r="C123" s="67" t="s">
        <v>95</v>
      </c>
      <c r="D123" s="13">
        <v>1.5593005586453177</v>
      </c>
      <c r="E123" s="63">
        <v>5574731</v>
      </c>
      <c r="F123" s="64">
        <v>0.59112627342165913</v>
      </c>
      <c r="G123" s="65">
        <v>15542057</v>
      </c>
      <c r="H123" s="64">
        <v>0.2354983631109227</v>
      </c>
      <c r="I123" s="64">
        <v>0.14289697946674626</v>
      </c>
      <c r="J123" s="66">
        <v>32.859575664319109</v>
      </c>
    </row>
    <row r="124" spans="1:10" ht="15" customHeight="1" x14ac:dyDescent="0.25">
      <c r="A124">
        <v>900338983</v>
      </c>
      <c r="B124" s="67" t="s">
        <v>203</v>
      </c>
      <c r="C124" s="67" t="s">
        <v>110</v>
      </c>
      <c r="D124" s="13">
        <v>1.5147773906490103</v>
      </c>
      <c r="E124" s="63">
        <v>1997257</v>
      </c>
      <c r="F124" s="64">
        <v>0.74847392052057404</v>
      </c>
      <c r="G124" s="65">
        <v>5877103</v>
      </c>
      <c r="H124" s="64">
        <v>0.15430594441169537</v>
      </c>
      <c r="I124" s="64">
        <v>7.0061048785430513E-2</v>
      </c>
      <c r="J124" s="66">
        <v>1.7053963047178837</v>
      </c>
    </row>
    <row r="125" spans="1:10" ht="15" customHeight="1" x14ac:dyDescent="0.25">
      <c r="A125">
        <v>900341780</v>
      </c>
      <c r="B125" s="67" t="s">
        <v>204</v>
      </c>
      <c r="C125" s="67" t="s">
        <v>102</v>
      </c>
      <c r="D125" s="13">
        <v>1.1415206236288862</v>
      </c>
      <c r="E125" s="63">
        <v>109158851</v>
      </c>
      <c r="F125" s="64">
        <v>0.14152062362888623</v>
      </c>
      <c r="G125" s="65">
        <v>880487073</v>
      </c>
      <c r="H125" s="64">
        <v>9.3974719104728932E-2</v>
      </c>
      <c r="I125" s="64">
        <v>8.232415355404088E-2</v>
      </c>
      <c r="J125" s="66">
        <v>4.2893873434308754</v>
      </c>
    </row>
    <row r="126" spans="1:10" ht="15" customHeight="1" x14ac:dyDescent="0.25">
      <c r="A126">
        <v>900343883</v>
      </c>
      <c r="B126" s="67" t="s">
        <v>93</v>
      </c>
      <c r="C126" s="67" t="s">
        <v>96</v>
      </c>
      <c r="D126" s="13">
        <v>1.1604230907797419</v>
      </c>
      <c r="E126" s="63">
        <v>2970474</v>
      </c>
      <c r="F126" s="64">
        <v>0.1604230907797419</v>
      </c>
      <c r="G126" s="65">
        <v>21486973</v>
      </c>
      <c r="H126" s="64">
        <v>2.5076878733933449E-2</v>
      </c>
      <c r="I126" s="64">
        <v>2.1610116976458246E-2</v>
      </c>
      <c r="J126" s="66">
        <v>54.099499009670275</v>
      </c>
    </row>
    <row r="127" spans="1:10" ht="15" customHeight="1" x14ac:dyDescent="0.25">
      <c r="A127">
        <v>900349462</v>
      </c>
      <c r="B127" t="s">
        <v>205</v>
      </c>
      <c r="C127" t="s">
        <v>95</v>
      </c>
      <c r="D127" s="13">
        <v>1.3513044491371149</v>
      </c>
      <c r="E127" s="63">
        <v>1206116</v>
      </c>
      <c r="F127" s="64">
        <v>0.42032929598129259</v>
      </c>
      <c r="G127" s="65">
        <v>4639366</v>
      </c>
      <c r="H127" s="64">
        <v>0.11023382489009237</v>
      </c>
      <c r="I127" s="64">
        <v>6.8179790083386399E-2</v>
      </c>
      <c r="J127" s="66" t="s">
        <v>88</v>
      </c>
    </row>
    <row r="128" spans="1:10" ht="15" customHeight="1" x14ac:dyDescent="0.25">
      <c r="A128">
        <v>900351238</v>
      </c>
      <c r="B128" s="67" t="s">
        <v>206</v>
      </c>
      <c r="C128" s="67" t="s">
        <v>95</v>
      </c>
      <c r="D128" s="13">
        <v>1.5977595836640344</v>
      </c>
      <c r="E128" s="63">
        <v>2839364</v>
      </c>
      <c r="F128" s="64">
        <v>0.60141312907818723</v>
      </c>
      <c r="G128" s="65">
        <v>7589374</v>
      </c>
      <c r="H128" s="64">
        <v>0.30050661342544638</v>
      </c>
      <c r="I128" s="64">
        <v>0.1869374206620994</v>
      </c>
      <c r="J128" s="66" t="s">
        <v>88</v>
      </c>
    </row>
    <row r="129" spans="1:10" ht="15" customHeight="1" x14ac:dyDescent="0.25">
      <c r="A129">
        <v>900354038</v>
      </c>
      <c r="B129" s="67" t="s">
        <v>207</v>
      </c>
      <c r="C129" s="67" t="s">
        <v>95</v>
      </c>
      <c r="D129" s="13">
        <v>1.4765859140183843</v>
      </c>
      <c r="E129" s="63">
        <v>3525184</v>
      </c>
      <c r="F129" s="64">
        <v>0.47658591401838429</v>
      </c>
      <c r="G129" s="65">
        <v>10921928</v>
      </c>
      <c r="H129" s="64">
        <v>8.7869473379097618E-2</v>
      </c>
      <c r="I129" s="64">
        <v>5.9508540982874086E-2</v>
      </c>
      <c r="J129" s="66">
        <v>9.4855224751897254</v>
      </c>
    </row>
    <row r="130" spans="1:10" ht="15" customHeight="1" x14ac:dyDescent="0.25">
      <c r="A130">
        <v>900356101</v>
      </c>
      <c r="B130" s="67" t="s">
        <v>208</v>
      </c>
      <c r="C130" s="67" t="s">
        <v>95</v>
      </c>
      <c r="D130" s="13">
        <v>1.2231673658178381</v>
      </c>
      <c r="E130" s="63">
        <v>1850814</v>
      </c>
      <c r="F130" s="64">
        <v>0.22638284464503064</v>
      </c>
      <c r="G130" s="65">
        <v>10144204</v>
      </c>
      <c r="H130" s="64">
        <v>2.7510298029757598E-2</v>
      </c>
      <c r="I130" s="64">
        <v>2.2171576991156725E-2</v>
      </c>
      <c r="J130" s="66">
        <v>2.4077012011047594</v>
      </c>
    </row>
    <row r="131" spans="1:10" ht="15" customHeight="1" x14ac:dyDescent="0.25">
      <c r="A131">
        <v>900370766</v>
      </c>
      <c r="B131" t="s">
        <v>209</v>
      </c>
      <c r="C131" t="s">
        <v>96</v>
      </c>
      <c r="D131" s="13">
        <v>1.4404813847399884</v>
      </c>
      <c r="E131" s="63">
        <v>10247858</v>
      </c>
      <c r="F131" s="64">
        <v>0.44252037152708135</v>
      </c>
      <c r="G131" s="65">
        <v>33512991</v>
      </c>
      <c r="H131" s="64">
        <v>0.14586171003589052</v>
      </c>
      <c r="I131" s="64">
        <v>0.10079243598400393</v>
      </c>
      <c r="J131" s="66">
        <v>5.2641720263874365</v>
      </c>
    </row>
    <row r="132" spans="1:10" ht="15" customHeight="1" x14ac:dyDescent="0.25">
      <c r="A132">
        <v>900380666</v>
      </c>
      <c r="B132" s="67" t="s">
        <v>210</v>
      </c>
      <c r="C132" s="67" t="s">
        <v>102</v>
      </c>
      <c r="D132" s="13">
        <v>1.7001338406755044</v>
      </c>
      <c r="E132" s="63">
        <v>3831257</v>
      </c>
      <c r="F132" s="64">
        <v>0.70013601573491713</v>
      </c>
      <c r="G132" s="65">
        <v>9303435</v>
      </c>
      <c r="H132" s="64">
        <v>9.8661570812700869E-2</v>
      </c>
      <c r="I132" s="64">
        <v>5.8031469021925776E-2</v>
      </c>
      <c r="J132" s="66">
        <v>13.658469945355192</v>
      </c>
    </row>
    <row r="133" spans="1:10" ht="15" customHeight="1" x14ac:dyDescent="0.25">
      <c r="A133">
        <v>900393843</v>
      </c>
      <c r="B133" s="67" t="s">
        <v>211</v>
      </c>
      <c r="C133" s="67" t="s">
        <v>110</v>
      </c>
      <c r="D133" s="13">
        <v>1.4736222351173736</v>
      </c>
      <c r="E133" s="63">
        <v>5972904</v>
      </c>
      <c r="F133" s="64">
        <v>0.49256534347563091</v>
      </c>
      <c r="G133" s="65">
        <v>18584018</v>
      </c>
      <c r="H133" s="64">
        <v>0.32206151764188284</v>
      </c>
      <c r="I133" s="64">
        <v>0.21014588987160904</v>
      </c>
      <c r="J133" s="66">
        <v>17.322795702740347</v>
      </c>
    </row>
    <row r="134" spans="1:10" ht="15" customHeight="1" x14ac:dyDescent="0.25">
      <c r="A134">
        <v>900394651</v>
      </c>
      <c r="B134" s="67" t="s">
        <v>212</v>
      </c>
      <c r="C134" s="67" t="s">
        <v>95</v>
      </c>
      <c r="D134" s="13">
        <v>1.4442669843898563</v>
      </c>
      <c r="E134" s="63">
        <v>8251735</v>
      </c>
      <c r="F134" s="64">
        <v>0.73857056229204099</v>
      </c>
      <c r="G134" s="65">
        <v>26825555</v>
      </c>
      <c r="H134" s="64">
        <v>4.9773575026348001E-2</v>
      </c>
      <c r="I134" s="64">
        <v>2.0730195516924066E-2</v>
      </c>
      <c r="J134" s="66" t="s">
        <v>88</v>
      </c>
    </row>
    <row r="135" spans="1:10" ht="15" customHeight="1" x14ac:dyDescent="0.25">
      <c r="A135">
        <v>900394870</v>
      </c>
      <c r="B135" s="67" t="s">
        <v>213</v>
      </c>
      <c r="C135" s="67" t="s">
        <v>102</v>
      </c>
      <c r="D135" s="13">
        <v>1.6914955641374543</v>
      </c>
      <c r="E135" s="63">
        <v>1456457</v>
      </c>
      <c r="F135" s="64">
        <v>0.69149556413745428</v>
      </c>
      <c r="G135" s="65">
        <v>3562699</v>
      </c>
      <c r="H135" s="64">
        <v>2.4503357164086557E-2</v>
      </c>
      <c r="I135" s="64">
        <v>1.4486208349344136E-2</v>
      </c>
      <c r="J135" s="66">
        <v>5.2917051163744491</v>
      </c>
    </row>
    <row r="136" spans="1:10" ht="15" customHeight="1" x14ac:dyDescent="0.25">
      <c r="A136">
        <v>900404845</v>
      </c>
      <c r="B136" s="67" t="s">
        <v>214</v>
      </c>
      <c r="C136" s="67" t="s">
        <v>98</v>
      </c>
      <c r="D136" s="13">
        <v>1.3426875058033634</v>
      </c>
      <c r="E136" s="63">
        <v>6152252</v>
      </c>
      <c r="F136" s="64">
        <v>0.53128374899632758</v>
      </c>
      <c r="G136" s="65">
        <v>24105203</v>
      </c>
      <c r="H136" s="64">
        <v>0.18851631273092667</v>
      </c>
      <c r="I136" s="64">
        <v>9.0561942166593662E-2</v>
      </c>
      <c r="J136" s="66">
        <v>65.747492696443089</v>
      </c>
    </row>
    <row r="137" spans="1:10" ht="15" customHeight="1" x14ac:dyDescent="0.25">
      <c r="A137">
        <v>900413231</v>
      </c>
      <c r="B137" t="s">
        <v>215</v>
      </c>
      <c r="C137" t="s">
        <v>102</v>
      </c>
      <c r="D137" s="13">
        <v>1.2906065838679277</v>
      </c>
      <c r="E137" s="63">
        <v>4594298</v>
      </c>
      <c r="F137" s="64">
        <v>0.35157311110007466</v>
      </c>
      <c r="G137" s="65">
        <v>20403637</v>
      </c>
      <c r="H137" s="64">
        <v>2.727277388267418E-2</v>
      </c>
      <c r="I137" s="64">
        <v>1.7467278015189155E-2</v>
      </c>
      <c r="J137" s="66">
        <v>2.532264711315741</v>
      </c>
    </row>
    <row r="138" spans="1:10" ht="15" customHeight="1" x14ac:dyDescent="0.25">
      <c r="A138">
        <v>900436114</v>
      </c>
      <c r="B138" s="67" t="s">
        <v>216</v>
      </c>
      <c r="C138" s="67" t="s">
        <v>102</v>
      </c>
      <c r="D138" s="13">
        <v>1.6682883567980755</v>
      </c>
      <c r="E138" s="63">
        <v>3225183</v>
      </c>
      <c r="F138" s="64">
        <v>0.66828835679807541</v>
      </c>
      <c r="G138" s="65">
        <v>8051218</v>
      </c>
      <c r="H138" s="64">
        <v>0.12297942306676185</v>
      </c>
      <c r="I138" s="64">
        <v>7.3715927205051462E-2</v>
      </c>
      <c r="J138" s="66">
        <v>4.7610120408474321</v>
      </c>
    </row>
    <row r="139" spans="1:10" ht="15" customHeight="1" x14ac:dyDescent="0.25">
      <c r="A139">
        <v>900437004</v>
      </c>
      <c r="B139" t="s">
        <v>217</v>
      </c>
      <c r="C139" t="s">
        <v>102</v>
      </c>
      <c r="D139" s="13">
        <v>1.2838312077762282</v>
      </c>
      <c r="E139" s="63">
        <v>2524768</v>
      </c>
      <c r="F139" s="64">
        <v>0.6207402854438393</v>
      </c>
      <c r="G139" s="65">
        <v>11420083</v>
      </c>
      <c r="H139" s="64">
        <v>0.37756622862551786</v>
      </c>
      <c r="I139" s="64">
        <v>0.13447310321650027</v>
      </c>
      <c r="J139" s="66">
        <v>1.0502597448782796</v>
      </c>
    </row>
    <row r="140" spans="1:10" ht="15" customHeight="1" x14ac:dyDescent="0.25">
      <c r="A140">
        <v>900437236</v>
      </c>
      <c r="B140" s="67" t="s">
        <v>218</v>
      </c>
      <c r="C140" s="67" t="s">
        <v>95</v>
      </c>
      <c r="D140" s="13">
        <v>1.3147844855598885</v>
      </c>
      <c r="E140" s="63">
        <v>1351372</v>
      </c>
      <c r="F140" s="64">
        <v>0.3721307556993857</v>
      </c>
      <c r="G140" s="65">
        <v>5644379</v>
      </c>
      <c r="H140" s="64">
        <v>0.17699983808093969</v>
      </c>
      <c r="I140" s="64">
        <v>0.11387700932201754</v>
      </c>
      <c r="J140" s="66">
        <v>2.362316283890316</v>
      </c>
    </row>
    <row r="141" spans="1:10" ht="15" customHeight="1" x14ac:dyDescent="0.25">
      <c r="A141">
        <v>900452274</v>
      </c>
      <c r="B141" s="67" t="s">
        <v>219</v>
      </c>
      <c r="C141" s="67" t="s">
        <v>95</v>
      </c>
      <c r="D141" s="13">
        <v>1.2325538092621897</v>
      </c>
      <c r="E141" s="63">
        <v>3714332</v>
      </c>
      <c r="F141" s="64">
        <v>0.44775220516935188</v>
      </c>
      <c r="G141" s="65">
        <v>19686257</v>
      </c>
      <c r="H141" s="64">
        <v>0.18230095131003429</v>
      </c>
      <c r="I141" s="64">
        <v>7.6819021513332877E-2</v>
      </c>
      <c r="J141" s="66" t="s">
        <v>88</v>
      </c>
    </row>
    <row r="142" spans="1:10" ht="15" customHeight="1" x14ac:dyDescent="0.25">
      <c r="A142">
        <v>900453899</v>
      </c>
      <c r="B142" s="67" t="s">
        <v>220</v>
      </c>
      <c r="C142" s="67" t="s">
        <v>102</v>
      </c>
      <c r="D142" s="13">
        <v>1.3289584927808942</v>
      </c>
      <c r="E142" s="63">
        <v>1806944</v>
      </c>
      <c r="F142" s="64">
        <v>0.55058785530699961</v>
      </c>
      <c r="G142" s="65">
        <v>7299868</v>
      </c>
      <c r="H142" s="64">
        <v>0.13722372628810928</v>
      </c>
      <c r="I142" s="64">
        <v>6.1692485398366109E-2</v>
      </c>
      <c r="J142" s="66">
        <v>2.096616805635088</v>
      </c>
    </row>
    <row r="143" spans="1:10" ht="15" customHeight="1" x14ac:dyDescent="0.25">
      <c r="A143">
        <v>900462129</v>
      </c>
      <c r="B143" s="67" t="s">
        <v>221</v>
      </c>
      <c r="C143" s="67" t="s">
        <v>102</v>
      </c>
      <c r="D143" s="13">
        <v>1.379130861814758</v>
      </c>
      <c r="E143" s="63">
        <v>2652674</v>
      </c>
      <c r="F143" s="64">
        <v>0.37913086181475786</v>
      </c>
      <c r="G143" s="65">
        <v>9649398</v>
      </c>
      <c r="H143" s="64">
        <v>9.4013141007134191E-2</v>
      </c>
      <c r="I143" s="64">
        <v>6.8168397655480689E-2</v>
      </c>
      <c r="J143" s="66">
        <v>24.723145155228146</v>
      </c>
    </row>
    <row r="144" spans="1:10" ht="15" customHeight="1" x14ac:dyDescent="0.25">
      <c r="A144">
        <v>900462549</v>
      </c>
      <c r="B144" s="67" t="s">
        <v>222</v>
      </c>
      <c r="C144" s="67" t="s">
        <v>95</v>
      </c>
      <c r="D144" s="13">
        <v>1.0800928738752797</v>
      </c>
      <c r="E144" s="63">
        <v>1207647</v>
      </c>
      <c r="F144" s="64">
        <v>8.0092873875279774E-2</v>
      </c>
      <c r="G144" s="65">
        <v>16285730</v>
      </c>
      <c r="H144" s="64">
        <v>2.1564478720537617E-2</v>
      </c>
      <c r="I144" s="64">
        <v>1.9965393015848844E-2</v>
      </c>
      <c r="J144" s="66" t="s">
        <v>88</v>
      </c>
    </row>
    <row r="145" spans="1:10" ht="15" customHeight="1" x14ac:dyDescent="0.25">
      <c r="A145">
        <v>900470629</v>
      </c>
      <c r="B145" s="67" t="s">
        <v>223</v>
      </c>
      <c r="C145" s="67" t="s">
        <v>102</v>
      </c>
      <c r="D145" s="13">
        <v>1.1515978826817714</v>
      </c>
      <c r="E145" s="63">
        <v>1519961</v>
      </c>
      <c r="F145" s="64">
        <v>0.2639262432243446</v>
      </c>
      <c r="G145" s="65">
        <v>11546229</v>
      </c>
      <c r="H145" s="64">
        <v>4.2540445564076081E-2</v>
      </c>
      <c r="I145" s="64">
        <v>2.1218356226955139E-2</v>
      </c>
      <c r="J145" s="66" t="s">
        <v>88</v>
      </c>
    </row>
    <row r="146" spans="1:10" ht="15" customHeight="1" x14ac:dyDescent="0.25">
      <c r="A146">
        <v>900476463</v>
      </c>
      <c r="B146" s="67" t="s">
        <v>224</v>
      </c>
      <c r="C146" s="67" t="s">
        <v>95</v>
      </c>
      <c r="D146" s="13">
        <v>1.5215688752826348</v>
      </c>
      <c r="E146" s="63">
        <v>6214550</v>
      </c>
      <c r="F146" s="64">
        <v>0.52156887528263485</v>
      </c>
      <c r="G146" s="65">
        <v>18129659</v>
      </c>
      <c r="H146" s="64">
        <v>3.3714085200563418E-2</v>
      </c>
      <c r="I146" s="64">
        <v>2.2157449293447824E-2</v>
      </c>
      <c r="J146" s="66" t="s">
        <v>88</v>
      </c>
    </row>
    <row r="147" spans="1:10" ht="15" customHeight="1" x14ac:dyDescent="0.25">
      <c r="A147">
        <v>900476762</v>
      </c>
      <c r="B147" s="67" t="s">
        <v>225</v>
      </c>
      <c r="C147" s="67" t="s">
        <v>95</v>
      </c>
      <c r="D147" s="13">
        <v>1.3873089497838851</v>
      </c>
      <c r="E147" s="63">
        <v>3755884</v>
      </c>
      <c r="F147" s="64">
        <v>0.59451779413789885</v>
      </c>
      <c r="G147" s="65">
        <v>13453269</v>
      </c>
      <c r="H147" s="64">
        <v>6.4833566283025168E-2</v>
      </c>
      <c r="I147" s="64">
        <v>3.0445239740616203E-2</v>
      </c>
      <c r="J147" s="66">
        <v>1.350540924633256</v>
      </c>
    </row>
    <row r="148" spans="1:10" ht="15" customHeight="1" x14ac:dyDescent="0.25">
      <c r="A148">
        <v>900483711</v>
      </c>
      <c r="B148" t="s">
        <v>226</v>
      </c>
      <c r="C148" t="s">
        <v>102</v>
      </c>
      <c r="D148" s="13">
        <v>1.2560834184448328</v>
      </c>
      <c r="E148" s="63">
        <v>6400719</v>
      </c>
      <c r="F148" s="64">
        <v>0.37497616386117388</v>
      </c>
      <c r="G148" s="65">
        <v>31395383</v>
      </c>
      <c r="H148" s="64">
        <v>0.41969261384037382</v>
      </c>
      <c r="I148" s="64">
        <v>0.22818686429147877</v>
      </c>
      <c r="J148" s="66">
        <v>4.4157517025944033</v>
      </c>
    </row>
    <row r="149" spans="1:10" ht="15" customHeight="1" x14ac:dyDescent="0.25">
      <c r="A149">
        <v>900486592</v>
      </c>
      <c r="B149" s="67" t="s">
        <v>227</v>
      </c>
      <c r="C149" s="67" t="s">
        <v>95</v>
      </c>
      <c r="D149" s="13">
        <v>1.0574777126319186</v>
      </c>
      <c r="E149" s="63">
        <v>1265639</v>
      </c>
      <c r="F149" s="64">
        <v>8.791156657876939E-2</v>
      </c>
      <c r="G149" s="65">
        <v>23285287</v>
      </c>
      <c r="H149" s="64">
        <v>1.916497837807463E-2</v>
      </c>
      <c r="I149" s="64">
        <v>1.1849241969832711E-2</v>
      </c>
      <c r="J149" s="66">
        <v>0.58812758719182845</v>
      </c>
    </row>
    <row r="150" spans="1:10" ht="15" customHeight="1" x14ac:dyDescent="0.25">
      <c r="A150">
        <v>900490296</v>
      </c>
      <c r="B150" s="67" t="s">
        <v>228</v>
      </c>
      <c r="C150" s="67" t="s">
        <v>102</v>
      </c>
      <c r="D150" s="13">
        <v>1.2928898845415364</v>
      </c>
      <c r="E150" s="63">
        <v>2144294</v>
      </c>
      <c r="F150" s="64">
        <v>0.32218201509239824</v>
      </c>
      <c r="G150" s="65">
        <v>9465455</v>
      </c>
      <c r="H150" s="64">
        <v>0.1164131634176421</v>
      </c>
      <c r="I150" s="64">
        <v>8.1854702177549837E-2</v>
      </c>
      <c r="J150" s="66" t="s">
        <v>88</v>
      </c>
    </row>
    <row r="151" spans="1:10" ht="15" customHeight="1" x14ac:dyDescent="0.25">
      <c r="A151">
        <v>900492601</v>
      </c>
      <c r="B151" s="67" t="s">
        <v>229</v>
      </c>
      <c r="C151" s="67" t="s">
        <v>96</v>
      </c>
      <c r="D151" s="13">
        <v>1.3680631333023892</v>
      </c>
      <c r="E151" s="63">
        <v>4094854</v>
      </c>
      <c r="F151" s="64">
        <v>0.36851265240386361</v>
      </c>
      <c r="G151" s="65">
        <v>15220266</v>
      </c>
      <c r="H151" s="64">
        <v>0.12498684961384887</v>
      </c>
      <c r="I151" s="64">
        <v>9.1248996568128307E-2</v>
      </c>
      <c r="J151" s="66">
        <v>7.8136758484111981</v>
      </c>
    </row>
    <row r="152" spans="1:10" ht="15" customHeight="1" x14ac:dyDescent="0.25">
      <c r="A152">
        <v>900494141</v>
      </c>
      <c r="B152" t="s">
        <v>230</v>
      </c>
      <c r="C152" t="s">
        <v>102</v>
      </c>
      <c r="D152" s="13">
        <v>1.2495821769862168</v>
      </c>
      <c r="E152" s="63">
        <v>5776870</v>
      </c>
      <c r="F152" s="64">
        <v>0.26586796176164751</v>
      </c>
      <c r="G152" s="65">
        <v>28923034</v>
      </c>
      <c r="H152" s="64">
        <v>4.6782768791102422E-2</v>
      </c>
      <c r="I152" s="64">
        <v>3.5145413859417378E-2</v>
      </c>
      <c r="J152" s="66">
        <v>114.57529305680794</v>
      </c>
    </row>
    <row r="153" spans="1:10" ht="15" customHeight="1" x14ac:dyDescent="0.25">
      <c r="A153">
        <v>900506565</v>
      </c>
      <c r="B153" t="s">
        <v>231</v>
      </c>
      <c r="C153" t="s">
        <v>96</v>
      </c>
      <c r="D153" s="13">
        <v>1.2506254846812526</v>
      </c>
      <c r="E153" s="63">
        <v>72635789</v>
      </c>
      <c r="F153" s="64">
        <v>0.34377930521861744</v>
      </c>
      <c r="G153" s="65">
        <v>388638465</v>
      </c>
      <c r="H153" s="64">
        <v>0.15296234375205903</v>
      </c>
      <c r="I153" s="64">
        <v>0.11313727013614054</v>
      </c>
      <c r="J153" s="66">
        <v>14.039714936550745</v>
      </c>
    </row>
    <row r="154" spans="1:10" ht="15" customHeight="1" x14ac:dyDescent="0.25">
      <c r="A154">
        <v>900515890</v>
      </c>
      <c r="B154" s="67" t="s">
        <v>232</v>
      </c>
      <c r="C154" s="67" t="s">
        <v>96</v>
      </c>
      <c r="D154" s="13">
        <v>1.571275038137627</v>
      </c>
      <c r="E154" s="63">
        <v>4990729</v>
      </c>
      <c r="F154" s="64">
        <v>0.64211028633935574</v>
      </c>
      <c r="G154" s="65">
        <v>13726852</v>
      </c>
      <c r="H154" s="64">
        <v>0.20049506033282444</v>
      </c>
      <c r="I154" s="64">
        <v>0.11352384363144587</v>
      </c>
      <c r="J154" s="66">
        <v>2.4072446350340155</v>
      </c>
    </row>
    <row r="155" spans="1:10" ht="15" customHeight="1" x14ac:dyDescent="0.25">
      <c r="A155">
        <v>900521768</v>
      </c>
      <c r="B155" s="67" t="s">
        <v>233</v>
      </c>
      <c r="C155" s="67" t="s">
        <v>102</v>
      </c>
      <c r="D155" s="13">
        <v>1.0850732500546256</v>
      </c>
      <c r="E155" s="63">
        <v>1674972</v>
      </c>
      <c r="F155" s="64">
        <v>8.5073250054625557E-2</v>
      </c>
      <c r="G155" s="65">
        <v>21363558</v>
      </c>
      <c r="H155" s="64">
        <v>4.2797943945796821E-2</v>
      </c>
      <c r="I155" s="64">
        <v>3.944244680591126E-2</v>
      </c>
      <c r="J155" s="66">
        <v>4.8256783533966345</v>
      </c>
    </row>
    <row r="156" spans="1:10" ht="15" customHeight="1" x14ac:dyDescent="0.25">
      <c r="A156">
        <v>900525273</v>
      </c>
      <c r="B156" s="67" t="s">
        <v>92</v>
      </c>
      <c r="C156" s="67" t="s">
        <v>95</v>
      </c>
      <c r="D156" s="13">
        <v>1.0479881630504535</v>
      </c>
      <c r="E156" s="63">
        <v>6531964</v>
      </c>
      <c r="F156" s="64">
        <v>5.3144473388128471E-2</v>
      </c>
      <c r="G156" s="65">
        <v>142648114</v>
      </c>
      <c r="H156" s="64">
        <v>1.3352777114666009E-2</v>
      </c>
      <c r="I156" s="64">
        <v>1.1505122317985922E-2</v>
      </c>
      <c r="J156" s="66" t="s">
        <v>88</v>
      </c>
    </row>
    <row r="157" spans="1:10" ht="15" customHeight="1" x14ac:dyDescent="0.25">
      <c r="A157">
        <v>900526959</v>
      </c>
      <c r="B157" t="s">
        <v>234</v>
      </c>
      <c r="C157" t="s">
        <v>96</v>
      </c>
      <c r="D157" s="13">
        <v>1.3496214432695441</v>
      </c>
      <c r="E157" s="63">
        <v>47586045</v>
      </c>
      <c r="F157" s="64">
        <v>0.4048800769760611</v>
      </c>
      <c r="G157" s="65">
        <v>190870042</v>
      </c>
      <c r="H157" s="64">
        <v>2.9132619898256201E-2</v>
      </c>
      <c r="I157" s="64">
        <v>2.0644303101269291E-2</v>
      </c>
      <c r="J157" s="66" t="s">
        <v>88</v>
      </c>
    </row>
    <row r="158" spans="1:10" ht="15" customHeight="1" x14ac:dyDescent="0.25">
      <c r="A158">
        <v>900531289</v>
      </c>
      <c r="B158" s="67" t="s">
        <v>235</v>
      </c>
      <c r="C158" s="67" t="s">
        <v>102</v>
      </c>
      <c r="D158" s="13">
        <v>1.3766305537942345</v>
      </c>
      <c r="E158" s="63">
        <v>7839397</v>
      </c>
      <c r="F158" s="64">
        <v>0.37718212311748067</v>
      </c>
      <c r="G158" s="65">
        <v>28653951</v>
      </c>
      <c r="H158" s="64">
        <v>0.43173561002065231</v>
      </c>
      <c r="I158" s="64">
        <v>0.31315901252151929</v>
      </c>
      <c r="J158" s="66">
        <v>2.0812075733215574</v>
      </c>
    </row>
    <row r="159" spans="1:10" ht="15" customHeight="1" x14ac:dyDescent="0.25">
      <c r="A159">
        <v>900538432</v>
      </c>
      <c r="B159" s="67" t="s">
        <v>236</v>
      </c>
      <c r="C159" s="67" t="s">
        <v>95</v>
      </c>
      <c r="D159" s="13">
        <v>1.3376972306769161</v>
      </c>
      <c r="E159" s="63">
        <v>2462756</v>
      </c>
      <c r="F159" s="64">
        <v>0.42901479524751535</v>
      </c>
      <c r="G159" s="65">
        <v>9755549</v>
      </c>
      <c r="H159" s="64">
        <v>0.22940855940570948</v>
      </c>
      <c r="I159" s="64">
        <v>0.13499168524498212</v>
      </c>
      <c r="J159" s="66">
        <v>18.296372452311154</v>
      </c>
    </row>
    <row r="160" spans="1:10" ht="15" customHeight="1" x14ac:dyDescent="0.25">
      <c r="A160">
        <v>900542922</v>
      </c>
      <c r="B160" s="67" t="s">
        <v>237</v>
      </c>
      <c r="C160" s="67" t="s">
        <v>102</v>
      </c>
      <c r="D160" s="13">
        <v>1.6695099398284754</v>
      </c>
      <c r="E160" s="63">
        <v>6650423</v>
      </c>
      <c r="F160" s="64">
        <v>0.6695099398284754</v>
      </c>
      <c r="G160" s="65">
        <v>16583693</v>
      </c>
      <c r="H160" s="64">
        <v>5.5883007307764715E-2</v>
      </c>
      <c r="I160" s="64">
        <v>3.3472701164933526E-2</v>
      </c>
      <c r="J160" s="66">
        <v>64.062435083669939</v>
      </c>
    </row>
    <row r="161" spans="1:10" ht="15" customHeight="1" x14ac:dyDescent="0.25">
      <c r="A161">
        <v>900562737</v>
      </c>
      <c r="B161" s="67" t="s">
        <v>238</v>
      </c>
      <c r="C161" s="67" t="s">
        <v>110</v>
      </c>
      <c r="D161" s="13">
        <v>1.4988429323892583</v>
      </c>
      <c r="E161" s="63">
        <v>1039878</v>
      </c>
      <c r="F161" s="64">
        <v>0.66511625229539995</v>
      </c>
      <c r="G161" s="65">
        <v>3124458</v>
      </c>
      <c r="H161" s="64">
        <v>0.50697398642619895</v>
      </c>
      <c r="I161" s="64">
        <v>0.25368559923033052</v>
      </c>
      <c r="J161" s="66">
        <v>5.1919562440637996</v>
      </c>
    </row>
    <row r="162" spans="1:10" ht="15" customHeight="1" x14ac:dyDescent="0.25">
      <c r="A162">
        <v>900564455</v>
      </c>
      <c r="B162" t="s">
        <v>239</v>
      </c>
      <c r="C162" t="s">
        <v>96</v>
      </c>
      <c r="D162" s="13">
        <v>1.2582957621190924</v>
      </c>
      <c r="E162" s="63">
        <v>1902495</v>
      </c>
      <c r="F162" s="64">
        <v>0.2582957621190925</v>
      </c>
      <c r="G162" s="65">
        <v>9268063</v>
      </c>
      <c r="H162" s="64">
        <v>0.16391322434332287</v>
      </c>
      <c r="I162" s="64">
        <v>0.13026605451430359</v>
      </c>
      <c r="J162" s="66">
        <v>16.995087205619448</v>
      </c>
    </row>
    <row r="163" spans="1:10" ht="15" customHeight="1" x14ac:dyDescent="0.25">
      <c r="A163">
        <v>900569143</v>
      </c>
      <c r="B163" t="s">
        <v>240</v>
      </c>
      <c r="C163" t="s">
        <v>110</v>
      </c>
      <c r="D163" s="13">
        <v>1.0142975002974419</v>
      </c>
      <c r="E163" s="63">
        <v>1382802</v>
      </c>
      <c r="F163" s="64">
        <v>0.40159991439498605</v>
      </c>
      <c r="G163" s="65">
        <v>133653869</v>
      </c>
      <c r="H163" s="64">
        <v>0.21729090377904453</v>
      </c>
      <c r="I163" s="64">
        <v>0.14953200494330621</v>
      </c>
      <c r="J163" s="66">
        <v>16.326647632351801</v>
      </c>
    </row>
    <row r="164" spans="1:10" ht="15" customHeight="1" x14ac:dyDescent="0.25">
      <c r="A164">
        <v>900573327</v>
      </c>
      <c r="B164" s="67" t="s">
        <v>241</v>
      </c>
      <c r="C164" s="67" t="s">
        <v>95</v>
      </c>
      <c r="D164" s="13">
        <v>1.2251056959689475</v>
      </c>
      <c r="E164" s="63">
        <v>1421766</v>
      </c>
      <c r="F164" s="64">
        <v>0.32701205313647436</v>
      </c>
      <c r="G164" s="65">
        <v>7737759</v>
      </c>
      <c r="H164" s="64">
        <v>3.4488199408061367E-2</v>
      </c>
      <c r="I164" s="64">
        <v>1.9378478962707418E-2</v>
      </c>
      <c r="J164" s="66" t="s">
        <v>88</v>
      </c>
    </row>
    <row r="165" spans="1:10" ht="15" customHeight="1" x14ac:dyDescent="0.25">
      <c r="A165">
        <v>900591676</v>
      </c>
      <c r="B165" t="s">
        <v>242</v>
      </c>
      <c r="C165" t="s">
        <v>110</v>
      </c>
      <c r="D165" s="13">
        <v>1.5049150092785397</v>
      </c>
      <c r="E165" s="63">
        <v>9194110</v>
      </c>
      <c r="F165" s="64">
        <v>0.50491500927853983</v>
      </c>
      <c r="G165" s="65">
        <v>27403333</v>
      </c>
      <c r="H165" s="64">
        <v>0.16877002385000173</v>
      </c>
      <c r="I165" s="64">
        <v>0.11214588386018591</v>
      </c>
      <c r="J165" s="66" t="s">
        <v>88</v>
      </c>
    </row>
    <row r="166" spans="1:10" ht="15" customHeight="1" x14ac:dyDescent="0.25">
      <c r="A166">
        <v>900603554</v>
      </c>
      <c r="B166" s="67" t="s">
        <v>243</v>
      </c>
      <c r="C166" s="67" t="s">
        <v>98</v>
      </c>
      <c r="D166" s="13">
        <v>1.0222685571775745</v>
      </c>
      <c r="E166" s="63">
        <v>1632949</v>
      </c>
      <c r="F166" s="64">
        <v>7.31813617159804E-2</v>
      </c>
      <c r="G166" s="65">
        <v>74962756</v>
      </c>
      <c r="H166" s="64">
        <v>0.12178977891995457</v>
      </c>
      <c r="I166" s="64">
        <v>3.6252455819527234E-2</v>
      </c>
      <c r="J166" s="66" t="s">
        <v>88</v>
      </c>
    </row>
    <row r="167" spans="1:10" ht="15" customHeight="1" x14ac:dyDescent="0.25">
      <c r="A167">
        <v>900612118</v>
      </c>
      <c r="B167" t="s">
        <v>244</v>
      </c>
      <c r="C167" t="s">
        <v>110</v>
      </c>
      <c r="D167" s="13">
        <v>1.3173296856880143</v>
      </c>
      <c r="E167" s="63">
        <v>5686739</v>
      </c>
      <c r="F167" s="64">
        <v>0.34230702740901225</v>
      </c>
      <c r="G167" s="65">
        <v>24054950</v>
      </c>
      <c r="H167" s="64">
        <v>1.9052596558977203E-2</v>
      </c>
      <c r="I167" s="64">
        <v>1.4193918507417393E-2</v>
      </c>
      <c r="J167" s="66">
        <v>13.217993883318494</v>
      </c>
    </row>
    <row r="168" spans="1:10" ht="15" customHeight="1" x14ac:dyDescent="0.25">
      <c r="A168">
        <v>900631805</v>
      </c>
      <c r="B168" s="67" t="s">
        <v>245</v>
      </c>
      <c r="C168" s="67" t="s">
        <v>95</v>
      </c>
      <c r="D168" s="13">
        <v>1.4512441964063179</v>
      </c>
      <c r="E168" s="63">
        <v>2570888</v>
      </c>
      <c r="F168" s="64">
        <v>0.5765596213513523</v>
      </c>
      <c r="G168" s="65">
        <v>8268220</v>
      </c>
      <c r="H168" s="64">
        <v>5.6474131618754364E-2</v>
      </c>
      <c r="I168" s="64">
        <v>3.0456252978271019E-2</v>
      </c>
      <c r="J168" s="66">
        <v>4.2585909490631133</v>
      </c>
    </row>
    <row r="169" spans="1:10" ht="15" customHeight="1" x14ac:dyDescent="0.25">
      <c r="A169">
        <v>900638422</v>
      </c>
      <c r="B169" s="67" t="s">
        <v>246</v>
      </c>
      <c r="C169" s="67" t="s">
        <v>110</v>
      </c>
      <c r="D169" s="13">
        <v>1.1987421692738616</v>
      </c>
      <c r="E169" s="63">
        <v>3396926</v>
      </c>
      <c r="F169" s="64">
        <v>0.19874216927386151</v>
      </c>
      <c r="G169" s="65">
        <v>20489051</v>
      </c>
      <c r="H169" s="64">
        <v>3.6545075583053602E-2</v>
      </c>
      <c r="I169" s="64">
        <v>3.0486185036095619E-2</v>
      </c>
      <c r="J169" s="66">
        <v>6.9383622509052945</v>
      </c>
    </row>
    <row r="170" spans="1:10" ht="15" customHeight="1" x14ac:dyDescent="0.25">
      <c r="A170">
        <v>900646157</v>
      </c>
      <c r="B170" s="67" t="s">
        <v>247</v>
      </c>
      <c r="C170" s="67" t="s">
        <v>102</v>
      </c>
      <c r="D170" s="13">
        <v>1.6837916012619791</v>
      </c>
      <c r="E170" s="63">
        <v>1453650</v>
      </c>
      <c r="F170" s="64">
        <v>0.68379160126197924</v>
      </c>
      <c r="G170" s="65">
        <v>3579517</v>
      </c>
      <c r="H170" s="64">
        <v>0.16039197184019507</v>
      </c>
      <c r="I170" s="64">
        <v>9.5256427054264584E-2</v>
      </c>
      <c r="J170" s="66">
        <v>104.75330261136713</v>
      </c>
    </row>
    <row r="171" spans="1:10" ht="15" customHeight="1" x14ac:dyDescent="0.25">
      <c r="A171">
        <v>900655891</v>
      </c>
      <c r="B171" t="s">
        <v>248</v>
      </c>
      <c r="C171" t="s">
        <v>95</v>
      </c>
      <c r="D171" s="13">
        <v>1.361004524674466</v>
      </c>
      <c r="E171" s="63">
        <v>184089730</v>
      </c>
      <c r="F171" s="64">
        <v>0.55511349049463932</v>
      </c>
      <c r="G171" s="65">
        <v>694027189</v>
      </c>
      <c r="H171" s="64">
        <v>2.8545235591940225E-2</v>
      </c>
      <c r="I171" s="64">
        <v>1.363970338631791E-2</v>
      </c>
      <c r="J171" s="66" t="s">
        <v>88</v>
      </c>
    </row>
    <row r="172" spans="1:10" ht="15" customHeight="1" x14ac:dyDescent="0.25">
      <c r="A172">
        <v>900657670</v>
      </c>
      <c r="B172" s="67" t="s">
        <v>249</v>
      </c>
      <c r="C172" s="67" t="s">
        <v>110</v>
      </c>
      <c r="D172" s="13">
        <v>1.3701017976900753</v>
      </c>
      <c r="E172" s="63">
        <v>2280286</v>
      </c>
      <c r="F172" s="64">
        <v>0.3701017976900754</v>
      </c>
      <c r="G172" s="65">
        <v>8441526</v>
      </c>
      <c r="H172" s="64">
        <v>9.8202472229616117E-2</v>
      </c>
      <c r="I172" s="64">
        <v>7.1675310838348424E-2</v>
      </c>
      <c r="J172" s="66">
        <v>8.2564476952048249</v>
      </c>
    </row>
    <row r="173" spans="1:10" ht="15" customHeight="1" x14ac:dyDescent="0.25">
      <c r="A173">
        <v>900707445</v>
      </c>
      <c r="B173" s="67" t="s">
        <v>250</v>
      </c>
      <c r="C173" s="67" t="s">
        <v>102</v>
      </c>
      <c r="D173" s="13">
        <v>1.4415301347520209</v>
      </c>
      <c r="E173" s="63">
        <v>1554130</v>
      </c>
      <c r="F173" s="64">
        <v>0.44153013475202091</v>
      </c>
      <c r="G173" s="65">
        <v>5074003</v>
      </c>
      <c r="H173" s="64">
        <v>3.9847460405531679E-2</v>
      </c>
      <c r="I173" s="64">
        <v>2.7642474787657793E-2</v>
      </c>
      <c r="J173" s="66">
        <v>3.6992746933931162</v>
      </c>
    </row>
    <row r="174" spans="1:10" ht="15" customHeight="1" x14ac:dyDescent="0.25">
      <c r="A174">
        <v>900717142</v>
      </c>
      <c r="B174" s="67" t="s">
        <v>251</v>
      </c>
      <c r="C174" s="67" t="s">
        <v>95</v>
      </c>
      <c r="D174" s="13">
        <v>1.621161573411305</v>
      </c>
      <c r="E174" s="63">
        <v>6603073</v>
      </c>
      <c r="F174" s="64">
        <v>0.62116157341130485</v>
      </c>
      <c r="G174" s="65">
        <v>17233275</v>
      </c>
      <c r="H174" s="64">
        <v>0.20737065956037337</v>
      </c>
      <c r="I174" s="64">
        <v>0.12791486238106223</v>
      </c>
      <c r="J174" s="66">
        <v>3.3216483536353829</v>
      </c>
    </row>
    <row r="175" spans="1:10" ht="15" customHeight="1" x14ac:dyDescent="0.25">
      <c r="A175">
        <v>900725556</v>
      </c>
      <c r="B175" t="s">
        <v>252</v>
      </c>
      <c r="C175" t="s">
        <v>96</v>
      </c>
      <c r="D175" s="13">
        <v>1.4389892293304922</v>
      </c>
      <c r="E175" s="63">
        <v>14138365</v>
      </c>
      <c r="F175" s="64">
        <v>0.4452545788659566</v>
      </c>
      <c r="G175" s="65">
        <v>46344998</v>
      </c>
      <c r="H175" s="64">
        <v>5.8748089695223896E-2</v>
      </c>
      <c r="I175" s="64">
        <v>4.0251463599156913E-2</v>
      </c>
      <c r="J175" s="66">
        <v>20.386361401016337</v>
      </c>
    </row>
    <row r="176" spans="1:10" ht="15" customHeight="1" x14ac:dyDescent="0.25">
      <c r="A176">
        <v>900729739</v>
      </c>
      <c r="B176" s="67" t="s">
        <v>253</v>
      </c>
      <c r="C176" s="67" t="s">
        <v>102</v>
      </c>
      <c r="D176" s="13">
        <v>1.1174959317414648</v>
      </c>
      <c r="E176" s="63">
        <v>4648780</v>
      </c>
      <c r="F176" s="64">
        <v>0.18119595849578177</v>
      </c>
      <c r="G176" s="65">
        <v>44214235</v>
      </c>
      <c r="H176" s="64">
        <v>4.4972049717160734E-2</v>
      </c>
      <c r="I176" s="64">
        <v>2.6095826378088414E-2</v>
      </c>
      <c r="J176" s="66">
        <v>8.7004916524650486</v>
      </c>
    </row>
    <row r="177" spans="1:10" ht="15" customHeight="1" x14ac:dyDescent="0.25">
      <c r="A177">
        <v>900753174</v>
      </c>
      <c r="B177" s="67" t="s">
        <v>254</v>
      </c>
      <c r="C177" s="67" t="s">
        <v>102</v>
      </c>
      <c r="D177" s="13">
        <v>1.3619065114440871</v>
      </c>
      <c r="E177" s="63">
        <v>2277410</v>
      </c>
      <c r="F177" s="64">
        <v>0.36195988960383096</v>
      </c>
      <c r="G177" s="65">
        <v>8570223</v>
      </c>
      <c r="H177" s="64">
        <v>0.11462018139238082</v>
      </c>
      <c r="I177" s="64">
        <v>8.4149152244929915E-2</v>
      </c>
      <c r="J177" s="66">
        <v>4.6122857508314148</v>
      </c>
    </row>
    <row r="178" spans="1:10" ht="15" customHeight="1" x14ac:dyDescent="0.25">
      <c r="A178">
        <v>900760823</v>
      </c>
      <c r="B178" s="67" t="s">
        <v>255</v>
      </c>
      <c r="C178" s="67" t="s">
        <v>98</v>
      </c>
      <c r="D178" s="13">
        <v>1.4314514586248022</v>
      </c>
      <c r="E178" s="63">
        <v>8468666</v>
      </c>
      <c r="F178" s="64">
        <v>0.5860176581716704</v>
      </c>
      <c r="G178" s="65">
        <v>28096983</v>
      </c>
      <c r="H178" s="64">
        <v>0.19365260203416834</v>
      </c>
      <c r="I178" s="64">
        <v>9.9601975059030359E-2</v>
      </c>
      <c r="J178" s="66">
        <v>2.9177183846029537</v>
      </c>
    </row>
    <row r="179" spans="1:10" ht="15" customHeight="1" x14ac:dyDescent="0.25">
      <c r="A179">
        <v>900771900</v>
      </c>
      <c r="B179" s="67" t="s">
        <v>256</v>
      </c>
      <c r="C179" s="67" t="s">
        <v>110</v>
      </c>
      <c r="D179" s="13">
        <v>1.2577939048265363</v>
      </c>
      <c r="E179" s="63">
        <v>6737437</v>
      </c>
      <c r="F179" s="64">
        <v>0.5972701286347939</v>
      </c>
      <c r="G179" s="65">
        <v>32872411</v>
      </c>
      <c r="H179" s="64">
        <v>0.13669480252668681</v>
      </c>
      <c r="I179" s="64">
        <v>4.6907724535325386E-2</v>
      </c>
      <c r="J179" s="66" t="s">
        <v>88</v>
      </c>
    </row>
    <row r="180" spans="1:10" ht="15" customHeight="1" x14ac:dyDescent="0.25">
      <c r="A180">
        <v>900809337</v>
      </c>
      <c r="B180" s="67" t="s">
        <v>257</v>
      </c>
      <c r="C180" s="67" t="s">
        <v>95</v>
      </c>
      <c r="D180" s="13">
        <v>1.3376851980002056</v>
      </c>
      <c r="E180" s="63">
        <v>2581396</v>
      </c>
      <c r="F180" s="64">
        <v>0.33768519800020563</v>
      </c>
      <c r="G180" s="65">
        <v>10225782</v>
      </c>
      <c r="H180" s="64">
        <v>8.7935381598993043E-2</v>
      </c>
      <c r="I180" s="64">
        <v>6.5736977377378089E-2</v>
      </c>
      <c r="J180" s="66" t="s">
        <v>88</v>
      </c>
    </row>
    <row r="181" spans="1:10" ht="15" customHeight="1" x14ac:dyDescent="0.25">
      <c r="A181">
        <v>900822643</v>
      </c>
      <c r="B181" s="67" t="s">
        <v>258</v>
      </c>
      <c r="C181" s="67" t="s">
        <v>110</v>
      </c>
      <c r="D181" s="13">
        <v>1.355951248056054</v>
      </c>
      <c r="E181" s="63">
        <v>5637196</v>
      </c>
      <c r="F181" s="64">
        <v>0.49863797046099545</v>
      </c>
      <c r="G181" s="65">
        <v>21474185</v>
      </c>
      <c r="H181" s="64">
        <v>0.21528195727483701</v>
      </c>
      <c r="I181" s="64">
        <v>0.11333622207315434</v>
      </c>
      <c r="J181" s="66">
        <v>1.2023536223464195</v>
      </c>
    </row>
    <row r="182" spans="1:10" ht="15" customHeight="1" x14ac:dyDescent="0.25">
      <c r="A182">
        <v>900839186</v>
      </c>
      <c r="B182" t="s">
        <v>259</v>
      </c>
      <c r="C182" t="s">
        <v>95</v>
      </c>
      <c r="D182" s="13">
        <v>1.5803129066333623</v>
      </c>
      <c r="E182" s="63">
        <v>4170746</v>
      </c>
      <c r="F182" s="64">
        <v>0.74491401354143616</v>
      </c>
      <c r="G182" s="65">
        <v>11357810</v>
      </c>
      <c r="H182" s="64">
        <v>4.361468364766833E-2</v>
      </c>
      <c r="I182" s="64">
        <v>2.1500359664407134E-2</v>
      </c>
      <c r="J182" s="66">
        <v>1.203314329077497</v>
      </c>
    </row>
    <row r="183" spans="1:10" ht="15" customHeight="1" x14ac:dyDescent="0.25">
      <c r="A183">
        <v>900858655</v>
      </c>
      <c r="B183" s="67" t="s">
        <v>260</v>
      </c>
      <c r="C183" s="67" t="s">
        <v>95</v>
      </c>
      <c r="D183" s="13">
        <v>1.0757595013102117</v>
      </c>
      <c r="E183" s="63">
        <v>1352609</v>
      </c>
      <c r="F183" s="64">
        <v>7.5759501310211697E-2</v>
      </c>
      <c r="G183" s="65">
        <v>19206594</v>
      </c>
      <c r="H183" s="64">
        <v>2.4528697654893291E-2</v>
      </c>
      <c r="I183" s="64">
        <v>2.2801283767439454E-2</v>
      </c>
      <c r="J183" s="66">
        <v>1.5095949341780965</v>
      </c>
    </row>
    <row r="184" spans="1:10" ht="15" customHeight="1" x14ac:dyDescent="0.25">
      <c r="A184">
        <v>900882580</v>
      </c>
      <c r="B184" s="67" t="s">
        <v>261</v>
      </c>
      <c r="C184" s="67" t="s">
        <v>98</v>
      </c>
      <c r="D184" s="13">
        <v>1.4175137539353384</v>
      </c>
      <c r="E184" s="63">
        <v>1664872</v>
      </c>
      <c r="F184" s="64">
        <v>0.4778819790485026</v>
      </c>
      <c r="G184" s="65">
        <v>5652458</v>
      </c>
      <c r="H184" s="64">
        <v>3.803113561524931E-2</v>
      </c>
      <c r="I184" s="64">
        <v>2.344024493415077E-2</v>
      </c>
      <c r="J184" s="66" t="s">
        <v>88</v>
      </c>
    </row>
    <row r="185" spans="1:10" ht="15" customHeight="1" x14ac:dyDescent="0.25">
      <c r="A185">
        <v>900967937</v>
      </c>
      <c r="B185" t="s">
        <v>262</v>
      </c>
      <c r="C185" t="s">
        <v>102</v>
      </c>
      <c r="D185" s="13">
        <v>1.5744879791956263</v>
      </c>
      <c r="E185" s="63">
        <v>6631953</v>
      </c>
      <c r="F185" s="64">
        <v>0.59309819149580889</v>
      </c>
      <c r="G185" s="65">
        <v>18375104</v>
      </c>
      <c r="H185" s="64">
        <v>0.2772532414659673</v>
      </c>
      <c r="I185" s="64">
        <v>0.17378171029671452</v>
      </c>
      <c r="J185" s="66">
        <v>12.128840996968984</v>
      </c>
    </row>
    <row r="186" spans="1:10" ht="15" customHeight="1" x14ac:dyDescent="0.25">
      <c r="A186">
        <v>900975025</v>
      </c>
      <c r="B186" s="67" t="s">
        <v>263</v>
      </c>
      <c r="C186" s="67" t="s">
        <v>96</v>
      </c>
      <c r="D186" s="13">
        <v>1.2431075646039897</v>
      </c>
      <c r="E186" s="63">
        <v>1930629</v>
      </c>
      <c r="F186" s="64">
        <v>0.48289688758046179</v>
      </c>
      <c r="G186" s="65">
        <v>9872089</v>
      </c>
      <c r="H186" s="64">
        <v>6.2976752213285844E-2</v>
      </c>
      <c r="I186" s="64">
        <v>2.5504429710874771E-2</v>
      </c>
      <c r="J186" s="66">
        <v>1.6348206633249358</v>
      </c>
    </row>
    <row r="187" spans="1:10" ht="15" customHeight="1" x14ac:dyDescent="0.25">
      <c r="A187">
        <v>901053131</v>
      </c>
      <c r="B187" s="67" t="s">
        <v>264</v>
      </c>
      <c r="C187" s="67" t="s">
        <v>102</v>
      </c>
      <c r="D187" s="13">
        <v>1.5679699323926088</v>
      </c>
      <c r="E187" s="63">
        <v>1498487</v>
      </c>
      <c r="F187" s="64">
        <v>0.56796993239260873</v>
      </c>
      <c r="G187" s="65">
        <v>4136808</v>
      </c>
      <c r="H187" s="64">
        <v>0.58977963636721986</v>
      </c>
      <c r="I187" s="64">
        <v>0.37614218498900603</v>
      </c>
      <c r="J187" s="66">
        <v>39.486081153094631</v>
      </c>
    </row>
    <row r="188" spans="1:10" ht="15" customHeight="1" x14ac:dyDescent="0.25">
      <c r="A188">
        <v>901132219</v>
      </c>
      <c r="B188" s="67" t="s">
        <v>91</v>
      </c>
      <c r="C188" s="67" t="s">
        <v>95</v>
      </c>
      <c r="D188" s="13">
        <v>1.3551813103957044</v>
      </c>
      <c r="E188" s="63">
        <v>8869983</v>
      </c>
      <c r="F188" s="64">
        <v>0.3697661676814829</v>
      </c>
      <c r="G188" s="65">
        <v>33843096</v>
      </c>
      <c r="H188" s="64">
        <v>6.1616501557627337E-2</v>
      </c>
      <c r="I188" s="64">
        <v>4.3673959380075629E-2</v>
      </c>
      <c r="J188" s="66" t="s">
        <v>88</v>
      </c>
    </row>
    <row r="189" spans="1:10" ht="15" customHeight="1" x14ac:dyDescent="0.25">
      <c r="A189">
        <v>901148531</v>
      </c>
      <c r="B189" t="s">
        <v>265</v>
      </c>
      <c r="C189" t="s">
        <v>110</v>
      </c>
      <c r="D189" s="13">
        <v>1.418773329971643</v>
      </c>
      <c r="E189" s="63">
        <v>2856857</v>
      </c>
      <c r="F189" s="64">
        <v>0.45860692738205011</v>
      </c>
      <c r="G189" s="65">
        <v>9678822</v>
      </c>
      <c r="H189" s="64">
        <v>2.3691917583391339E-2</v>
      </c>
      <c r="I189" s="64">
        <v>1.524844655682272E-2</v>
      </c>
      <c r="J189" s="66">
        <v>1.707609714331995</v>
      </c>
    </row>
    <row r="190" spans="1:10" ht="15" customHeight="1" x14ac:dyDescent="0.25">
      <c r="A190">
        <v>901244662</v>
      </c>
      <c r="B190" s="67" t="s">
        <v>266</v>
      </c>
      <c r="C190" s="67" t="s">
        <v>95</v>
      </c>
      <c r="D190" s="13">
        <v>1.0830438985013118</v>
      </c>
      <c r="E190" s="63">
        <v>4628552</v>
      </c>
      <c r="F190" s="64">
        <v>0.10327919877216837</v>
      </c>
      <c r="G190" s="65">
        <v>60364760</v>
      </c>
      <c r="H190" s="64">
        <v>9.2088576476076572E-2</v>
      </c>
      <c r="I190" s="64">
        <v>6.8368266518412393E-2</v>
      </c>
      <c r="J190" s="66">
        <v>95977.534883720931</v>
      </c>
    </row>
    <row r="191" spans="1:10" ht="15" customHeight="1" x14ac:dyDescent="0.25">
      <c r="A191">
        <v>901279292</v>
      </c>
      <c r="B191" s="67" t="s">
        <v>267</v>
      </c>
      <c r="C191" s="67" t="s">
        <v>110</v>
      </c>
      <c r="D191" s="13">
        <v>1.1821424833533292</v>
      </c>
      <c r="E191" s="63">
        <v>1916079</v>
      </c>
      <c r="F191" s="64">
        <v>0.49012236950582305</v>
      </c>
      <c r="G191" s="65">
        <v>12435750</v>
      </c>
      <c r="H191" s="64">
        <v>0.14520888046699881</v>
      </c>
      <c r="I191" s="64">
        <v>4.5648875218623729E-2</v>
      </c>
      <c r="J191" s="66" t="s">
        <v>88</v>
      </c>
    </row>
    <row r="192" spans="1:10" ht="15" customHeight="1" x14ac:dyDescent="0.25">
      <c r="A192">
        <v>901340287</v>
      </c>
      <c r="B192" s="67" t="s">
        <v>268</v>
      </c>
      <c r="C192" s="67" t="s">
        <v>102</v>
      </c>
      <c r="D192" s="13">
        <v>1.107686672516663</v>
      </c>
      <c r="E192" s="63">
        <v>10389224</v>
      </c>
      <c r="F192" s="64">
        <v>0.10768667251666299</v>
      </c>
      <c r="G192" s="65">
        <v>106865638</v>
      </c>
      <c r="H192" s="64">
        <v>0.12123772552325587</v>
      </c>
      <c r="I192" s="64">
        <v>0.109451281243462</v>
      </c>
      <c r="J192" s="66">
        <v>33.533006697094102</v>
      </c>
    </row>
    <row r="193" spans="1:12" ht="15" customHeight="1" x14ac:dyDescent="0.25">
      <c r="A193">
        <v>800186228</v>
      </c>
      <c r="B193" t="s">
        <v>269</v>
      </c>
      <c r="C193" t="s">
        <v>96</v>
      </c>
      <c r="D193" s="13">
        <v>1.5444612184272166</v>
      </c>
      <c r="E193" s="63">
        <v>152193307</v>
      </c>
      <c r="F193" s="64">
        <v>0.72713525479168206</v>
      </c>
      <c r="G193" s="65">
        <v>431723422</v>
      </c>
      <c r="H193" s="64">
        <v>4.6588343238852824E-2</v>
      </c>
      <c r="I193" s="64">
        <v>2.2586659660082099E-2</v>
      </c>
      <c r="J193" s="66">
        <v>4.3769096146051547</v>
      </c>
    </row>
    <row r="194" spans="1:12" ht="15" customHeight="1" x14ac:dyDescent="0.25">
      <c r="A194">
        <v>830132938</v>
      </c>
      <c r="B194" t="s">
        <v>270</v>
      </c>
      <c r="C194" t="s">
        <v>96</v>
      </c>
      <c r="D194" s="13">
        <v>1.6177030230146487</v>
      </c>
      <c r="E194" s="63">
        <v>39694634</v>
      </c>
      <c r="F194" s="64">
        <v>0.62094330377921514</v>
      </c>
      <c r="G194" s="65">
        <v>103956314</v>
      </c>
      <c r="H194" s="64">
        <v>3.41162020501658E-2</v>
      </c>
      <c r="I194" s="64">
        <v>2.0979235566201394E-2</v>
      </c>
      <c r="J194" s="66">
        <v>177.88939641109297</v>
      </c>
    </row>
    <row r="195" spans="1:12" ht="15" customHeight="1" x14ac:dyDescent="0.25">
      <c r="A195">
        <v>860000656</v>
      </c>
      <c r="B195" t="s">
        <v>271</v>
      </c>
      <c r="C195" t="s">
        <v>102</v>
      </c>
      <c r="D195" s="13">
        <v>1.669085752727782</v>
      </c>
      <c r="E195" s="63">
        <v>101791640</v>
      </c>
      <c r="F195" s="64">
        <v>0.69791159473637643</v>
      </c>
      <c r="G195" s="65">
        <v>253927057</v>
      </c>
      <c r="H195" s="64">
        <v>0.25016193838665018</v>
      </c>
      <c r="I195" s="64">
        <v>0.14368914219330317</v>
      </c>
      <c r="J195" s="66">
        <v>2.1001490216032401</v>
      </c>
    </row>
    <row r="196" spans="1:12" ht="15" customHeight="1" x14ac:dyDescent="0.25">
      <c r="A196">
        <v>860527800</v>
      </c>
      <c r="B196" t="s">
        <v>272</v>
      </c>
      <c r="C196" t="s">
        <v>102</v>
      </c>
      <c r="D196" s="13">
        <v>1.5354023392937282</v>
      </c>
      <c r="E196" s="63">
        <v>63276473</v>
      </c>
      <c r="F196" s="64">
        <v>0.62170547246659025</v>
      </c>
      <c r="G196" s="65">
        <v>181461375</v>
      </c>
      <c r="H196" s="64">
        <v>7.5438152391138047E-2</v>
      </c>
      <c r="I196" s="64">
        <v>4.2312084320974643E-2</v>
      </c>
      <c r="J196" s="66">
        <v>28.975477672152554</v>
      </c>
    </row>
    <row r="197" spans="1:12" ht="15" customHeight="1" x14ac:dyDescent="0.25">
      <c r="A197">
        <v>890904041</v>
      </c>
      <c r="B197" t="s">
        <v>273</v>
      </c>
      <c r="C197" t="s">
        <v>95</v>
      </c>
      <c r="D197" s="13">
        <v>1.0460732802417778</v>
      </c>
      <c r="E197" s="63">
        <v>26526000</v>
      </c>
      <c r="F197" s="64">
        <v>0.10994185010340983</v>
      </c>
      <c r="G197" s="65">
        <v>602261000</v>
      </c>
      <c r="H197" s="64">
        <v>3.9067777994222314E-2</v>
      </c>
      <c r="I197" s="64">
        <v>1.5651021733102427E-2</v>
      </c>
      <c r="J197" s="66">
        <v>2.3785011355034067</v>
      </c>
    </row>
    <row r="198" spans="1:12" ht="15" customHeight="1" x14ac:dyDescent="0.25">
      <c r="A198">
        <v>890937250</v>
      </c>
      <c r="B198" t="s">
        <v>274</v>
      </c>
      <c r="C198" t="s">
        <v>102</v>
      </c>
      <c r="D198" s="13">
        <v>1.4292306430353825</v>
      </c>
      <c r="E198" s="63">
        <v>81411855</v>
      </c>
      <c r="F198" s="64">
        <v>0.50490157964606208</v>
      </c>
      <c r="G198" s="65">
        <v>271081107</v>
      </c>
      <c r="H198" s="64">
        <v>4.900991713631956E-2</v>
      </c>
      <c r="I198" s="64">
        <v>2.9151817651386528E-2</v>
      </c>
      <c r="J198" s="66">
        <v>0.89366751323282645</v>
      </c>
    </row>
    <row r="199" spans="1:12" ht="15" customHeight="1" x14ac:dyDescent="0.25">
      <c r="A199">
        <v>900966969</v>
      </c>
      <c r="B199" t="s">
        <v>275</v>
      </c>
      <c r="C199" t="s">
        <v>98</v>
      </c>
      <c r="D199" s="13">
        <v>1.1942823229985065</v>
      </c>
      <c r="E199" s="63">
        <v>17773236</v>
      </c>
      <c r="F199" s="64">
        <v>0.2508022375896663</v>
      </c>
      <c r="G199" s="65">
        <v>109254724</v>
      </c>
      <c r="H199" s="64">
        <v>6.5739582313208936E-2</v>
      </c>
      <c r="I199" s="64">
        <v>4.2640453697910585E-2</v>
      </c>
      <c r="J199" s="66">
        <v>0.74119716489166132</v>
      </c>
    </row>
    <row r="200" spans="1:12" ht="15" customHeight="1" x14ac:dyDescent="0.25">
      <c r="A200" s="61"/>
      <c r="B200" s="61"/>
      <c r="C200" s="61"/>
      <c r="D200" s="48"/>
      <c r="E200" s="52"/>
      <c r="F200" s="54"/>
      <c r="G200" s="53"/>
      <c r="H200" s="54"/>
      <c r="I200" s="54"/>
      <c r="J200" s="51"/>
    </row>
    <row r="201" spans="1:12" ht="15" customHeight="1" x14ac:dyDescent="0.25">
      <c r="A201" s="46"/>
      <c r="B201" s="46"/>
      <c r="C201" s="47"/>
      <c r="D201" s="48"/>
      <c r="E201" s="52"/>
      <c r="F201" s="54"/>
      <c r="G201" s="53"/>
      <c r="H201" s="54"/>
      <c r="I201" s="54"/>
      <c r="J201" s="51"/>
    </row>
    <row r="202" spans="1:12" ht="12.75" thickBot="1" x14ac:dyDescent="0.25"/>
    <row r="203" spans="1:12" ht="40.5" customHeight="1" thickTop="1" thickBot="1" x14ac:dyDescent="0.25">
      <c r="A203" s="28" t="s">
        <v>46</v>
      </c>
      <c r="B203" s="26">
        <f>COUNTA(B20:B201)</f>
        <v>180</v>
      </c>
      <c r="L203" s="62"/>
    </row>
    <row r="204" spans="1:12" ht="12.75" thickTop="1" x14ac:dyDescent="0.2"/>
    <row r="205" spans="1:12" ht="15.75" customHeight="1" x14ac:dyDescent="0.2">
      <c r="A205" s="93" t="s">
        <v>66</v>
      </c>
      <c r="B205" s="15" t="s">
        <v>57</v>
      </c>
      <c r="D205" s="13">
        <f>SUBTOTAL(1,D20:D199)</f>
        <v>1.3806627089059247</v>
      </c>
      <c r="E205" s="49">
        <f>SUBTOTAL(1,E20:E199)</f>
        <v>10188167.577777777</v>
      </c>
      <c r="F205" s="55">
        <f>SUBTOTAL(1,F20:F199)</f>
        <v>0.47544305834009593</v>
      </c>
      <c r="G205" s="13">
        <f>SUBTOTAL(1,G20:G195)</f>
        <v>44222636.221590906</v>
      </c>
      <c r="H205" s="55">
        <f>SUBTOTAL(1,H20:H199)</f>
        <v>0.16116207752739206</v>
      </c>
      <c r="I205" s="55">
        <f>SUBTOTAL(1,I20:I199)</f>
        <v>9.0679556118528223E-2</v>
      </c>
      <c r="J205" s="13">
        <f>SUBTOTAL(1,J20:J199)</f>
        <v>746.77405491719219</v>
      </c>
    </row>
    <row r="206" spans="1:12" x14ac:dyDescent="0.2">
      <c r="A206" s="93"/>
      <c r="B206" s="15" t="s">
        <v>10</v>
      </c>
      <c r="D206" s="13">
        <f>SUBTOTAL(7,D20:D199)</f>
        <v>0.18011958171384665</v>
      </c>
      <c r="E206" s="49">
        <f>SUBTOTAL(7,E20:E199)</f>
        <v>23556820.256940406</v>
      </c>
      <c r="F206" s="55">
        <f>SUBTOTAL(7,F20:F199)</f>
        <v>0.18796756918329358</v>
      </c>
      <c r="G206" s="13">
        <f>SUBTOTAL(7,G20:G195)</f>
        <v>109468361.04248509</v>
      </c>
      <c r="H206" s="55">
        <f>SUBTOTAL(7,H20:H199)</f>
        <v>0.15006931711775556</v>
      </c>
      <c r="I206" s="55">
        <f>SUBTOTAL(7,I20:I199)</f>
        <v>8.2921746589673398E-2</v>
      </c>
      <c r="J206" s="13">
        <f>SUBTOTAL(7,J20:J199)</f>
        <v>8352.2240885192441</v>
      </c>
    </row>
    <row r="207" spans="1:12" x14ac:dyDescent="0.2">
      <c r="A207" s="93"/>
      <c r="B207" s="15" t="s">
        <v>11</v>
      </c>
      <c r="D207" s="13">
        <f>SUBTOTAL(5,D20:D199)</f>
        <v>1.0142975002974419</v>
      </c>
      <c r="E207" s="49">
        <f>SUBTOTAL(5,E20:E199)</f>
        <v>1018575</v>
      </c>
      <c r="F207" s="55">
        <f>SUBTOTAL(5,F20:F199)</f>
        <v>2.3793681751035259E-2</v>
      </c>
      <c r="G207" s="13">
        <f>SUBTOTAL(5,G20:G195)</f>
        <v>3124458</v>
      </c>
      <c r="H207" s="55">
        <f>SUBTOTAL(5,H20:H199)</f>
        <v>1.3352777114666009E-2</v>
      </c>
      <c r="I207" s="55">
        <f>SUBTOTAL(5,I20:I199)</f>
        <v>1.0153903398463166E-2</v>
      </c>
      <c r="J207" s="13">
        <f>SUBTOTAL(5,J20:J199)</f>
        <v>0.58812758719182845</v>
      </c>
    </row>
    <row r="208" spans="1:12" x14ac:dyDescent="0.2">
      <c r="A208" s="93"/>
      <c r="B208" s="15" t="s">
        <v>12</v>
      </c>
      <c r="D208" s="13">
        <f>SUBTOTAL(4,D20:D199)</f>
        <v>1.7498093181796688</v>
      </c>
      <c r="E208" s="49">
        <f>SUBTOTAL(4,E20:E199)</f>
        <v>184089730</v>
      </c>
      <c r="F208" s="55">
        <f>SUBTOTAL(4,F20:F199)</f>
        <v>0.74980931817966878</v>
      </c>
      <c r="G208" s="13">
        <f>SUBTOTAL(4,G20:G195)</f>
        <v>880487073</v>
      </c>
      <c r="H208" s="55">
        <f>SUBTOTAL(4,H20:H199)</f>
        <v>1.0640481064244698</v>
      </c>
      <c r="I208" s="55">
        <f>SUBTOTAL(4,I20:I199)</f>
        <v>0.57911874563833743</v>
      </c>
      <c r="J208" s="13">
        <f>SUBTOTAL(4,J20:J199)</f>
        <v>95977.534883720931</v>
      </c>
    </row>
    <row r="211" spans="1:10" ht="36" x14ac:dyDescent="0.2">
      <c r="A211" s="29" t="s">
        <v>84</v>
      </c>
      <c r="B211" s="88" t="s">
        <v>72</v>
      </c>
      <c r="C211" s="88"/>
      <c r="D211" s="88"/>
      <c r="E211" s="88"/>
      <c r="F211" s="88"/>
      <c r="G211" s="88"/>
      <c r="H211" s="88"/>
      <c r="I211" s="88"/>
      <c r="J211" s="88"/>
    </row>
    <row r="212" spans="1:10" x14ac:dyDescent="0.2">
      <c r="B212" s="14"/>
      <c r="D212" s="19"/>
    </row>
    <row r="213" spans="1:10" ht="14.25" x14ac:dyDescent="0.2">
      <c r="B213" s="50" t="s">
        <v>20</v>
      </c>
      <c r="C213" s="89" t="s">
        <v>15</v>
      </c>
      <c r="D213" s="89"/>
      <c r="E213" s="35"/>
    </row>
    <row r="214" spans="1:10" ht="14.25" x14ac:dyDescent="0.2">
      <c r="B214" s="2" t="s">
        <v>74</v>
      </c>
      <c r="C214" s="3">
        <f>COUNTIF(D20:D199,"&gt;=0")-COUNTIF(D20:D199,"&gt;1")</f>
        <v>0</v>
      </c>
      <c r="D214" s="4">
        <f>+C214/$B$203</f>
        <v>0</v>
      </c>
      <c r="E214" s="33"/>
      <c r="G214" s="20"/>
    </row>
    <row r="215" spans="1:10" ht="14.25" x14ac:dyDescent="0.2">
      <c r="B215" s="2" t="s">
        <v>75</v>
      </c>
      <c r="C215" s="3">
        <f>COUNTIF(D20:D199,"&gt;=1")-COUNTIF(D20:D199,"&gt;2")</f>
        <v>180</v>
      </c>
      <c r="D215" s="4">
        <f t="shared" ref="D215:D221" si="0">+C215/$B$203</f>
        <v>1</v>
      </c>
      <c r="E215" s="33"/>
    </row>
    <row r="216" spans="1:10" ht="14.25" x14ac:dyDescent="0.2">
      <c r="B216" s="2" t="s">
        <v>27</v>
      </c>
      <c r="C216" s="3">
        <f>COUNTIF(D20:D199,"&gt;=2")-COUNTIF(D20:D199,"&gt;5")</f>
        <v>0</v>
      </c>
      <c r="D216" s="4">
        <f t="shared" si="0"/>
        <v>0</v>
      </c>
      <c r="E216" s="33"/>
    </row>
    <row r="217" spans="1:10" ht="14.25" x14ac:dyDescent="0.2">
      <c r="B217" s="5" t="s">
        <v>21</v>
      </c>
      <c r="C217" s="3">
        <f>COUNTIF(D20:D199,"&gt;=5")-COUNTIF(D20:D199,"&gt;10")</f>
        <v>0</v>
      </c>
      <c r="D217" s="4">
        <f t="shared" si="0"/>
        <v>0</v>
      </c>
      <c r="E217" s="33"/>
    </row>
    <row r="218" spans="1:10" ht="14.25" x14ac:dyDescent="0.2">
      <c r="B218" s="2" t="s">
        <v>28</v>
      </c>
      <c r="C218" s="3">
        <f>COUNTIF(D20:D199,"&gt;=10")-COUNTIF(D20:D199,"&gt;20")</f>
        <v>0</v>
      </c>
      <c r="D218" s="4">
        <f t="shared" si="0"/>
        <v>0</v>
      </c>
      <c r="E218" s="33"/>
    </row>
    <row r="219" spans="1:10" ht="14.25" x14ac:dyDescent="0.2">
      <c r="B219" s="2" t="s">
        <v>22</v>
      </c>
      <c r="C219" s="3">
        <f>COUNTIF(D20:D199,"&gt;=20")-COUNTIF(D20:D199,"&gt;30")</f>
        <v>0</v>
      </c>
      <c r="D219" s="4">
        <f t="shared" si="0"/>
        <v>0</v>
      </c>
      <c r="E219" s="33"/>
    </row>
    <row r="220" spans="1:10" ht="14.25" x14ac:dyDescent="0.2">
      <c r="B220" s="2" t="s">
        <v>23</v>
      </c>
      <c r="C220" s="3">
        <f>COUNTIF(D20:D199,"&gt;=30")-COUNTIF(D20:D199,"&gt;50")</f>
        <v>0</v>
      </c>
      <c r="D220" s="4">
        <f t="shared" si="0"/>
        <v>0</v>
      </c>
      <c r="E220" s="33"/>
    </row>
    <row r="221" spans="1:10" ht="14.25" x14ac:dyDescent="0.2">
      <c r="B221" s="2" t="s">
        <v>24</v>
      </c>
      <c r="C221" s="3">
        <f>COUNTIF(D20:D199,"&gt;50")</f>
        <v>0</v>
      </c>
      <c r="D221" s="4">
        <f t="shared" si="0"/>
        <v>0</v>
      </c>
      <c r="E221" s="33"/>
    </row>
    <row r="222" spans="1:10" ht="14.25" x14ac:dyDescent="0.2">
      <c r="B222" s="31" t="s">
        <v>14</v>
      </c>
      <c r="C222" s="6">
        <f>SUM(C214:C221)</f>
        <v>180</v>
      </c>
      <c r="D222" s="7">
        <f>SUM(D214:D221)</f>
        <v>1</v>
      </c>
      <c r="E222" s="34"/>
    </row>
    <row r="226" spans="2:10" ht="36" customHeight="1" x14ac:dyDescent="0.2">
      <c r="B226" s="88" t="s">
        <v>71</v>
      </c>
      <c r="C226" s="88"/>
      <c r="D226" s="88"/>
      <c r="E226" s="88"/>
      <c r="F226" s="88"/>
      <c r="G226" s="88"/>
      <c r="H226" s="88"/>
      <c r="I226" s="88"/>
      <c r="J226" s="88"/>
    </row>
    <row r="228" spans="2:10" ht="14.25" x14ac:dyDescent="0.2">
      <c r="B228" s="32" t="s">
        <v>20</v>
      </c>
      <c r="C228" s="100" t="s">
        <v>15</v>
      </c>
      <c r="D228" s="101"/>
      <c r="E228" s="36"/>
    </row>
    <row r="229" spans="2:10" ht="14.25" x14ac:dyDescent="0.2">
      <c r="B229" s="2" t="s">
        <v>29</v>
      </c>
      <c r="C229" s="3">
        <f>COUNTIF(E20:E199,"&lt;0")</f>
        <v>0</v>
      </c>
      <c r="D229" s="4">
        <f>+C229/$B$203</f>
        <v>0</v>
      </c>
      <c r="E229" s="33"/>
    </row>
    <row r="230" spans="2:10" ht="14.25" x14ac:dyDescent="0.2">
      <c r="B230" s="2" t="s">
        <v>30</v>
      </c>
      <c r="C230" s="3">
        <f>COUNTIF(E20:E199,"=0")</f>
        <v>0</v>
      </c>
      <c r="D230" s="4">
        <f>+C230/$B$203</f>
        <v>0</v>
      </c>
      <c r="E230" s="33"/>
    </row>
    <row r="231" spans="2:10" ht="14.25" x14ac:dyDescent="0.2">
      <c r="B231" s="2" t="s">
        <v>31</v>
      </c>
      <c r="C231" s="3">
        <f>COUNTIF(E20:E199,"&gt;0")</f>
        <v>180</v>
      </c>
      <c r="D231" s="4">
        <f>+C231/$B$203</f>
        <v>1</v>
      </c>
      <c r="E231" s="33"/>
    </row>
    <row r="232" spans="2:10" ht="14.25" x14ac:dyDescent="0.2">
      <c r="B232" s="31" t="s">
        <v>14</v>
      </c>
      <c r="C232" s="6">
        <f>SUM(C229:C231)</f>
        <v>180</v>
      </c>
      <c r="D232" s="7">
        <f>SUM(D229:D231)</f>
        <v>1</v>
      </c>
      <c r="E232" s="34"/>
    </row>
    <row r="237" spans="2:10" ht="36" customHeight="1" x14ac:dyDescent="0.2">
      <c r="B237" s="88" t="s">
        <v>70</v>
      </c>
      <c r="C237" s="88"/>
      <c r="D237" s="88"/>
      <c r="E237" s="88"/>
      <c r="F237" s="88"/>
      <c r="G237" s="88"/>
      <c r="H237" s="88"/>
      <c r="I237" s="88"/>
      <c r="J237" s="88"/>
    </row>
    <row r="239" spans="2:10" ht="14.25" x14ac:dyDescent="0.2">
      <c r="B239" s="32" t="s">
        <v>20</v>
      </c>
      <c r="C239" s="100" t="s">
        <v>15</v>
      </c>
      <c r="D239" s="101"/>
      <c r="E239" s="39"/>
    </row>
    <row r="240" spans="2:10" ht="14.25" x14ac:dyDescent="0.2">
      <c r="B240" s="2" t="s">
        <v>32</v>
      </c>
      <c r="C240" s="3">
        <f>COUNTIF(F20:F199,"&gt;=0")-COUNTIF(F20:F199,"&gt;15%")</f>
        <v>13</v>
      </c>
      <c r="D240" s="37">
        <f t="shared" ref="D240:D246" si="1">+C240/$B$203</f>
        <v>7.2222222222222215E-2</v>
      </c>
      <c r="E240" s="33"/>
      <c r="F240" s="9"/>
    </row>
    <row r="241" spans="2:10" ht="14.25" x14ac:dyDescent="0.2">
      <c r="B241" s="2" t="s">
        <v>33</v>
      </c>
      <c r="C241" s="3">
        <f>COUNTIF(F20:F199,"&gt;15%")-COUNTIF(F20:F199,"&gt;30%")</f>
        <v>21</v>
      </c>
      <c r="D241" s="37">
        <f t="shared" si="1"/>
        <v>0.11666666666666667</v>
      </c>
      <c r="E241" s="33"/>
      <c r="F241" s="9"/>
    </row>
    <row r="242" spans="2:10" ht="14.25" x14ac:dyDescent="0.2">
      <c r="B242" s="2" t="s">
        <v>34</v>
      </c>
      <c r="C242" s="3">
        <f>COUNTIF(F20:F199,"&gt;30%")-COUNTIF(F20:F199,"&gt;45%")</f>
        <v>39</v>
      </c>
      <c r="D242" s="37">
        <f t="shared" si="1"/>
        <v>0.21666666666666667</v>
      </c>
      <c r="E242" s="33"/>
      <c r="F242" s="9"/>
    </row>
    <row r="243" spans="2:10" ht="14.25" x14ac:dyDescent="0.2">
      <c r="B243" s="2" t="s">
        <v>35</v>
      </c>
      <c r="C243" s="3">
        <f>COUNTIF(F20:F199,"&gt;45%")-COUNTIF(F20:F199,"&gt;60%")</f>
        <v>52</v>
      </c>
      <c r="D243" s="37">
        <f t="shared" si="1"/>
        <v>0.28888888888888886</v>
      </c>
      <c r="E243" s="33"/>
      <c r="F243" s="9"/>
    </row>
    <row r="244" spans="2:10" ht="14.25" x14ac:dyDescent="0.2">
      <c r="B244" s="2" t="s">
        <v>36</v>
      </c>
      <c r="C244" s="3">
        <f>COUNTIF(F20:F199,"&gt;60%")-COUNTIF(F20:F199,"&gt;75%")</f>
        <v>55</v>
      </c>
      <c r="D244" s="37">
        <f t="shared" si="1"/>
        <v>0.30555555555555558</v>
      </c>
      <c r="E244" s="33"/>
      <c r="F244" s="9"/>
    </row>
    <row r="245" spans="2:10" ht="14.25" x14ac:dyDescent="0.2">
      <c r="B245" s="2" t="s">
        <v>37</v>
      </c>
      <c r="C245" s="3">
        <f>COUNTIF(F20:F199,"&gt;75%")-COUNTIF(F20:F199,"&gt;90%")</f>
        <v>0</v>
      </c>
      <c r="D245" s="37">
        <f t="shared" si="1"/>
        <v>0</v>
      </c>
      <c r="E245" s="33"/>
      <c r="F245" s="9"/>
    </row>
    <row r="246" spans="2:10" ht="14.25" x14ac:dyDescent="0.2">
      <c r="B246" s="2" t="s">
        <v>38</v>
      </c>
      <c r="C246" s="3">
        <f>COUNTIF(F20:F199,"&gt;90%")</f>
        <v>0</v>
      </c>
      <c r="D246" s="37">
        <f t="shared" si="1"/>
        <v>0</v>
      </c>
      <c r="E246" s="33"/>
      <c r="F246" s="9"/>
    </row>
    <row r="247" spans="2:10" ht="14.25" x14ac:dyDescent="0.2">
      <c r="B247" s="30" t="s">
        <v>14</v>
      </c>
      <c r="C247" s="6">
        <f>SUM(C240:C246)</f>
        <v>180</v>
      </c>
      <c r="D247" s="38">
        <f>SUM(D240:D246)</f>
        <v>1</v>
      </c>
      <c r="E247" s="34"/>
      <c r="F247" s="45"/>
    </row>
    <row r="252" spans="2:10" ht="36" customHeight="1" x14ac:dyDescent="0.2">
      <c r="B252" s="88" t="s">
        <v>67</v>
      </c>
      <c r="C252" s="88"/>
      <c r="D252" s="88"/>
      <c r="E252" s="88"/>
      <c r="F252" s="88"/>
      <c r="G252" s="88"/>
      <c r="H252" s="88"/>
      <c r="I252" s="88"/>
      <c r="J252" s="88"/>
    </row>
    <row r="254" spans="2:10" ht="14.25" x14ac:dyDescent="0.2">
      <c r="B254" s="32" t="s">
        <v>20</v>
      </c>
      <c r="C254" s="82" t="s">
        <v>15</v>
      </c>
      <c r="D254" s="82"/>
      <c r="E254" s="40"/>
    </row>
    <row r="255" spans="2:10" ht="14.25" x14ac:dyDescent="0.2">
      <c r="B255" s="2" t="s">
        <v>29</v>
      </c>
      <c r="C255" s="3">
        <f>COUNTIF(G20:G199,"&lt;0")</f>
        <v>0</v>
      </c>
      <c r="D255" s="4">
        <f>+C255/$B$203</f>
        <v>0</v>
      </c>
      <c r="E255" s="10"/>
    </row>
    <row r="256" spans="2:10" ht="14.25" x14ac:dyDescent="0.2">
      <c r="B256" s="2" t="s">
        <v>30</v>
      </c>
      <c r="C256" s="3">
        <f>COUNTIF(G20:G199,"=0")</f>
        <v>0</v>
      </c>
      <c r="D256" s="4">
        <f>+C256/$B$203</f>
        <v>0</v>
      </c>
      <c r="E256" s="10"/>
    </row>
    <row r="257" spans="2:10" ht="14.25" x14ac:dyDescent="0.2">
      <c r="B257" s="2" t="s">
        <v>39</v>
      </c>
      <c r="C257" s="3">
        <f>COUNTIF(G20:G199,"&gt;0")-COUNTIF(G20:G199,"&gt;10000000")</f>
        <v>58</v>
      </c>
      <c r="D257" s="4">
        <f>+C257/$B$203</f>
        <v>0.32222222222222224</v>
      </c>
      <c r="E257" s="10"/>
    </row>
    <row r="258" spans="2:10" ht="14.25" x14ac:dyDescent="0.2">
      <c r="B258" s="2" t="s">
        <v>40</v>
      </c>
      <c r="C258" s="3">
        <f>COUNTIF(G20:G199,"&gt;10000000")-COUNTIF(G20:G199,"&gt;100000000")</f>
        <v>104</v>
      </c>
      <c r="D258" s="4">
        <f>+C258/$B$203</f>
        <v>0.57777777777777772</v>
      </c>
      <c r="E258" s="10"/>
    </row>
    <row r="259" spans="2:10" ht="14.25" x14ac:dyDescent="0.2">
      <c r="B259" s="2" t="s">
        <v>41</v>
      </c>
      <c r="C259" s="3">
        <f>COUNTIF(G20:G199,"&gt;100000000")</f>
        <v>18</v>
      </c>
      <c r="D259" s="4">
        <f>+C259/$B$203</f>
        <v>0.1</v>
      </c>
      <c r="E259" s="10"/>
    </row>
    <row r="260" spans="2:10" ht="14.25" x14ac:dyDescent="0.2">
      <c r="B260" s="31" t="s">
        <v>14</v>
      </c>
      <c r="C260" s="6">
        <f>SUM(C255:C259)</f>
        <v>180</v>
      </c>
      <c r="D260" s="7">
        <f>SUM(D255:D259)</f>
        <v>0.99999999999999989</v>
      </c>
      <c r="E260" s="8"/>
    </row>
    <row r="265" spans="2:10" ht="36" customHeight="1" x14ac:dyDescent="0.2">
      <c r="B265" s="88" t="s">
        <v>68</v>
      </c>
      <c r="C265" s="88"/>
      <c r="D265" s="88"/>
      <c r="E265" s="88"/>
      <c r="F265" s="88"/>
      <c r="G265" s="88"/>
      <c r="H265" s="88"/>
      <c r="I265" s="88"/>
      <c r="J265" s="88"/>
    </row>
    <row r="267" spans="2:10" ht="14.25" x14ac:dyDescent="0.2">
      <c r="B267" s="32" t="s">
        <v>20</v>
      </c>
      <c r="C267" s="89" t="s">
        <v>15</v>
      </c>
      <c r="D267" s="89"/>
      <c r="E267" s="41"/>
    </row>
    <row r="268" spans="2:10" ht="14.25" x14ac:dyDescent="0.2">
      <c r="B268" s="2" t="s">
        <v>42</v>
      </c>
      <c r="C268" s="3">
        <f>COUNTIF(J20:J199,"=0")</f>
        <v>0</v>
      </c>
      <c r="D268" s="4">
        <f t="shared" ref="D268:D274" si="2">+C268/$B$203</f>
        <v>0</v>
      </c>
      <c r="E268" s="10"/>
    </row>
    <row r="269" spans="2:10" ht="14.25" x14ac:dyDescent="0.2">
      <c r="B269" s="2" t="s">
        <v>29</v>
      </c>
      <c r="C269" s="3">
        <f>COUNTIF(J20:J199,"&lt;0")</f>
        <v>0</v>
      </c>
      <c r="D269" s="4">
        <f t="shared" si="2"/>
        <v>0</v>
      </c>
      <c r="E269" s="10"/>
    </row>
    <row r="270" spans="2:10" ht="14.25" x14ac:dyDescent="0.2">
      <c r="B270" s="2" t="s">
        <v>25</v>
      </c>
      <c r="C270" s="3">
        <f>COUNTIF(J20:J199,"&gt;0")-COUNTIF(J20:J199,"&gt;1")</f>
        <v>4</v>
      </c>
      <c r="D270" s="4">
        <f t="shared" si="2"/>
        <v>2.2222222222222223E-2</v>
      </c>
      <c r="E270" s="10"/>
    </row>
    <row r="271" spans="2:10" ht="14.25" x14ac:dyDescent="0.2">
      <c r="B271" s="2" t="s">
        <v>26</v>
      </c>
      <c r="C271" s="3">
        <f>COUNTIF(J20:J199,"&gt;1")-COUNTIF(J20:J199,"&gt;2")</f>
        <v>26</v>
      </c>
      <c r="D271" s="4">
        <f t="shared" si="2"/>
        <v>0.14444444444444443</v>
      </c>
      <c r="E271" s="10"/>
    </row>
    <row r="272" spans="2:10" ht="14.25" x14ac:dyDescent="0.2">
      <c r="B272" s="2" t="s">
        <v>43</v>
      </c>
      <c r="C272" s="3">
        <f>COUNTIF(J20:J199,"&gt;2")-COUNTIF(J20:J199,"&gt;4")</f>
        <v>27</v>
      </c>
      <c r="D272" s="4">
        <f t="shared" si="2"/>
        <v>0.15</v>
      </c>
      <c r="E272" s="10"/>
    </row>
    <row r="273" spans="2:10" ht="14.25" x14ac:dyDescent="0.2">
      <c r="B273" s="2" t="s">
        <v>44</v>
      </c>
      <c r="C273" s="3">
        <f>COUNTIF(J20:J199,"&gt;4")-COUNTIF(J20:J199,"&gt;6")</f>
        <v>24</v>
      </c>
      <c r="D273" s="4">
        <f t="shared" si="2"/>
        <v>0.13333333333333333</v>
      </c>
      <c r="E273" s="10"/>
    </row>
    <row r="274" spans="2:10" ht="14.25" x14ac:dyDescent="0.2">
      <c r="B274" s="2" t="s">
        <v>45</v>
      </c>
      <c r="C274" s="3">
        <f>COUNTIF(J20:J199,"&gt;6")+COUNTBLANK(J20:J199)</f>
        <v>99</v>
      </c>
      <c r="D274" s="4">
        <f t="shared" si="2"/>
        <v>0.55000000000000004</v>
      </c>
      <c r="E274" s="10"/>
    </row>
    <row r="275" spans="2:10" ht="14.25" x14ac:dyDescent="0.2">
      <c r="B275" s="31" t="s">
        <v>14</v>
      </c>
      <c r="C275" s="6">
        <f>SUM(C268:C274)</f>
        <v>180</v>
      </c>
      <c r="D275" s="7">
        <f>SUM(D268:D274)</f>
        <v>1</v>
      </c>
      <c r="E275" s="8"/>
    </row>
    <row r="279" spans="2:10" ht="36" customHeight="1" x14ac:dyDescent="0.2">
      <c r="B279" s="88" t="s">
        <v>69</v>
      </c>
      <c r="C279" s="88"/>
      <c r="D279" s="88"/>
      <c r="E279" s="88"/>
      <c r="F279" s="88"/>
      <c r="G279" s="88"/>
      <c r="H279" s="88"/>
      <c r="I279" s="88"/>
      <c r="J279" s="88"/>
    </row>
    <row r="281" spans="2:10" ht="14.25" x14ac:dyDescent="0.2">
      <c r="B281" s="32" t="s">
        <v>20</v>
      </c>
      <c r="C281" s="103" t="s">
        <v>15</v>
      </c>
      <c r="D281" s="103"/>
      <c r="E281" s="36"/>
    </row>
    <row r="282" spans="2:10" ht="14.25" x14ac:dyDescent="0.2">
      <c r="B282" s="2" t="s">
        <v>29</v>
      </c>
      <c r="C282" s="3">
        <f>COUNTIF(H20:H199,"&lt;0%")</f>
        <v>0</v>
      </c>
      <c r="D282" s="4">
        <f t="shared" ref="D282:D288" si="3">+C282/$B$203</f>
        <v>0</v>
      </c>
      <c r="E282" s="33"/>
    </row>
    <row r="283" spans="2:10" ht="14.25" x14ac:dyDescent="0.2">
      <c r="B283" s="2" t="s">
        <v>30</v>
      </c>
      <c r="C283" s="3">
        <f>COUNTIF(H20:H199,"=0%")</f>
        <v>0</v>
      </c>
      <c r="D283" s="4">
        <f t="shared" si="3"/>
        <v>0</v>
      </c>
      <c r="E283" s="33"/>
    </row>
    <row r="284" spans="2:10" ht="14.25" x14ac:dyDescent="0.2">
      <c r="B284" s="2" t="s">
        <v>25</v>
      </c>
      <c r="C284" s="3">
        <f>COUNTIF(H20:H199,"&gt;0%")-COUNTIF(H20:H199,"&gt;1%")</f>
        <v>0</v>
      </c>
      <c r="D284" s="4">
        <f t="shared" si="3"/>
        <v>0</v>
      </c>
      <c r="E284" s="33"/>
    </row>
    <row r="285" spans="2:10" ht="14.25" x14ac:dyDescent="0.2">
      <c r="B285" s="2" t="s">
        <v>26</v>
      </c>
      <c r="C285" s="3">
        <f>COUNTIF(H20:H199,"&gt;1%")-COUNTIF(H20:H199,"&gt;2%")</f>
        <v>5</v>
      </c>
      <c r="D285" s="4">
        <f t="shared" si="3"/>
        <v>2.7777777777777776E-2</v>
      </c>
      <c r="E285" s="33"/>
    </row>
    <row r="286" spans="2:10" ht="14.25" x14ac:dyDescent="0.2">
      <c r="B286" s="2" t="s">
        <v>47</v>
      </c>
      <c r="C286" s="3">
        <f>COUNTIF(H20:H199,"&gt;2%")-COUNTIF(H20:H199,"&gt;3%")</f>
        <v>14</v>
      </c>
      <c r="D286" s="4">
        <f t="shared" si="3"/>
        <v>7.7777777777777779E-2</v>
      </c>
      <c r="E286" s="33"/>
    </row>
    <row r="287" spans="2:10" ht="14.25" x14ac:dyDescent="0.2">
      <c r="B287" s="2" t="s">
        <v>48</v>
      </c>
      <c r="C287" s="3">
        <f>COUNTIF(H20:H199,"&gt;3%")-COUNTIF(H20:H199,"&gt;4%")</f>
        <v>8</v>
      </c>
      <c r="D287" s="4">
        <f t="shared" si="3"/>
        <v>4.4444444444444446E-2</v>
      </c>
      <c r="E287" s="33"/>
    </row>
    <row r="288" spans="2:10" ht="14.25" x14ac:dyDescent="0.2">
      <c r="B288" s="2" t="s">
        <v>49</v>
      </c>
      <c r="C288" s="3">
        <f>COUNTIF(H20:H199,"&gt;4%")</f>
        <v>153</v>
      </c>
      <c r="D288" s="4">
        <f t="shared" si="3"/>
        <v>0.85</v>
      </c>
      <c r="E288" s="33"/>
    </row>
    <row r="289" spans="2:10" ht="14.25" x14ac:dyDescent="0.2">
      <c r="B289" s="31" t="s">
        <v>14</v>
      </c>
      <c r="C289" s="6">
        <f>SUM(C282:C288)</f>
        <v>180</v>
      </c>
      <c r="D289" s="7">
        <f>SUM(D282:D288)</f>
        <v>1</v>
      </c>
      <c r="E289" s="34"/>
    </row>
    <row r="293" spans="2:10" ht="36" customHeight="1" x14ac:dyDescent="0.2">
      <c r="B293" s="102" t="s">
        <v>73</v>
      </c>
      <c r="C293" s="102"/>
      <c r="D293" s="102"/>
      <c r="E293" s="102"/>
      <c r="F293" s="102"/>
      <c r="G293" s="102"/>
      <c r="H293" s="102"/>
      <c r="I293" s="102"/>
      <c r="J293" s="102"/>
    </row>
    <row r="295" spans="2:10" ht="14.25" x14ac:dyDescent="0.2">
      <c r="B295" s="32" t="s">
        <v>20</v>
      </c>
      <c r="C295" s="82" t="s">
        <v>15</v>
      </c>
      <c r="D295" s="82"/>
      <c r="E295" s="41"/>
    </row>
    <row r="296" spans="2:10" ht="14.25" x14ac:dyDescent="0.2">
      <c r="B296" s="2" t="s">
        <v>29</v>
      </c>
      <c r="C296" s="3">
        <f>COUNTIF(I20:I199,"&lt;0")</f>
        <v>0</v>
      </c>
      <c r="D296" s="4">
        <f t="shared" ref="D296:D302" si="4">+C296/$B$203</f>
        <v>0</v>
      </c>
      <c r="E296" s="10"/>
    </row>
    <row r="297" spans="2:10" ht="14.25" x14ac:dyDescent="0.2">
      <c r="B297" s="2" t="s">
        <v>30</v>
      </c>
      <c r="C297" s="3">
        <f>COUNTIF(I20:I199,"=0")</f>
        <v>0</v>
      </c>
      <c r="D297" s="4">
        <f t="shared" si="4"/>
        <v>0</v>
      </c>
      <c r="E297" s="10"/>
    </row>
    <row r="298" spans="2:10" ht="14.25" x14ac:dyDescent="0.2">
      <c r="B298" s="2" t="s">
        <v>50</v>
      </c>
      <c r="C298" s="3">
        <f>COUNTIF(I20:I199,"&gt;0%")-COUNTIF(I20:I199,"&gt;2%")</f>
        <v>19</v>
      </c>
      <c r="D298" s="4">
        <f t="shared" si="4"/>
        <v>0.10555555555555556</v>
      </c>
      <c r="E298" s="10"/>
    </row>
    <row r="299" spans="2:10" ht="14.25" x14ac:dyDescent="0.2">
      <c r="B299" s="2" t="s">
        <v>43</v>
      </c>
      <c r="C299" s="3">
        <f>COUNTIF(I20:I199,"&gt;2%")-COUNTIF(I20:I199,"&gt;4%")</f>
        <v>33</v>
      </c>
      <c r="D299" s="4">
        <f t="shared" si="4"/>
        <v>0.18333333333333332</v>
      </c>
      <c r="E299" s="10"/>
    </row>
    <row r="300" spans="2:10" ht="14.25" x14ac:dyDescent="0.2">
      <c r="B300" s="2" t="s">
        <v>44</v>
      </c>
      <c r="C300" s="3">
        <f>COUNTIF(I20:I199,"&gt;4%")-COUNTIF(I20:I199,"&gt;6%")</f>
        <v>25</v>
      </c>
      <c r="D300" s="4">
        <f t="shared" si="4"/>
        <v>0.1388888888888889</v>
      </c>
      <c r="E300" s="10"/>
    </row>
    <row r="301" spans="2:10" ht="14.25" x14ac:dyDescent="0.2">
      <c r="B301" s="2" t="s">
        <v>51</v>
      </c>
      <c r="C301" s="3">
        <f>COUNTIF(I20:I199,"&gt;6%")-COUNTIF(I20:I199,"&gt;8%")</f>
        <v>25</v>
      </c>
      <c r="D301" s="4">
        <f t="shared" si="4"/>
        <v>0.1388888888888889</v>
      </c>
      <c r="E301" s="10"/>
    </row>
    <row r="302" spans="2:10" ht="14.25" x14ac:dyDescent="0.2">
      <c r="B302" s="2" t="s">
        <v>52</v>
      </c>
      <c r="C302" s="3">
        <f>COUNTIF(I20:I199,"&gt;8%")</f>
        <v>78</v>
      </c>
      <c r="D302" s="4">
        <f t="shared" si="4"/>
        <v>0.43333333333333335</v>
      </c>
      <c r="E302" s="10"/>
    </row>
    <row r="303" spans="2:10" ht="14.25" x14ac:dyDescent="0.2">
      <c r="B303" s="31" t="s">
        <v>14</v>
      </c>
      <c r="C303" s="6">
        <f>SUM(C296:C302)</f>
        <v>180</v>
      </c>
      <c r="D303" s="7">
        <f>SUM(D296:D302)</f>
        <v>1</v>
      </c>
      <c r="E303" s="8"/>
    </row>
    <row r="308" spans="1:13" ht="97.5" customHeight="1" x14ac:dyDescent="0.2">
      <c r="A308" s="29" t="s">
        <v>89</v>
      </c>
      <c r="B308" s="42" t="s">
        <v>77</v>
      </c>
      <c r="C308" s="80" t="s">
        <v>53</v>
      </c>
      <c r="D308" s="80"/>
      <c r="E308" s="80"/>
      <c r="F308" s="42" t="s">
        <v>76</v>
      </c>
      <c r="G308" s="42" t="s">
        <v>83</v>
      </c>
      <c r="H308" s="42" t="s">
        <v>78</v>
      </c>
      <c r="I308" s="42" t="s">
        <v>79</v>
      </c>
      <c r="J308" s="42" t="s">
        <v>80</v>
      </c>
      <c r="K308" s="42" t="s">
        <v>81</v>
      </c>
      <c r="L308" s="42" t="s">
        <v>82</v>
      </c>
      <c r="M308" s="42" t="s">
        <v>54</v>
      </c>
    </row>
    <row r="309" spans="1:13" ht="53.25" customHeight="1" x14ac:dyDescent="0.2">
      <c r="B309" s="56"/>
      <c r="C309" s="81"/>
      <c r="D309" s="81"/>
      <c r="E309" s="81"/>
      <c r="F309" s="57"/>
      <c r="G309" s="58"/>
      <c r="H309" s="59"/>
      <c r="I309" s="58"/>
      <c r="J309" s="57"/>
      <c r="K309" s="60"/>
      <c r="L309" s="60"/>
      <c r="M309" s="58"/>
    </row>
    <row r="310" spans="1:13" ht="100.5" customHeight="1" thickBot="1" x14ac:dyDescent="0.25"/>
    <row r="311" spans="1:13" ht="36" customHeight="1" thickTop="1" thickBot="1" x14ac:dyDescent="0.25">
      <c r="B311" s="74"/>
      <c r="C311" s="75"/>
      <c r="D311" s="76" t="s">
        <v>3</v>
      </c>
      <c r="E311" s="76" t="s">
        <v>4</v>
      </c>
      <c r="F311" s="76" t="s">
        <v>5</v>
      </c>
      <c r="G311" s="76" t="s">
        <v>6</v>
      </c>
      <c r="H311" s="76" t="s">
        <v>7</v>
      </c>
      <c r="I311" s="76" t="s">
        <v>8</v>
      </c>
      <c r="J311" s="77" t="s">
        <v>9</v>
      </c>
    </row>
    <row r="312" spans="1:13" ht="24" customHeight="1" thickTop="1" thickBot="1" x14ac:dyDescent="0.25">
      <c r="A312" s="27" t="s">
        <v>85</v>
      </c>
      <c r="B312" s="90" t="s">
        <v>86</v>
      </c>
      <c r="C312" s="91"/>
      <c r="D312" s="69" t="s">
        <v>278</v>
      </c>
      <c r="E312" s="70" t="s">
        <v>289</v>
      </c>
      <c r="F312" s="70" t="s">
        <v>58</v>
      </c>
      <c r="G312" s="70" t="s">
        <v>277</v>
      </c>
      <c r="H312" s="70" t="s">
        <v>279</v>
      </c>
      <c r="I312" s="70" t="s">
        <v>279</v>
      </c>
      <c r="J312" s="70" t="s">
        <v>280</v>
      </c>
    </row>
    <row r="313" spans="1:13" ht="25.5" customHeight="1" thickTop="1" thickBot="1" x14ac:dyDescent="0.25">
      <c r="B313" s="90" t="s">
        <v>17</v>
      </c>
      <c r="C313" s="91"/>
      <c r="D313" s="71">
        <f>COUNTIF(D20:D199,"&gt;=1,")/$B$203</f>
        <v>1</v>
      </c>
      <c r="E313" s="72">
        <f>COUNTIF(E20:E199,"&gt;=297300")/$B$203</f>
        <v>1</v>
      </c>
      <c r="F313" s="72">
        <f>COUNTIF(F20:F199,"&lt;=70%")/$B$203</f>
        <v>0.9</v>
      </c>
      <c r="G313" s="72">
        <f>COUNTIF(G20:G199,"&gt;=146000")/$B$203</f>
        <v>1</v>
      </c>
      <c r="H313" s="72">
        <f>COUNTIF(H20:H199,"&gt;=0%")/$B$203</f>
        <v>1</v>
      </c>
      <c r="I313" s="72">
        <f>COUNTIF(I20:I199,"&gt;=0%")/$B$203</f>
        <v>1</v>
      </c>
      <c r="J313" s="73">
        <f>(COUNTIF(J20:J199,"&gt;=1")+COUNTBLANK(J20:J199))/$B$203</f>
        <v>0.97777777777777775</v>
      </c>
    </row>
    <row r="314" spans="1:13" ht="12.75" thickTop="1" x14ac:dyDescent="0.2"/>
    <row r="315" spans="1:13" x14ac:dyDescent="0.2">
      <c r="G315" s="43"/>
    </row>
    <row r="316" spans="1:13" x14ac:dyDescent="0.2">
      <c r="G316" s="43"/>
    </row>
    <row r="317" spans="1:13" x14ac:dyDescent="0.2">
      <c r="G317" s="43"/>
    </row>
    <row r="319" spans="1:13" ht="18.75" x14ac:dyDescent="0.2">
      <c r="A319" s="1" t="s">
        <v>18</v>
      </c>
      <c r="B319" s="1" t="s">
        <v>287</v>
      </c>
    </row>
    <row r="320" spans="1:13" ht="18.75" x14ac:dyDescent="0.2">
      <c r="A320" s="1" t="s">
        <v>19</v>
      </c>
      <c r="B320" s="1" t="s">
        <v>282</v>
      </c>
      <c r="C320" s="1"/>
    </row>
    <row r="321" spans="5:7" x14ac:dyDescent="0.2">
      <c r="G321" s="43"/>
    </row>
    <row r="322" spans="5:7" x14ac:dyDescent="0.2">
      <c r="G322" s="43"/>
    </row>
    <row r="323" spans="5:7" x14ac:dyDescent="0.2">
      <c r="G323" s="43"/>
    </row>
    <row r="324" spans="5:7" x14ac:dyDescent="0.2">
      <c r="E324" s="20">
        <f>+F11</f>
        <v>297300000</v>
      </c>
      <c r="G324" s="20">
        <f>+H11</f>
        <v>0</v>
      </c>
    </row>
    <row r="325" spans="5:7" x14ac:dyDescent="0.2">
      <c r="G325" s="43"/>
    </row>
    <row r="326" spans="5:7" x14ac:dyDescent="0.2">
      <c r="G326" s="43"/>
    </row>
    <row r="327" spans="5:7" x14ac:dyDescent="0.2">
      <c r="G327" s="43"/>
    </row>
    <row r="328" spans="5:7" x14ac:dyDescent="0.2">
      <c r="G328" s="43"/>
    </row>
    <row r="329" spans="5:7" x14ac:dyDescent="0.2">
      <c r="G329" s="43"/>
    </row>
    <row r="339" spans="2:4" x14ac:dyDescent="0.2">
      <c r="B339" s="16" t="s">
        <v>283</v>
      </c>
      <c r="D339" s="78">
        <v>10000000</v>
      </c>
    </row>
    <row r="340" spans="2:4" x14ac:dyDescent="0.2">
      <c r="B340" s="16" t="s">
        <v>284</v>
      </c>
      <c r="D340" s="78">
        <v>1184046463</v>
      </c>
    </row>
    <row r="341" spans="2:4" x14ac:dyDescent="0.2">
      <c r="B341" s="16" t="s">
        <v>286</v>
      </c>
      <c r="D341" s="78">
        <v>1184046463</v>
      </c>
    </row>
    <row r="342" spans="2:4" x14ac:dyDescent="0.2">
      <c r="B342" s="16" t="s">
        <v>285</v>
      </c>
      <c r="D342" s="78"/>
    </row>
    <row r="343" spans="2:4" ht="12.75" thickBot="1" x14ac:dyDescent="0.25">
      <c r="D343" s="79">
        <f>SUM(D339:D342)</f>
        <v>2378092926</v>
      </c>
    </row>
    <row r="344" spans="2:4" ht="12.75" thickTop="1" x14ac:dyDescent="0.2"/>
  </sheetData>
  <autoFilter ref="A19:J201" xr:uid="{00000000-0009-0000-0000-000000000000}"/>
  <mergeCells count="26">
    <mergeCell ref="B312:C312"/>
    <mergeCell ref="B313:C313"/>
    <mergeCell ref="F4:J4"/>
    <mergeCell ref="F3:J3"/>
    <mergeCell ref="A205:A208"/>
    <mergeCell ref="B211:J211"/>
    <mergeCell ref="F5:J5"/>
    <mergeCell ref="B8:F8"/>
    <mergeCell ref="H8:J8"/>
    <mergeCell ref="B226:J226"/>
    <mergeCell ref="B237:J237"/>
    <mergeCell ref="C213:D213"/>
    <mergeCell ref="C228:D228"/>
    <mergeCell ref="C239:D239"/>
    <mergeCell ref="B293:J293"/>
    <mergeCell ref="C281:D281"/>
    <mergeCell ref="C308:E308"/>
    <mergeCell ref="C309:E309"/>
    <mergeCell ref="C295:D295"/>
    <mergeCell ref="A10:H10"/>
    <mergeCell ref="A13:J13"/>
    <mergeCell ref="B252:J252"/>
    <mergeCell ref="B265:J265"/>
    <mergeCell ref="B279:J279"/>
    <mergeCell ref="C254:D254"/>
    <mergeCell ref="C267:D267"/>
  </mergeCells>
  <pageMargins left="0.70866141732283472" right="0.70866141732283472" top="0.74803149606299213" bottom="0.74803149606299213" header="0.31496062992125984" footer="0.31496062992125984"/>
  <pageSetup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9:D33"/>
  <sheetViews>
    <sheetView topLeftCell="A8" workbookViewId="0">
      <selection activeCell="D9" sqref="D9:D15"/>
    </sheetView>
  </sheetViews>
  <sheetFormatPr baseColWidth="10" defaultRowHeight="15" x14ac:dyDescent="0.25"/>
  <sheetData>
    <row r="9" spans="4:4" x14ac:dyDescent="0.25">
      <c r="D9" s="67" t="s">
        <v>96</v>
      </c>
    </row>
    <row r="10" spans="4:4" x14ac:dyDescent="0.25">
      <c r="D10" s="67" t="s">
        <v>95</v>
      </c>
    </row>
    <row r="11" spans="4:4" x14ac:dyDescent="0.25">
      <c r="D11" s="67" t="s">
        <v>110</v>
      </c>
    </row>
    <row r="12" spans="4:4" x14ac:dyDescent="0.25">
      <c r="D12" s="67" t="s">
        <v>110</v>
      </c>
    </row>
    <row r="13" spans="4:4" x14ac:dyDescent="0.25">
      <c r="D13" s="67" t="s">
        <v>102</v>
      </c>
    </row>
    <row r="14" spans="4:4" x14ac:dyDescent="0.25">
      <c r="D14" t="s">
        <v>102</v>
      </c>
    </row>
    <row r="15" spans="4:4" x14ac:dyDescent="0.25">
      <c r="D15" t="s">
        <v>98</v>
      </c>
    </row>
    <row r="16" spans="4:4" x14ac:dyDescent="0.25">
      <c r="D16" s="67"/>
    </row>
    <row r="18" spans="4:4" x14ac:dyDescent="0.25">
      <c r="D18" s="67"/>
    </row>
    <row r="19" spans="4:4" x14ac:dyDescent="0.25">
      <c r="D19" s="67"/>
    </row>
    <row r="20" spans="4:4" x14ac:dyDescent="0.25">
      <c r="D20" s="67"/>
    </row>
    <row r="22" spans="4:4" x14ac:dyDescent="0.25">
      <c r="D22" s="67"/>
    </row>
    <row r="24" spans="4:4" x14ac:dyDescent="0.25">
      <c r="D24" s="67"/>
    </row>
    <row r="25" spans="4:4" x14ac:dyDescent="0.25">
      <c r="D25" s="67"/>
    </row>
    <row r="26" spans="4:4" x14ac:dyDescent="0.25">
      <c r="D26" s="67"/>
    </row>
    <row r="27" spans="4:4" x14ac:dyDescent="0.25">
      <c r="D27" s="67"/>
    </row>
    <row r="28" spans="4:4" x14ac:dyDescent="0.25">
      <c r="D28" s="67"/>
    </row>
    <row r="29" spans="4:4" x14ac:dyDescent="0.25">
      <c r="D29" s="67"/>
    </row>
    <row r="30" spans="4:4" x14ac:dyDescent="0.25">
      <c r="D30" s="67"/>
    </row>
    <row r="32" spans="4:4" x14ac:dyDescent="0.25">
      <c r="D32" s="67"/>
    </row>
    <row r="33" spans="4:4" x14ac:dyDescent="0.25">
      <c r="D33" s="67"/>
    </row>
  </sheetData>
  <sortState xmlns:xlrd2="http://schemas.microsoft.com/office/spreadsheetml/2017/richdata2" ref="D9:D15">
    <sortCondition ref="D9:D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 2</vt:lpstr>
      <vt:lpstr>Hoja1</vt:lpstr>
      <vt:lpstr>'Hoja 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Katherinne Rodriguez Lozano</dc:creator>
  <cp:lastModifiedBy>Paula Fernanda Villalobos Castro</cp:lastModifiedBy>
  <cp:lastPrinted>2019-01-22T23:12:00Z</cp:lastPrinted>
  <dcterms:created xsi:type="dcterms:W3CDTF">2018-11-28T12:47:08Z</dcterms:created>
  <dcterms:modified xsi:type="dcterms:W3CDTF">2022-09-06T21:31:25Z</dcterms:modified>
</cp:coreProperties>
</file>