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y Gutierrez\Documents\1. OFICINA GOBERNACION\CONTRATACIÓN\ATENCIÓN DE DESASTRES\2022\INTERVENCIÓN DRENAJES\NUEVOS DOCUMENTOS DEL 01 DE NOVIEMBRE\"/>
    </mc:Choice>
  </mc:AlternateContent>
  <xr:revisionPtr revIDLastSave="0" documentId="13_ncr:1_{E58A387B-E5B3-4195-8DF2-CCC1D512C346}" xr6:coauthVersionLast="47" xr6:coauthVersionMax="47" xr10:uidLastSave="{00000000-0000-0000-0000-000000000000}"/>
  <bookViews>
    <workbookView xWindow="-132" yWindow="-132" windowWidth="23304" windowHeight="12504" tabRatio="764" firstSheet="2" xr2:uid="{7AE2D0EF-3206-4CC9-840F-FED8746AC390}"/>
  </bookViews>
  <sheets>
    <sheet name="RESUMEN" sheetId="4" r:id="rId1"/>
    <sheet name="PRESUPUESTO MANATI" sheetId="22" r:id="rId2"/>
    <sheet name="PRESUPUESTO SANTA LUCIA " sheetId="23" r:id="rId3"/>
    <sheet name="PRESUPUESTO RESUMEN " sheetId="24" r:id="rId4"/>
    <sheet name="APU - LIMPIEZA DE CANALES PRIMA" sheetId="6" r:id="rId5"/>
    <sheet name="APU - SACOS PEQUEÑOS " sheetId="20" r:id="rId6"/>
    <sheet name="APU - LIMPIEZA DE CANALE SEC " sheetId="7" r:id="rId7"/>
    <sheet name="APU COMPUERTAS NUEVAS " sheetId="21" r:id="rId8"/>
    <sheet name="CUADRO RESUMEN" sheetId="8" r:id="rId9"/>
    <sheet name="EXCAVACION MANUAL" sheetId="9" r:id="rId10"/>
    <sheet name="BASE EN CONCRETO" sheetId="10" r:id="rId11"/>
    <sheet name="tablero en concreto 3000 psi" sheetId="11" r:id="rId12"/>
    <sheet name="bordillo" sheetId="12" r:id="rId13"/>
    <sheet name="concreto 3000 PSI" sheetId="13" r:id="rId14"/>
    <sheet name="concreto 4000 PSI" sheetId="14" r:id="rId15"/>
    <sheet name="acero de refuerzo" sheetId="15" r:id="rId16"/>
    <sheet name="FORMALETA" sheetId="16" r:id="rId17"/>
    <sheet name="Hoja1" sheetId="25" r:id="rId18"/>
    <sheet name="Hoja2" sheetId="26" r:id="rId19"/>
  </sheets>
  <externalReferences>
    <externalReference r:id="rId20"/>
    <externalReference r:id="rId21"/>
  </externalReferences>
  <definedNames>
    <definedName name="\a">[1]BASE!#REF!</definedName>
    <definedName name="_xlnm.Print_Area" localSheetId="6">'APU - LIMPIEZA DE CANALE SEC '!$A$2:$K$58</definedName>
    <definedName name="_xlnm.Print_Area" localSheetId="4">'APU - LIMPIEZA DE CANALES PRIMA'!$B$2:$K$58</definedName>
    <definedName name="_xlnm.Print_Area" localSheetId="5">'APU - SACOS PEQUEÑOS '!$A$2:$K$58</definedName>
    <definedName name="_xlnm.Print_Area" localSheetId="0">RESUMEN!$A$4:$F$19</definedName>
    <definedName name="ET">#REF!</definedName>
    <definedName name="MATEYDIMNO">'[2]TABLAS PARA CALCULOS'!$Q$3:$Q$28</definedName>
    <definedName name="PRE">[1]BASE!#REF!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4" l="1"/>
  <c r="I58" i="26"/>
  <c r="E41" i="26"/>
  <c r="H41" i="26" s="1"/>
  <c r="I41" i="26" s="1"/>
  <c r="E40" i="26"/>
  <c r="H40" i="26" s="1"/>
  <c r="I40" i="26" s="1"/>
  <c r="I42" i="26" s="1"/>
  <c r="I36" i="26"/>
  <c r="I26" i="26"/>
  <c r="I25" i="26"/>
  <c r="I24" i="26"/>
  <c r="I23" i="26"/>
  <c r="H22" i="26"/>
  <c r="I22" i="26" s="1"/>
  <c r="I27" i="26" s="1"/>
  <c r="D39" i="25"/>
  <c r="F39" i="25" s="1"/>
  <c r="H39" i="25" s="1"/>
  <c r="F38" i="25"/>
  <c r="H38" i="25" s="1"/>
  <c r="I44" i="25" s="1"/>
  <c r="D38" i="25"/>
  <c r="I35" i="25"/>
  <c r="H26" i="25"/>
  <c r="H25" i="25"/>
  <c r="H24" i="25"/>
  <c r="H23" i="25"/>
  <c r="H22" i="25"/>
  <c r="H21" i="25"/>
  <c r="F20" i="25"/>
  <c r="H20" i="25" s="1"/>
  <c r="I28" i="25" s="1"/>
  <c r="H19" i="25"/>
  <c r="I16" i="25"/>
  <c r="I21" i="16"/>
  <c r="I40" i="12"/>
  <c r="I15" i="10"/>
  <c r="H16" i="26" l="1"/>
  <c r="I16" i="26" s="1"/>
  <c r="I18" i="26" s="1"/>
  <c r="I44" i="26" s="1"/>
  <c r="I46" i="25"/>
  <c r="I47" i="25" s="1"/>
  <c r="I52" i="26" l="1"/>
  <c r="I50" i="26"/>
  <c r="I56" i="26" s="1"/>
  <c r="I54" i="26"/>
  <c r="H47" i="21" l="1"/>
  <c r="C7" i="24"/>
  <c r="E7" i="24" s="1"/>
  <c r="B32" i="23"/>
  <c r="C8" i="24" s="1"/>
  <c r="E8" i="24" s="1"/>
  <c r="B31" i="23"/>
  <c r="B40" i="22"/>
  <c r="B39" i="22"/>
  <c r="B38" i="22"/>
  <c r="E25" i="23"/>
  <c r="E24" i="23"/>
  <c r="E23" i="23"/>
  <c r="C22" i="23"/>
  <c r="E22" i="23" s="1"/>
  <c r="E21" i="23"/>
  <c r="E20" i="23"/>
  <c r="E19" i="23"/>
  <c r="E18" i="23"/>
  <c r="E17" i="23"/>
  <c r="E16" i="23"/>
  <c r="E15" i="23"/>
  <c r="E14" i="23"/>
  <c r="E13" i="23"/>
  <c r="E12" i="23"/>
  <c r="E11" i="23"/>
  <c r="E10" i="23"/>
  <c r="E9" i="23"/>
  <c r="E8" i="23"/>
  <c r="E7" i="23"/>
  <c r="E6" i="23"/>
  <c r="C5" i="23"/>
  <c r="C27" i="23" s="1"/>
  <c r="C36" i="22"/>
  <c r="E34" i="22"/>
  <c r="E33" i="22"/>
  <c r="E32" i="22"/>
  <c r="E31" i="22"/>
  <c r="E30" i="22"/>
  <c r="E28" i="22"/>
  <c r="E27" i="22"/>
  <c r="E26" i="22"/>
  <c r="E25" i="22"/>
  <c r="E24" i="22"/>
  <c r="E14" i="22"/>
  <c r="E13" i="22"/>
  <c r="E11" i="22"/>
  <c r="E10" i="22"/>
  <c r="E9" i="22"/>
  <c r="E8" i="22"/>
  <c r="C40" i="21"/>
  <c r="E40" i="21" s="1"/>
  <c r="G40" i="21" s="1"/>
  <c r="H45" i="21" s="1"/>
  <c r="C39" i="21"/>
  <c r="E39" i="21" s="1"/>
  <c r="G39" i="21" s="1"/>
  <c r="H36" i="21"/>
  <c r="G27" i="21"/>
  <c r="G26" i="21"/>
  <c r="G25" i="21"/>
  <c r="G24" i="21"/>
  <c r="G23" i="21"/>
  <c r="G22" i="21"/>
  <c r="G21" i="21"/>
  <c r="G20" i="21"/>
  <c r="G19" i="21"/>
  <c r="H29" i="21" s="1"/>
  <c r="G18" i="21"/>
  <c r="H15" i="21"/>
  <c r="B30" i="23" l="1"/>
  <c r="C6" i="24" s="1"/>
  <c r="E6" i="24" s="1"/>
  <c r="E5" i="23"/>
  <c r="E27" i="23" s="1"/>
  <c r="D15" i="22"/>
  <c r="E22" i="22"/>
  <c r="D16" i="22"/>
  <c r="H48" i="21"/>
  <c r="E9" i="4"/>
  <c r="F12" i="4"/>
  <c r="F11" i="4"/>
  <c r="F8" i="4"/>
  <c r="E12" i="22" l="1"/>
  <c r="E15" i="22"/>
  <c r="D17" i="22"/>
  <c r="E16" i="22"/>
  <c r="D18" i="22"/>
  <c r="F9" i="4"/>
  <c r="D19" i="22" l="1"/>
  <c r="E17" i="22"/>
  <c r="E23" i="22"/>
  <c r="E29" i="22"/>
  <c r="E18" i="22"/>
  <c r="D20" i="22"/>
  <c r="E20" i="22" s="1"/>
  <c r="E36" i="22" l="1"/>
  <c r="E19" i="22"/>
  <c r="D21" i="22"/>
  <c r="E21" i="22" s="1"/>
  <c r="I21" i="20" l="1"/>
  <c r="J21" i="20" s="1"/>
  <c r="I22" i="20"/>
  <c r="J15" i="20"/>
  <c r="J40" i="20"/>
  <c r="F40" i="20"/>
  <c r="F39" i="20"/>
  <c r="I39" i="20" s="1"/>
  <c r="J39" i="20" s="1"/>
  <c r="J41" i="20" s="1"/>
  <c r="J35" i="20"/>
  <c r="J30" i="20"/>
  <c r="J25" i="20"/>
  <c r="J24" i="20"/>
  <c r="J23" i="20"/>
  <c r="I16" i="7"/>
  <c r="J16" i="6"/>
  <c r="I16" i="6"/>
  <c r="J22" i="20" l="1"/>
  <c r="J26" i="20" s="1"/>
  <c r="J17" i="20"/>
  <c r="J43" i="20" l="1"/>
  <c r="J51" i="20" s="1"/>
  <c r="J49" i="20"/>
  <c r="J53" i="20"/>
  <c r="J55" i="20" l="1"/>
  <c r="J57" i="20" s="1"/>
  <c r="F40" i="16" l="1"/>
  <c r="I40" i="16" s="1"/>
  <c r="J40" i="16" s="1"/>
  <c r="F39" i="16"/>
  <c r="I39" i="16" s="1"/>
  <c r="J39" i="16" s="1"/>
  <c r="J41" i="16" s="1"/>
  <c r="J35" i="16"/>
  <c r="I25" i="16"/>
  <c r="J25" i="16" s="1"/>
  <c r="G23" i="16"/>
  <c r="J23" i="16" s="1"/>
  <c r="G22" i="16"/>
  <c r="F40" i="15"/>
  <c r="I40" i="15" s="1"/>
  <c r="J40" i="15" s="1"/>
  <c r="J41" i="15" s="1"/>
  <c r="F39" i="15"/>
  <c r="I39" i="15" s="1"/>
  <c r="J39" i="15" s="1"/>
  <c r="J35" i="15"/>
  <c r="J25" i="15"/>
  <c r="J24" i="15"/>
  <c r="I22" i="15"/>
  <c r="J22" i="15" s="1"/>
  <c r="I21" i="15"/>
  <c r="J21" i="15" s="1"/>
  <c r="F41" i="14"/>
  <c r="I41" i="14" s="1"/>
  <c r="J41" i="14" s="1"/>
  <c r="F40" i="14"/>
  <c r="I40" i="14" s="1"/>
  <c r="J40" i="14" s="1"/>
  <c r="J36" i="14"/>
  <c r="J26" i="14"/>
  <c r="J25" i="14"/>
  <c r="I24" i="14"/>
  <c r="J24" i="14" s="1"/>
  <c r="I23" i="14"/>
  <c r="J23" i="14" s="1"/>
  <c r="I22" i="14"/>
  <c r="J22" i="14" s="1"/>
  <c r="I15" i="14"/>
  <c r="J15" i="14" s="1"/>
  <c r="F41" i="13"/>
  <c r="I41" i="13" s="1"/>
  <c r="J41" i="13" s="1"/>
  <c r="F40" i="13"/>
  <c r="I40" i="13" s="1"/>
  <c r="J40" i="13" s="1"/>
  <c r="J36" i="13"/>
  <c r="J26" i="13"/>
  <c r="J25" i="13"/>
  <c r="I24" i="13"/>
  <c r="J24" i="13" s="1"/>
  <c r="I23" i="13"/>
  <c r="J23" i="13" s="1"/>
  <c r="I22" i="13"/>
  <c r="J22" i="13" s="1"/>
  <c r="I15" i="13"/>
  <c r="J15" i="13" s="1"/>
  <c r="F41" i="12"/>
  <c r="I41" i="12" s="1"/>
  <c r="J41" i="12" s="1"/>
  <c r="F40" i="12"/>
  <c r="J36" i="12"/>
  <c r="J26" i="12"/>
  <c r="J25" i="12"/>
  <c r="I24" i="12"/>
  <c r="J24" i="12" s="1"/>
  <c r="F22" i="12"/>
  <c r="I22" i="12" s="1"/>
  <c r="J22" i="12" s="1"/>
  <c r="I15" i="12"/>
  <c r="J15" i="12" s="1"/>
  <c r="F41" i="11"/>
  <c r="I41" i="11" s="1"/>
  <c r="J41" i="11" s="1"/>
  <c r="F40" i="11"/>
  <c r="I40" i="11" s="1"/>
  <c r="J40" i="11" s="1"/>
  <c r="J36" i="11"/>
  <c r="J26" i="11"/>
  <c r="J25" i="11"/>
  <c r="I24" i="11"/>
  <c r="J24" i="11" s="1"/>
  <c r="F22" i="11"/>
  <c r="I15" i="11"/>
  <c r="J15" i="11" s="1"/>
  <c r="F40" i="10"/>
  <c r="I40" i="10" s="1"/>
  <c r="J40" i="10" s="1"/>
  <c r="F39" i="10"/>
  <c r="I39" i="10" s="1"/>
  <c r="J39" i="10" s="1"/>
  <c r="J35" i="10"/>
  <c r="J25" i="10"/>
  <c r="J24" i="10"/>
  <c r="J23" i="10"/>
  <c r="F22" i="10"/>
  <c r="F21" i="10"/>
  <c r="J15" i="10"/>
  <c r="F40" i="9"/>
  <c r="I40" i="9" s="1"/>
  <c r="J40" i="9" s="1"/>
  <c r="F39" i="9"/>
  <c r="I39" i="9" s="1"/>
  <c r="J39" i="9" s="1"/>
  <c r="J35" i="9"/>
  <c r="J25" i="9"/>
  <c r="J24" i="9"/>
  <c r="J23" i="9"/>
  <c r="J22" i="9"/>
  <c r="F12" i="8"/>
  <c r="J40" i="7"/>
  <c r="F40" i="7"/>
  <c r="J39" i="7"/>
  <c r="F39" i="7"/>
  <c r="J30" i="7"/>
  <c r="J35" i="7" s="1"/>
  <c r="J25" i="7"/>
  <c r="J24" i="7"/>
  <c r="J23" i="7"/>
  <c r="J22" i="7"/>
  <c r="J16" i="7"/>
  <c r="J15" i="7"/>
  <c r="J30" i="6"/>
  <c r="J35" i="6" s="1"/>
  <c r="F40" i="6"/>
  <c r="J40" i="6" s="1"/>
  <c r="F39" i="6"/>
  <c r="J39" i="6" s="1"/>
  <c r="J25" i="6"/>
  <c r="J24" i="6"/>
  <c r="J23" i="6"/>
  <c r="J22" i="6"/>
  <c r="J41" i="9" l="1"/>
  <c r="J40" i="12"/>
  <c r="J42" i="12" s="1"/>
  <c r="J17" i="7"/>
  <c r="J26" i="7"/>
  <c r="J26" i="6"/>
  <c r="J26" i="9"/>
  <c r="J41" i="7"/>
  <c r="J42" i="11"/>
  <c r="J27" i="13"/>
  <c r="J42" i="14"/>
  <c r="I15" i="15"/>
  <c r="J15" i="15" s="1"/>
  <c r="J17" i="15" s="1"/>
  <c r="J15" i="9"/>
  <c r="J17" i="9" s="1"/>
  <c r="J43" i="9" s="1"/>
  <c r="J21" i="16"/>
  <c r="J24" i="16"/>
  <c r="I15" i="16"/>
  <c r="J15" i="16" s="1"/>
  <c r="J17" i="16" s="1"/>
  <c r="J41" i="10"/>
  <c r="J42" i="13"/>
  <c r="J27" i="14"/>
  <c r="J26" i="15"/>
  <c r="J43" i="15" s="1"/>
  <c r="J43" i="7"/>
  <c r="J49" i="7" s="1"/>
  <c r="J41" i="6"/>
  <c r="J15" i="6"/>
  <c r="J17" i="6" s="1"/>
  <c r="J43" i="6" s="1"/>
  <c r="G22" i="10" l="1"/>
  <c r="J22" i="10" s="1"/>
  <c r="J53" i="15"/>
  <c r="J51" i="15"/>
  <c r="J49" i="15"/>
  <c r="J55" i="15" s="1"/>
  <c r="J57" i="15" s="1"/>
  <c r="J16" i="10"/>
  <c r="J17" i="10" s="1"/>
  <c r="J16" i="11"/>
  <c r="J18" i="11" s="1"/>
  <c r="J16" i="12"/>
  <c r="J18" i="12" s="1"/>
  <c r="I16" i="13"/>
  <c r="J16" i="13" s="1"/>
  <c r="J18" i="13" s="1"/>
  <c r="J44" i="13" s="1"/>
  <c r="I16" i="14"/>
  <c r="J16" i="14" s="1"/>
  <c r="J18" i="14" s="1"/>
  <c r="J44" i="14" s="1"/>
  <c r="J51" i="9"/>
  <c r="J53" i="9"/>
  <c r="J49" i="9"/>
  <c r="J53" i="7"/>
  <c r="J51" i="7"/>
  <c r="J53" i="6"/>
  <c r="J51" i="6"/>
  <c r="J49" i="6"/>
  <c r="J54" i="13" l="1"/>
  <c r="J52" i="13"/>
  <c r="J50" i="13"/>
  <c r="J56" i="13" s="1"/>
  <c r="J58" i="13" s="1"/>
  <c r="J54" i="14"/>
  <c r="J52" i="14"/>
  <c r="J50" i="14"/>
  <c r="J55" i="9"/>
  <c r="J57" i="9" s="1"/>
  <c r="E8" i="8" s="1"/>
  <c r="F8" i="8" s="1"/>
  <c r="J55" i="7"/>
  <c r="J57" i="7" s="1"/>
  <c r="J55" i="6"/>
  <c r="J57" i="6" s="1"/>
  <c r="I21" i="10" l="1"/>
  <c r="J21" i="10" s="1"/>
  <c r="J26" i="10" s="1"/>
  <c r="J43" i="10" s="1"/>
  <c r="I22" i="11"/>
  <c r="J22" i="11" s="1"/>
  <c r="J56" i="14"/>
  <c r="J58" i="14" s="1"/>
  <c r="I23" i="11" l="1"/>
  <c r="J23" i="11" s="1"/>
  <c r="J27" i="11" s="1"/>
  <c r="J44" i="11" s="1"/>
  <c r="J54" i="12"/>
  <c r="J52" i="12"/>
  <c r="J50" i="12"/>
  <c r="J49" i="10"/>
  <c r="J53" i="10"/>
  <c r="J51" i="10"/>
  <c r="J56" i="12" l="1"/>
  <c r="J58" i="12" s="1"/>
  <c r="E11" i="8" s="1"/>
  <c r="F11" i="8" s="1"/>
  <c r="J55" i="10"/>
  <c r="J57" i="10" s="1"/>
  <c r="E9" i="8" s="1"/>
  <c r="F9" i="8" s="1"/>
  <c r="J52" i="11"/>
  <c r="J50" i="11"/>
  <c r="J54" i="11"/>
  <c r="J56" i="11" l="1"/>
  <c r="J58" i="11" s="1"/>
  <c r="E10" i="8" s="1"/>
  <c r="F10" i="8" s="1"/>
  <c r="F13" i="8" s="1"/>
  <c r="F15" i="8" s="1"/>
  <c r="F10" i="4" s="1"/>
  <c r="F13" i="4" s="1"/>
  <c r="F14" i="4" l="1"/>
  <c r="F15" i="4"/>
  <c r="F16" i="4"/>
  <c r="F17" i="4" l="1"/>
  <c r="F19" i="4" s="1"/>
  <c r="I23" i="12"/>
  <c r="J23" i="12"/>
  <c r="J27" i="12"/>
  <c r="J44" i="12"/>
  <c r="J22" i="16"/>
  <c r="J26" i="16" s="1"/>
  <c r="J43" i="16" s="1"/>
  <c r="J51" i="16" s="1"/>
  <c r="J49" i="16" l="1"/>
  <c r="J53" i="16"/>
  <c r="J55" i="16" l="1"/>
  <c r="J57" i="16" s="1"/>
</calcChain>
</file>

<file path=xl/sharedStrings.xml><?xml version="1.0" encoding="utf-8"?>
<sst xmlns="http://schemas.openxmlformats.org/spreadsheetml/2006/main" count="1093" uniqueCount="228">
  <si>
    <t>Localización</t>
  </si>
  <si>
    <t>Unidad</t>
  </si>
  <si>
    <t>Canal Interceptor Occidental</t>
  </si>
  <si>
    <t>m.</t>
  </si>
  <si>
    <t>Canal Interceptor Oriental</t>
  </si>
  <si>
    <t>Canal M</t>
  </si>
  <si>
    <t>Canal M 1-3</t>
  </si>
  <si>
    <t>Canal VI</t>
  </si>
  <si>
    <t>Canal VI- 1</t>
  </si>
  <si>
    <t>Canal VI- 2</t>
  </si>
  <si>
    <t>Canal VI- 3</t>
  </si>
  <si>
    <t>Canal V-1</t>
  </si>
  <si>
    <t>Canal V-2</t>
  </si>
  <si>
    <t>Canal V-4</t>
  </si>
  <si>
    <t>Canal IV</t>
  </si>
  <si>
    <t>Canal III</t>
  </si>
  <si>
    <t>Canal III-1</t>
  </si>
  <si>
    <t>Canal III-2</t>
  </si>
  <si>
    <t>Canal III-3</t>
  </si>
  <si>
    <t>Canal III-4</t>
  </si>
  <si>
    <t>Canal III-5</t>
  </si>
  <si>
    <t>Canal II</t>
  </si>
  <si>
    <t>Canal II-1</t>
  </si>
  <si>
    <t>Canal II-2</t>
  </si>
  <si>
    <t>Canal II-3</t>
  </si>
  <si>
    <t>Canal II-4</t>
  </si>
  <si>
    <t>Canal II-5</t>
  </si>
  <si>
    <t>TOTAL</t>
  </si>
  <si>
    <t>ml</t>
  </si>
  <si>
    <t>Canal III A</t>
  </si>
  <si>
    <t>Canal III A-1</t>
  </si>
  <si>
    <t>Canal III A-1-1</t>
  </si>
  <si>
    <t>Canal III A-1-2</t>
  </si>
  <si>
    <t>Canal III A-2</t>
  </si>
  <si>
    <t>Canal III A-3</t>
  </si>
  <si>
    <t>Canal III A-4</t>
  </si>
  <si>
    <t>Canal Lateral III-1</t>
  </si>
  <si>
    <t>Canal Lateral III-2</t>
  </si>
  <si>
    <t>Canal Lateral III-3</t>
  </si>
  <si>
    <t>Canal Lateral III-4</t>
  </si>
  <si>
    <t>Canal Lateral III-5</t>
  </si>
  <si>
    <t>Canal Lateral III-6</t>
  </si>
  <si>
    <t>Canal Lateral III-7</t>
  </si>
  <si>
    <t>Canal Lateral III-8</t>
  </si>
  <si>
    <t>Canal Lateral III-9</t>
  </si>
  <si>
    <t>Canal Lateral III-10</t>
  </si>
  <si>
    <t>Canal Lateral III-11</t>
  </si>
  <si>
    <t>Canal Principal</t>
  </si>
  <si>
    <t>Canal de Aducción Boquitas</t>
  </si>
  <si>
    <t>Canal R1</t>
  </si>
  <si>
    <t>Item</t>
  </si>
  <si>
    <t>CONSTRUCCION DE PUENTES PEATONALES CANALES DE RIEGO / DRENAJE</t>
  </si>
  <si>
    <t>DESCRIPCION</t>
  </si>
  <si>
    <t>ITEM</t>
  </si>
  <si>
    <t>VALOR TOTAL</t>
  </si>
  <si>
    <t>UNIDAD</t>
  </si>
  <si>
    <t>CANTIDAD</t>
  </si>
  <si>
    <t>CANAL SECUNDARIO</t>
  </si>
  <si>
    <t>CANAL TERCIARIO</t>
  </si>
  <si>
    <t>ANÁLISIS DE PRECIOS UNITARIOS - A.P.U.</t>
  </si>
  <si>
    <t>UNIDAD  : m3</t>
  </si>
  <si>
    <t>1. COSTOS DIRECTOS</t>
  </si>
  <si>
    <t>I. EQUIPO</t>
  </si>
  <si>
    <t>Descripción</t>
  </si>
  <si>
    <t>Tipo</t>
  </si>
  <si>
    <t>Tarifa/Dia</t>
  </si>
  <si>
    <t>Rendimiento</t>
  </si>
  <si>
    <t>Valor-Unit.</t>
  </si>
  <si>
    <t>VR. TOTAL</t>
  </si>
  <si>
    <t>HERRAMIENTA MENOR (10%MO)</t>
  </si>
  <si>
    <t>Sub-Total</t>
  </si>
  <si>
    <t>II. MATERIALES EN OBRA</t>
  </si>
  <si>
    <t>Cantidad</t>
  </si>
  <si>
    <t>Precio-Unit.</t>
  </si>
  <si>
    <t>Desp.</t>
  </si>
  <si>
    <t>III. TRANSPORTES</t>
  </si>
  <si>
    <t>Recurso</t>
  </si>
  <si>
    <t>Vol. Peso ó Cant.</t>
  </si>
  <si>
    <t>Distancia (Km)</t>
  </si>
  <si>
    <t>Und-Km</t>
  </si>
  <si>
    <t>Tarifa/Und-km</t>
  </si>
  <si>
    <t/>
  </si>
  <si>
    <t>IV. MANO DE OBRA</t>
  </si>
  <si>
    <t>Trabajador</t>
  </si>
  <si>
    <t>Jornal</t>
  </si>
  <si>
    <t>Prestaciones</t>
  </si>
  <si>
    <t>Jornal Total</t>
  </si>
  <si>
    <t>OFICIAL</t>
  </si>
  <si>
    <t>AYUDANTE</t>
  </si>
  <si>
    <t>TOTAL COSTOS DIRECTOS</t>
  </si>
  <si>
    <t>2. COSTOS INDIRECTOS</t>
  </si>
  <si>
    <t xml:space="preserve">ELABORO: </t>
  </si>
  <si>
    <t>REVISÓ:</t>
  </si>
  <si>
    <t>APROBÓ:</t>
  </si>
  <si>
    <t>CONCEPTO</t>
  </si>
  <si>
    <t>% C.D.</t>
  </si>
  <si>
    <t>VALOR</t>
  </si>
  <si>
    <t>ADMINISTRACION</t>
  </si>
  <si>
    <t>FIRMA AUTORIZADA</t>
  </si>
  <si>
    <t>IMPREVISTOS</t>
  </si>
  <si>
    <t>UTILIDAD</t>
  </si>
  <si>
    <t>TOTAL COSTOS INDIRECTOS</t>
  </si>
  <si>
    <t>RETRO EXCAVADORA BRAZO LARGO</t>
  </si>
  <si>
    <t>m</t>
  </si>
  <si>
    <t>Tarifa/hr</t>
  </si>
  <si>
    <t>VJ</t>
  </si>
  <si>
    <t>Camabaja</t>
  </si>
  <si>
    <t>Valor total</t>
  </si>
  <si>
    <t>Longitud Canal</t>
  </si>
  <si>
    <t>CANAL PRIMARIOS</t>
  </si>
  <si>
    <t xml:space="preserve">Valor total </t>
  </si>
  <si>
    <t xml:space="preserve">Cantidad </t>
  </si>
  <si>
    <t>Un</t>
  </si>
  <si>
    <t>Canal V-5</t>
  </si>
  <si>
    <t>Canal V- 3</t>
  </si>
  <si>
    <t>Canal V-6</t>
  </si>
  <si>
    <t>Construccion de puentes peatonales en concreto</t>
  </si>
  <si>
    <t xml:space="preserve">Suministro e instalacion de compuertas según especificaciones </t>
  </si>
  <si>
    <t>CUADRO RESUMEN DE CANTIDADES DE OBRA</t>
  </si>
  <si>
    <t>VR. UNITARIO</t>
  </si>
  <si>
    <t>EXCAVACION MANUAL</t>
  </si>
  <si>
    <t>m3</t>
  </si>
  <si>
    <t>BASES EN CONCRETO REFORZADO</t>
  </si>
  <si>
    <t>TABLERO EN CONCRETO DE 4000 PSI</t>
  </si>
  <si>
    <t>BORDILLO GUARDA RUEDA</t>
  </si>
  <si>
    <t>BARANDA METALICA DOS LADOS</t>
  </si>
  <si>
    <t>UNIDAD  : UNIDAD</t>
  </si>
  <si>
    <t>VIBRADOR</t>
  </si>
  <si>
    <t>CONCRETO 3000 PSI</t>
  </si>
  <si>
    <t>ACERO DE REFUERZO</t>
  </si>
  <si>
    <t>UNIDAD  : m</t>
  </si>
  <si>
    <t>VIBRADOR A GASOLINA</t>
  </si>
  <si>
    <t>FORMALETA</t>
  </si>
  <si>
    <t>Kg</t>
  </si>
  <si>
    <t>MEZCLADORA 2 BULTOS</t>
  </si>
  <si>
    <t>CEMENTO</t>
  </si>
  <si>
    <t>ARENA DE RIO</t>
  </si>
  <si>
    <t>TRITURADO T.M.. 3/4"</t>
  </si>
  <si>
    <t>UNIDAD  : Kg</t>
  </si>
  <si>
    <t>ACERO DE REFUERZO 60000 PSI</t>
  </si>
  <si>
    <t>ALAMBRE NEGRO PARA AMARRE</t>
  </si>
  <si>
    <t>CHAZAS 1,4 X 0,7</t>
  </si>
  <si>
    <t>GATOS</t>
  </si>
  <si>
    <t>CERCHAS</t>
  </si>
  <si>
    <t>LISTONES</t>
  </si>
  <si>
    <t>PUNTILLAS</t>
  </si>
  <si>
    <t>LB</t>
  </si>
  <si>
    <t>COSTO TOTAL PROYECTO</t>
  </si>
  <si>
    <t xml:space="preserve">Valor unitario </t>
  </si>
  <si>
    <t xml:space="preserve">RESUMEN DEL PRESUPUESTO OFICIAL </t>
  </si>
  <si>
    <t xml:space="preserve">ADMINISTRACION </t>
  </si>
  <si>
    <t xml:space="preserve">IMPREVISTOS </t>
  </si>
  <si>
    <t xml:space="preserve">UTILIDAD </t>
  </si>
  <si>
    <t xml:space="preserve">VALOR TOTAL OBRA </t>
  </si>
  <si>
    <t xml:space="preserve">VALOR OBRA COSTO DIRECTO </t>
  </si>
  <si>
    <t xml:space="preserve">ML </t>
  </si>
  <si>
    <t xml:space="preserve">Rendimiento (Ml) </t>
  </si>
  <si>
    <t>Rendimiento (Ml)</t>
  </si>
  <si>
    <t xml:space="preserve">RETRO EXCAVADORA BRAZO CORTO </t>
  </si>
  <si>
    <t>UND</t>
  </si>
  <si>
    <t xml:space="preserve">material seleccionado </t>
  </si>
  <si>
    <t xml:space="preserve">saco de 50 kg </t>
  </si>
  <si>
    <t xml:space="preserve">m3 </t>
  </si>
  <si>
    <t>Und</t>
  </si>
  <si>
    <t>REPUBLICA DE COLOMBIA</t>
  </si>
  <si>
    <t>ANÁLISIS DE PRECIOS UNITARIOS</t>
  </si>
  <si>
    <t>UNIDAD  : UND</t>
  </si>
  <si>
    <t>Tarifa/Hora</t>
  </si>
  <si>
    <t xml:space="preserve">Planta electrica </t>
  </si>
  <si>
    <t>GL</t>
  </si>
  <si>
    <t xml:space="preserve">Cortadora </t>
  </si>
  <si>
    <t>Herramientas Menores</t>
  </si>
  <si>
    <t xml:space="preserve">Lamina de hierro 12 mm </t>
  </si>
  <si>
    <t>Angulos en hierro 3/8x3x6</t>
  </si>
  <si>
    <t>Disco de corte 4x4</t>
  </si>
  <si>
    <t>Tubo de 2,5" calibre 11mm</t>
  </si>
  <si>
    <t>soldadura 6011x1/8</t>
  </si>
  <si>
    <t>KG</t>
  </si>
  <si>
    <t>soldadura 7011x1/8</t>
  </si>
  <si>
    <t xml:space="preserve">Tornilleria </t>
  </si>
  <si>
    <t>Brocas de 1/4 3/8 1/2</t>
  </si>
  <si>
    <t>Gl</t>
  </si>
  <si>
    <t>Disco de pulir 4x4</t>
  </si>
  <si>
    <t>Disco de corte 14"</t>
  </si>
  <si>
    <t>Material</t>
  </si>
  <si>
    <t>Vol-peso ó Cant.</t>
  </si>
  <si>
    <t>Distancia</t>
  </si>
  <si>
    <t>M3-Km</t>
  </si>
  <si>
    <t>Tarifa</t>
  </si>
  <si>
    <t>Total Costo Directo</t>
  </si>
  <si>
    <t>Total Costo Directo Redondeado</t>
  </si>
  <si>
    <t>HERRERO (2)</t>
  </si>
  <si>
    <t>AYUDANTE (2)</t>
  </si>
  <si>
    <t>Valor unitario ($/ML)</t>
  </si>
  <si>
    <t>PRESUPUESTO DE INTERVENCION DE CANALES DE DRENAJE MANATI</t>
  </si>
  <si>
    <t>PRESUPUESTO RESUMEN INTERVENCION CANALES DE DRENAJE SANTA LUCÍA Y MANATI</t>
  </si>
  <si>
    <t xml:space="preserve">CANALES PRIMARIOS </t>
  </si>
  <si>
    <t xml:space="preserve">CANALES SECUNDARIOS </t>
  </si>
  <si>
    <t xml:space="preserve">CANALES TERCIARIOS </t>
  </si>
  <si>
    <t>PRESUPUESTO INTERVENCION CANALES DE DRENAJE DE SANTA LUCÍA</t>
  </si>
  <si>
    <t xml:space="preserve"> DISTRITOS DE RIEGO /DRENAJE DPTO. DE ATLANTICO</t>
  </si>
  <si>
    <t xml:space="preserve">OBJETO: </t>
  </si>
  <si>
    <t xml:space="preserve">Limpieza de canales Primarios de drenaje con retroexcavadora de barzo largo. Incluye impieza de vegetacion, roceria, desmonte y´perfilada de taludes. </t>
  </si>
  <si>
    <t xml:space="preserve">          Relleno de sacos con material seleccionado</t>
  </si>
  <si>
    <t>OBJETO:</t>
  </si>
  <si>
    <t xml:space="preserve">ITEM:        BASE EN CONCRETO REFORZADO        </t>
  </si>
  <si>
    <t xml:space="preserve">OBJETO:  </t>
  </si>
  <si>
    <t xml:space="preserve">ITEM:            TABLERO EN CONCRETO 4000 PSI    </t>
  </si>
  <si>
    <t xml:space="preserve">ITEM:                BORDILLO GUARDA RUEDA EN CONCRETO 3000 PSI </t>
  </si>
  <si>
    <t xml:space="preserve">ITEM:             CONCRETO 3000 PSI (BASICO)   </t>
  </si>
  <si>
    <t xml:space="preserve">ITEM:        CONCRETO 4000 PSI (BASICO)        </t>
  </si>
  <si>
    <t xml:space="preserve">ITEM:            ACERO DE REFUERZO (BASICO)    </t>
  </si>
  <si>
    <t>ITEM:                FORMALETA (BASICO)</t>
  </si>
  <si>
    <t>ITEM:      Relleno de sacos con material seleccionado</t>
  </si>
  <si>
    <t xml:space="preserve"> Limpieza de canales secundarios  de drenaje con retroexcavadora de brazo largo. Incluye impieza de vegetacion, roceria, desmonte y´perfilada de taludes.</t>
  </si>
  <si>
    <t>ITEM:  Suministro e instalacion de compuertas según especificaciones .</t>
  </si>
  <si>
    <t>VALOR UNITARIO / METRO L</t>
  </si>
  <si>
    <t xml:space="preserve">ITEM:    EXCAVACION MANUAL        </t>
  </si>
  <si>
    <t>ITEM:             Limpieza de canales secundarios y terciarios de drenaje con retroexcavadora de brazo largo. Incluye impieza de vegetacion, roceria, desmonte y´perfilada de taludes.No incluye disposicion final a sitio autorizado.</t>
  </si>
  <si>
    <t>Equipo de Soldadura</t>
  </si>
  <si>
    <t>Tubo de hierro 2"</t>
  </si>
  <si>
    <t>ITEM: SUMINISTRO E INSTALACION DE BARANDAS</t>
  </si>
  <si>
    <t>OBJETO: RELLENO MATERIAL SELECCIONADO</t>
  </si>
  <si>
    <t xml:space="preserve">ITEM:                </t>
  </si>
  <si>
    <t>materialseleccionado</t>
  </si>
  <si>
    <t>M3</t>
  </si>
  <si>
    <t xml:space="preserve">ITEM:            </t>
  </si>
  <si>
    <t xml:space="preserve"> Limpieza de canales terciarios  de drenaje con retroexcavadora de brazo largo. Incluye impieza de vegetacion, roceria, desmonte y´perfilada de taludes.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</si>
</sst>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"/>
    <numFmt numFmtId="167" formatCode="#,##0.00_ ;\-#,##0.00\ "/>
    <numFmt numFmtId="168" formatCode="_-&quot;$&quot;* #,##0.00_-;\-&quot;$&quot;* #,##0.00_-;_-&quot;$&quot;* &quot;-&quot;_-;_-@_-"/>
    <numFmt numFmtId="169" formatCode="_ * #,##0.00_ ;_ * \-#,##0.00_ ;_ * &quot;-&quot;??_ ;_ @_ "/>
    <numFmt numFmtId="170" formatCode="#,##0.000"/>
    <numFmt numFmtId="171" formatCode="&quot;$&quot;\ #,##0.00"/>
    <numFmt numFmtId="172" formatCode="_-&quot;$&quot;\ * #,##0_-;\-&quot;$&quot;\ * #,##0_-;_-&quot;$&quot;\ * &quot;-&quot;??_-;_-@_-"/>
    <numFmt numFmtId="173" formatCode="#,##0.0000_ ;\-#,##0.0000\ "/>
    <numFmt numFmtId="174" formatCode="_(* #,##0.00_);_(* \(#,##0.00\);_(* &quot;-&quot;??_);_(@_)"/>
    <numFmt numFmtId="175" formatCode="_-&quot;$&quot;\ * #,##0.00_-;\-&quot;$&quot;\ * #,##0.00_-;_-&quot;$&quot;\ * &quot;-&quot;_-;_-@_-"/>
    <numFmt numFmtId="176" formatCode="#,##0_ ;\-#,##0\ "/>
    <numFmt numFmtId="177" formatCode="#,##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" fillId="0" borderId="0"/>
    <xf numFmtId="171" fontId="3" fillId="0" borderId="0" applyFont="0" applyFill="0" applyBorder="0" applyAlignment="0" applyProtection="0"/>
  </cellStyleXfs>
  <cellXfs count="430">
    <xf numFmtId="0" fontId="0" fillId="0" borderId="0" xfId="0"/>
    <xf numFmtId="0" fontId="0" fillId="0" borderId="17" xfId="0" applyBorder="1"/>
    <xf numFmtId="0" fontId="0" fillId="0" borderId="18" xfId="0" applyBorder="1"/>
    <xf numFmtId="0" fontId="2" fillId="0" borderId="17" xfId="0" applyFont="1" applyBorder="1" applyAlignment="1">
      <alignment horizontal="centerContinuous"/>
    </xf>
    <xf numFmtId="0" fontId="0" fillId="0" borderId="18" xfId="0" applyBorder="1" applyAlignment="1">
      <alignment horizontal="centerContinuous"/>
    </xf>
    <xf numFmtId="0" fontId="3" fillId="0" borderId="17" xfId="0" applyFont="1" applyBorder="1"/>
    <xf numFmtId="0" fontId="2" fillId="0" borderId="19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6" fillId="0" borderId="20" xfId="0" applyFont="1" applyBorder="1" applyAlignment="1">
      <alignment horizontal="centerContinuous"/>
    </xf>
    <xf numFmtId="0" fontId="6" fillId="0" borderId="0" xfId="0" applyFont="1"/>
    <xf numFmtId="0" fontId="5" fillId="0" borderId="0" xfId="0" applyFont="1"/>
    <xf numFmtId="0" fontId="6" fillId="0" borderId="20" xfId="0" applyFont="1" applyBorder="1"/>
    <xf numFmtId="0" fontId="2" fillId="0" borderId="21" xfId="0" applyFont="1" applyBorder="1" applyAlignment="1">
      <alignment horizontal="centerContinuous"/>
    </xf>
    <xf numFmtId="0" fontId="6" fillId="0" borderId="22" xfId="0" applyFont="1" applyBorder="1" applyAlignment="1">
      <alignment horizontal="centerContinuous"/>
    </xf>
    <xf numFmtId="0" fontId="6" fillId="0" borderId="23" xfId="0" applyFont="1" applyBorder="1" applyAlignment="1">
      <alignment horizontal="centerContinuous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2" fillId="0" borderId="0" xfId="0" quotePrefix="1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6" fillId="0" borderId="3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70" xfId="0" applyFont="1" applyBorder="1" applyAlignment="1">
      <alignment horizontal="center"/>
    </xf>
    <xf numFmtId="0" fontId="6" fillId="0" borderId="70" xfId="0" quotePrefix="1" applyFont="1" applyBorder="1" applyAlignment="1">
      <alignment horizontal="center"/>
    </xf>
    <xf numFmtId="0" fontId="6" fillId="0" borderId="53" xfId="0" applyFont="1" applyBorder="1"/>
    <xf numFmtId="0" fontId="6" fillId="0" borderId="3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3" fontId="6" fillId="0" borderId="28" xfId="0" applyNumberFormat="1" applyFont="1" applyBorder="1" applyAlignment="1">
      <alignment horizontal="center"/>
    </xf>
    <xf numFmtId="4" fontId="6" fillId="0" borderId="2" xfId="0" applyNumberFormat="1" applyFont="1" applyBorder="1"/>
    <xf numFmtId="4" fontId="6" fillId="0" borderId="1" xfId="0" applyNumberFormat="1" applyFont="1" applyBorder="1"/>
    <xf numFmtId="0" fontId="6" fillId="0" borderId="52" xfId="0" applyFont="1" applyBorder="1"/>
    <xf numFmtId="3" fontId="6" fillId="0" borderId="2" xfId="0" applyNumberFormat="1" applyFont="1" applyBorder="1" applyAlignment="1">
      <alignment horizontal="center"/>
    </xf>
    <xf numFmtId="3" fontId="6" fillId="0" borderId="2" xfId="0" applyNumberFormat="1" applyFont="1" applyBorder="1"/>
    <xf numFmtId="0" fontId="6" fillId="0" borderId="54" xfId="0" applyFont="1" applyBorder="1"/>
    <xf numFmtId="0" fontId="6" fillId="0" borderId="50" xfId="0" applyFont="1" applyBorder="1" applyAlignment="1">
      <alignment horizontal="left"/>
    </xf>
    <xf numFmtId="0" fontId="6" fillId="0" borderId="71" xfId="0" applyFont="1" applyBorder="1" applyAlignment="1">
      <alignment horizontal="left"/>
    </xf>
    <xf numFmtId="0" fontId="6" fillId="0" borderId="72" xfId="0" applyFont="1" applyBorder="1" applyAlignment="1">
      <alignment horizontal="left"/>
    </xf>
    <xf numFmtId="3" fontId="6" fillId="0" borderId="44" xfId="0" applyNumberFormat="1" applyFont="1" applyBorder="1" applyAlignment="1">
      <alignment horizontal="center"/>
    </xf>
    <xf numFmtId="3" fontId="6" fillId="0" borderId="44" xfId="0" applyNumberFormat="1" applyFont="1" applyBorder="1"/>
    <xf numFmtId="177" fontId="6" fillId="0" borderId="44" xfId="0" applyNumberFormat="1" applyFont="1" applyBorder="1"/>
    <xf numFmtId="0" fontId="6" fillId="0" borderId="0" xfId="0" applyFont="1" applyAlignment="1">
      <alignment horizontal="left"/>
    </xf>
    <xf numFmtId="3" fontId="6" fillId="0" borderId="0" xfId="0" applyNumberFormat="1" applyFont="1" applyAlignment="1">
      <alignment horizontal="center"/>
    </xf>
    <xf numFmtId="3" fontId="6" fillId="0" borderId="0" xfId="0" applyNumberFormat="1" applyFont="1"/>
    <xf numFmtId="4" fontId="6" fillId="0" borderId="0" xfId="0" applyNumberFormat="1" applyFont="1"/>
    <xf numFmtId="0" fontId="6" fillId="0" borderId="33" xfId="0" applyFont="1" applyBorder="1"/>
    <xf numFmtId="0" fontId="2" fillId="0" borderId="0" xfId="0" applyFont="1" applyAlignment="1">
      <alignment horizontal="center"/>
    </xf>
    <xf numFmtId="4" fontId="6" fillId="0" borderId="12" xfId="0" applyNumberFormat="1" applyFont="1" applyBorder="1"/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70" xfId="0" applyFont="1" applyBorder="1" applyAlignment="1">
      <alignment horizontal="centerContinuous"/>
    </xf>
    <xf numFmtId="0" fontId="6" fillId="0" borderId="31" xfId="0" applyFont="1" applyBorder="1"/>
    <xf numFmtId="0" fontId="6" fillId="0" borderId="3" xfId="0" applyFont="1" applyBorder="1"/>
    <xf numFmtId="0" fontId="6" fillId="0" borderId="8" xfId="0" applyFont="1" applyBorder="1"/>
    <xf numFmtId="170" fontId="6" fillId="0" borderId="2" xfId="0" applyNumberFormat="1" applyFont="1" applyBorder="1"/>
    <xf numFmtId="0" fontId="6" fillId="0" borderId="50" xfId="0" applyFont="1" applyBorder="1"/>
    <xf numFmtId="0" fontId="6" fillId="0" borderId="71" xfId="0" applyFont="1" applyBorder="1"/>
    <xf numFmtId="0" fontId="6" fillId="0" borderId="72" xfId="0" applyFont="1" applyBorder="1"/>
    <xf numFmtId="0" fontId="6" fillId="0" borderId="23" xfId="0" applyFont="1" applyBorder="1"/>
    <xf numFmtId="170" fontId="6" fillId="0" borderId="0" xfId="0" applyNumberFormat="1" applyFont="1"/>
    <xf numFmtId="0" fontId="6" fillId="0" borderId="63" xfId="0" applyFont="1" applyBorder="1" applyAlignment="1">
      <alignment horizontal="left"/>
    </xf>
    <xf numFmtId="0" fontId="6" fillId="0" borderId="37" xfId="0" applyFont="1" applyBorder="1" applyAlignment="1">
      <alignment horizontal="center"/>
    </xf>
    <xf numFmtId="0" fontId="6" fillId="0" borderId="46" xfId="0" applyFont="1" applyBorder="1"/>
    <xf numFmtId="4" fontId="6" fillId="0" borderId="2" xfId="0" applyNumberFormat="1" applyFont="1" applyBorder="1" applyAlignment="1">
      <alignment horizontal="center"/>
    </xf>
    <xf numFmtId="4" fontId="6" fillId="0" borderId="14" xfId="0" applyNumberFormat="1" applyFont="1" applyBorder="1"/>
    <xf numFmtId="0" fontId="6" fillId="0" borderId="2" xfId="0" applyFont="1" applyBorder="1"/>
    <xf numFmtId="166" fontId="6" fillId="0" borderId="2" xfId="0" applyNumberFormat="1" applyFont="1" applyBorder="1"/>
    <xf numFmtId="0" fontId="6" fillId="0" borderId="64" xfId="0" applyFont="1" applyBorder="1"/>
    <xf numFmtId="0" fontId="6" fillId="0" borderId="73" xfId="0" applyFont="1" applyBorder="1"/>
    <xf numFmtId="0" fontId="6" fillId="0" borderId="55" xfId="0" applyFont="1" applyBorder="1"/>
    <xf numFmtId="0" fontId="6" fillId="0" borderId="42" xfId="0" applyFont="1" applyBorder="1"/>
    <xf numFmtId="0" fontId="6" fillId="0" borderId="24" xfId="0" applyFont="1" applyBorder="1" applyAlignment="1">
      <alignment horizontal="left"/>
    </xf>
    <xf numFmtId="0" fontId="6" fillId="0" borderId="25" xfId="0" applyFont="1" applyBorder="1" applyAlignment="1">
      <alignment horizontal="center"/>
    </xf>
    <xf numFmtId="171" fontId="6" fillId="0" borderId="2" xfId="12" applyFont="1" applyBorder="1"/>
    <xf numFmtId="9" fontId="6" fillId="0" borderId="2" xfId="3" applyFont="1" applyBorder="1" applyAlignment="1">
      <alignment horizontal="center"/>
    </xf>
    <xf numFmtId="4" fontId="6" fillId="0" borderId="47" xfId="0" applyNumberFormat="1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Continuous"/>
    </xf>
    <xf numFmtId="171" fontId="4" fillId="0" borderId="34" xfId="7" applyNumberFormat="1" applyFont="1" applyBorder="1" applyAlignment="1">
      <alignment horizontal="center"/>
    </xf>
    <xf numFmtId="9" fontId="4" fillId="0" borderId="13" xfId="3" applyFont="1" applyBorder="1" applyAlignment="1">
      <alignment horizontal="center"/>
    </xf>
    <xf numFmtId="4" fontId="4" fillId="0" borderId="13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" fontId="2" fillId="0" borderId="2" xfId="0" applyNumberFormat="1" applyFont="1" applyBorder="1"/>
    <xf numFmtId="0" fontId="7" fillId="0" borderId="0" xfId="0" applyFont="1"/>
    <xf numFmtId="0" fontId="7" fillId="0" borderId="0" xfId="0" applyFont="1" applyAlignment="1">
      <alignment horizontal="left"/>
    </xf>
    <xf numFmtId="166" fontId="7" fillId="0" borderId="0" xfId="0" applyNumberFormat="1" applyFont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2" fontId="7" fillId="0" borderId="0" xfId="0" applyNumberFormat="1" applyFont="1"/>
    <xf numFmtId="42" fontId="7" fillId="0" borderId="0" xfId="2" applyFont="1" applyFill="1"/>
    <xf numFmtId="0" fontId="7" fillId="0" borderId="2" xfId="0" applyFont="1" applyBorder="1"/>
    <xf numFmtId="9" fontId="7" fillId="0" borderId="0" xfId="0" applyNumberFormat="1" applyFont="1"/>
    <xf numFmtId="0" fontId="7" fillId="0" borderId="58" xfId="0" applyFont="1" applyBorder="1"/>
    <xf numFmtId="0" fontId="7" fillId="0" borderId="65" xfId="0" applyFont="1" applyBorder="1"/>
    <xf numFmtId="42" fontId="7" fillId="0" borderId="59" xfId="2" applyFont="1" applyFill="1" applyBorder="1"/>
    <xf numFmtId="0" fontId="7" fillId="0" borderId="60" xfId="0" applyFont="1" applyBorder="1" applyAlignment="1">
      <alignment horizontal="left"/>
    </xf>
    <xf numFmtId="9" fontId="7" fillId="0" borderId="2" xfId="0" applyNumberFormat="1" applyFont="1" applyBorder="1"/>
    <xf numFmtId="9" fontId="7" fillId="0" borderId="2" xfId="3" applyFont="1" applyFill="1" applyBorder="1"/>
    <xf numFmtId="9" fontId="7" fillId="0" borderId="1" xfId="3" applyFont="1" applyFill="1" applyBorder="1"/>
    <xf numFmtId="42" fontId="7" fillId="0" borderId="61" xfId="2" applyFont="1" applyFill="1" applyBorder="1"/>
    <xf numFmtId="42" fontId="8" fillId="0" borderId="61" xfId="2" applyFont="1" applyFill="1" applyBorder="1"/>
    <xf numFmtId="42" fontId="8" fillId="0" borderId="62" xfId="2" applyFont="1" applyFill="1" applyBorder="1"/>
    <xf numFmtId="175" fontId="7" fillId="0" borderId="0" xfId="2" applyNumberFormat="1" applyFont="1" applyFill="1"/>
    <xf numFmtId="165" fontId="7" fillId="0" borderId="0" xfId="0" applyNumberFormat="1" applyFont="1"/>
    <xf numFmtId="0" fontId="7" fillId="0" borderId="1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42" fontId="7" fillId="0" borderId="2" xfId="2" applyFont="1" applyFill="1" applyBorder="1" applyAlignment="1">
      <alignment horizontal="center" vertical="center" wrapText="1"/>
    </xf>
    <xf numFmtId="4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42" fontId="7" fillId="0" borderId="28" xfId="2" applyFont="1" applyFill="1" applyBorder="1" applyAlignment="1">
      <alignment horizontal="left" vertical="center"/>
    </xf>
    <xf numFmtId="3" fontId="7" fillId="0" borderId="2" xfId="0" applyNumberFormat="1" applyFont="1" applyBorder="1" applyAlignment="1">
      <alignment horizontal="center" vertical="center"/>
    </xf>
    <xf numFmtId="42" fontId="7" fillId="0" borderId="2" xfId="2" applyFont="1" applyFill="1" applyBorder="1" applyAlignment="1">
      <alignment horizontal="center" vertical="center"/>
    </xf>
    <xf numFmtId="175" fontId="7" fillId="0" borderId="2" xfId="2" applyNumberFormat="1" applyFont="1" applyFill="1" applyBorder="1" applyAlignment="1">
      <alignment vertical="center"/>
    </xf>
    <xf numFmtId="3" fontId="7" fillId="0" borderId="2" xfId="0" applyNumberFormat="1" applyFont="1" applyBorder="1" applyAlignment="1">
      <alignment horizontal="center" vertical="center" wrapText="1"/>
    </xf>
    <xf numFmtId="1" fontId="7" fillId="0" borderId="2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3" fontId="7" fillId="0" borderId="13" xfId="0" applyNumberFormat="1" applyFont="1" applyBorder="1"/>
    <xf numFmtId="3" fontId="7" fillId="0" borderId="0" xfId="0" applyNumberFormat="1" applyFont="1" applyAlignment="1">
      <alignment horizontal="center"/>
    </xf>
    <xf numFmtId="3" fontId="7" fillId="0" borderId="14" xfId="0" applyNumberFormat="1" applyFont="1" applyBorder="1"/>
    <xf numFmtId="44" fontId="7" fillId="0" borderId="0" xfId="1" applyFont="1" applyFill="1"/>
    <xf numFmtId="3" fontId="7" fillId="0" borderId="15" xfId="0" applyNumberFormat="1" applyFont="1" applyBorder="1"/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/>
    </xf>
    <xf numFmtId="42" fontId="7" fillId="0" borderId="6" xfId="0" applyNumberFormat="1" applyFont="1" applyBorder="1"/>
    <xf numFmtId="42" fontId="7" fillId="0" borderId="7" xfId="0" applyNumberFormat="1" applyFont="1" applyBorder="1"/>
    <xf numFmtId="42" fontId="7" fillId="0" borderId="2" xfId="2" applyFont="1" applyFill="1" applyBorder="1" applyAlignment="1">
      <alignment vertical="center"/>
    </xf>
    <xf numFmtId="172" fontId="7" fillId="0" borderId="2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44" fontId="7" fillId="0" borderId="0" xfId="1" applyFont="1"/>
    <xf numFmtId="0" fontId="7" fillId="0" borderId="16" xfId="0" applyFont="1" applyBorder="1"/>
    <xf numFmtId="0" fontId="7" fillId="0" borderId="17" xfId="0" applyFont="1" applyBorder="1"/>
    <xf numFmtId="44" fontId="7" fillId="0" borderId="17" xfId="1" applyFont="1" applyBorder="1"/>
    <xf numFmtId="0" fontId="7" fillId="0" borderId="18" xfId="0" applyFont="1" applyBorder="1"/>
    <xf numFmtId="0" fontId="7" fillId="0" borderId="19" xfId="0" applyFont="1" applyBorder="1"/>
    <xf numFmtId="0" fontId="2" fillId="3" borderId="18" xfId="4" applyFont="1" applyFill="1" applyBorder="1" applyAlignment="1">
      <alignment horizontal="center" vertical="center"/>
    </xf>
    <xf numFmtId="0" fontId="7" fillId="0" borderId="20" xfId="0" applyFont="1" applyBorder="1"/>
    <xf numFmtId="0" fontId="2" fillId="0" borderId="0" xfId="4" quotePrefix="1" applyFont="1" applyAlignment="1">
      <alignment horizontal="left" vertical="center"/>
    </xf>
    <xf numFmtId="0" fontId="6" fillId="0" borderId="0" xfId="4" applyFont="1" applyAlignment="1">
      <alignment vertical="center"/>
    </xf>
    <xf numFmtId="44" fontId="6" fillId="0" borderId="0" xfId="1" applyFont="1" applyFill="1" applyBorder="1" applyAlignment="1">
      <alignment vertical="center"/>
    </xf>
    <xf numFmtId="0" fontId="2" fillId="0" borderId="0" xfId="4" applyFont="1" applyAlignment="1">
      <alignment vertical="center"/>
    </xf>
    <xf numFmtId="0" fontId="2" fillId="3" borderId="7" xfId="4" applyFont="1" applyFill="1" applyBorder="1" applyAlignment="1">
      <alignment horizontal="center" vertical="center"/>
    </xf>
    <xf numFmtId="0" fontId="2" fillId="3" borderId="12" xfId="4" applyFont="1" applyFill="1" applyBorder="1" applyAlignment="1">
      <alignment horizontal="center" vertical="center"/>
    </xf>
    <xf numFmtId="0" fontId="2" fillId="3" borderId="12" xfId="4" quotePrefix="1" applyFont="1" applyFill="1" applyBorder="1" applyAlignment="1">
      <alignment horizontal="center" vertical="center"/>
    </xf>
    <xf numFmtId="44" fontId="2" fillId="3" borderId="12" xfId="1" applyFont="1" applyFill="1" applyBorder="1" applyAlignment="1">
      <alignment horizontal="center" vertical="center"/>
    </xf>
    <xf numFmtId="3" fontId="6" fillId="0" borderId="14" xfId="0" applyNumberFormat="1" applyFont="1" applyBorder="1" applyAlignment="1">
      <alignment horizontal="center"/>
    </xf>
    <xf numFmtId="44" fontId="6" fillId="0" borderId="14" xfId="1" applyFont="1" applyBorder="1" applyAlignment="1">
      <alignment horizontal="center"/>
    </xf>
    <xf numFmtId="44" fontId="6" fillId="0" borderId="14" xfId="1" applyFont="1" applyFill="1" applyBorder="1" applyAlignment="1">
      <alignment vertical="center"/>
    </xf>
    <xf numFmtId="3" fontId="6" fillId="0" borderId="33" xfId="0" applyNumberFormat="1" applyFont="1" applyBorder="1" applyAlignment="1">
      <alignment horizontal="center"/>
    </xf>
    <xf numFmtId="172" fontId="6" fillId="0" borderId="33" xfId="1" applyNumberFormat="1" applyFont="1" applyBorder="1" applyAlignment="1">
      <alignment horizontal="center"/>
    </xf>
    <xf numFmtId="44" fontId="6" fillId="0" borderId="34" xfId="1" applyFont="1" applyFill="1" applyBorder="1" applyAlignment="1">
      <alignment vertical="center"/>
    </xf>
    <xf numFmtId="0" fontId="2" fillId="0" borderId="0" xfId="4" applyFont="1" applyAlignment="1">
      <alignment horizontal="center" vertical="center"/>
    </xf>
    <xf numFmtId="44" fontId="6" fillId="3" borderId="12" xfId="1" applyFont="1" applyFill="1" applyBorder="1" applyAlignment="1">
      <alignment horizontal="center" vertical="center"/>
    </xf>
    <xf numFmtId="44" fontId="6" fillId="0" borderId="0" xfId="1" applyFont="1" applyFill="1" applyBorder="1" applyAlignment="1">
      <alignment horizontal="center" vertical="center"/>
    </xf>
    <xf numFmtId="3" fontId="6" fillId="0" borderId="13" xfId="0" applyNumberFormat="1" applyFont="1" applyBorder="1" applyAlignment="1">
      <alignment horizontal="center"/>
    </xf>
    <xf numFmtId="167" fontId="6" fillId="0" borderId="13" xfId="1" applyNumberFormat="1" applyFont="1" applyBorder="1" applyAlignment="1">
      <alignment horizontal="center"/>
    </xf>
    <xf numFmtId="168" fontId="6" fillId="0" borderId="13" xfId="5" applyNumberFormat="1" applyFont="1" applyBorder="1" applyAlignment="1">
      <alignment horizontal="center"/>
    </xf>
    <xf numFmtId="9" fontId="6" fillId="0" borderId="13" xfId="3" applyFont="1" applyBorder="1" applyAlignment="1">
      <alignment horizontal="center"/>
    </xf>
    <xf numFmtId="44" fontId="6" fillId="0" borderId="13" xfId="1" applyFont="1" applyFill="1" applyBorder="1" applyAlignment="1">
      <alignment vertical="center"/>
    </xf>
    <xf numFmtId="167" fontId="6" fillId="0" borderId="14" xfId="1" applyNumberFormat="1" applyFont="1" applyBorder="1" applyAlignment="1">
      <alignment horizontal="center"/>
    </xf>
    <xf numFmtId="168" fontId="6" fillId="0" borderId="14" xfId="5" applyNumberFormat="1" applyFont="1" applyBorder="1" applyAlignment="1">
      <alignment horizontal="center"/>
    </xf>
    <xf numFmtId="9" fontId="6" fillId="0" borderId="14" xfId="3" applyFont="1" applyBorder="1" applyAlignment="1">
      <alignment horizontal="center"/>
    </xf>
    <xf numFmtId="168" fontId="6" fillId="0" borderId="31" xfId="5" applyNumberFormat="1" applyFont="1" applyBorder="1" applyAlignment="1">
      <alignment horizontal="center"/>
    </xf>
    <xf numFmtId="44" fontId="7" fillId="0" borderId="0" xfId="0" applyNumberFormat="1" applyFont="1"/>
    <xf numFmtId="0" fontId="6" fillId="0" borderId="15" xfId="4" applyFont="1" applyBorder="1" applyAlignment="1">
      <alignment horizontal="center" vertical="center"/>
    </xf>
    <xf numFmtId="167" fontId="6" fillId="0" borderId="15" xfId="1" applyNumberFormat="1" applyFont="1" applyFill="1" applyBorder="1" applyAlignment="1">
      <alignment horizontal="center" vertical="center"/>
    </xf>
    <xf numFmtId="169" fontId="6" fillId="0" borderId="15" xfId="4" applyNumberFormat="1" applyFont="1" applyBorder="1" applyAlignment="1">
      <alignment horizontal="center" vertical="center"/>
    </xf>
    <xf numFmtId="9" fontId="6" fillId="0" borderId="15" xfId="3" applyFont="1" applyFill="1" applyBorder="1" applyAlignment="1" applyProtection="1">
      <alignment vertical="center"/>
    </xf>
    <xf numFmtId="4" fontId="6" fillId="0" borderId="41" xfId="0" applyNumberFormat="1" applyFont="1" applyBorder="1"/>
    <xf numFmtId="44" fontId="6" fillId="0" borderId="15" xfId="1" applyFont="1" applyFill="1" applyBorder="1" applyAlignment="1">
      <alignment vertical="center"/>
    </xf>
    <xf numFmtId="44" fontId="6" fillId="3" borderId="33" xfId="1" applyFont="1" applyFill="1" applyBorder="1" applyAlignment="1">
      <alignment horizontal="center" vertical="center"/>
    </xf>
    <xf numFmtId="0" fontId="6" fillId="2" borderId="13" xfId="4" applyFont="1" applyFill="1" applyBorder="1" applyAlignment="1">
      <alignment horizontal="left" vertical="center"/>
    </xf>
    <xf numFmtId="0" fontId="6" fillId="2" borderId="13" xfId="4" applyFont="1" applyFill="1" applyBorder="1" applyAlignment="1">
      <alignment horizontal="center" vertical="center"/>
    </xf>
    <xf numFmtId="4" fontId="6" fillId="2" borderId="13" xfId="4" applyNumberFormat="1" applyFont="1" applyFill="1" applyBorder="1" applyAlignment="1">
      <alignment horizontal="center" vertical="center"/>
    </xf>
    <xf numFmtId="168" fontId="6" fillId="2" borderId="13" xfId="5" applyNumberFormat="1" applyFont="1" applyFill="1" applyBorder="1" applyAlignment="1">
      <alignment horizontal="center" vertical="center"/>
    </xf>
    <xf numFmtId="0" fontId="6" fillId="2" borderId="14" xfId="4" applyFont="1" applyFill="1" applyBorder="1" applyAlignment="1">
      <alignment horizontal="left" vertical="center"/>
    </xf>
    <xf numFmtId="0" fontId="6" fillId="2" borderId="14" xfId="4" applyFont="1" applyFill="1" applyBorder="1" applyAlignment="1">
      <alignment horizontal="center" vertical="center"/>
    </xf>
    <xf numFmtId="4" fontId="6" fillId="2" borderId="14" xfId="4" applyNumberFormat="1" applyFont="1" applyFill="1" applyBorder="1" applyAlignment="1">
      <alignment horizontal="center" vertical="center"/>
    </xf>
    <xf numFmtId="168" fontId="6" fillId="2" borderId="14" xfId="5" applyNumberFormat="1" applyFont="1" applyFill="1" applyBorder="1" applyAlignment="1">
      <alignment horizontal="center" vertical="center"/>
    </xf>
    <xf numFmtId="0" fontId="6" fillId="0" borderId="34" xfId="4" applyFont="1" applyBorder="1" applyAlignment="1">
      <alignment horizontal="left" vertical="center"/>
    </xf>
    <xf numFmtId="166" fontId="6" fillId="0" borderId="34" xfId="4" applyNumberFormat="1" applyFont="1" applyBorder="1" applyAlignment="1">
      <alignment horizontal="center" vertical="center"/>
    </xf>
    <xf numFmtId="4" fontId="6" fillId="0" borderId="34" xfId="4" applyNumberFormat="1" applyFont="1" applyBorder="1" applyAlignment="1">
      <alignment horizontal="center" vertical="center"/>
    </xf>
    <xf numFmtId="0" fontId="6" fillId="0" borderId="15" xfId="4" applyFont="1" applyBorder="1" applyAlignment="1">
      <alignment vertical="center"/>
    </xf>
    <xf numFmtId="166" fontId="6" fillId="0" borderId="15" xfId="4" applyNumberFormat="1" applyFont="1" applyBorder="1" applyAlignment="1">
      <alignment horizontal="center" vertical="center"/>
    </xf>
    <xf numFmtId="4" fontId="6" fillId="0" borderId="15" xfId="4" applyNumberFormat="1" applyFont="1" applyBorder="1" applyAlignment="1">
      <alignment vertical="center"/>
    </xf>
    <xf numFmtId="4" fontId="6" fillId="0" borderId="15" xfId="4" applyNumberFormat="1" applyFont="1" applyBorder="1" applyAlignment="1">
      <alignment horizontal="center" vertical="center"/>
    </xf>
    <xf numFmtId="4" fontId="6" fillId="0" borderId="15" xfId="6" applyNumberFormat="1" applyFont="1" applyFill="1" applyBorder="1" applyAlignment="1">
      <alignment vertical="center"/>
    </xf>
    <xf numFmtId="171" fontId="6" fillId="0" borderId="34" xfId="7" applyNumberFormat="1" applyFont="1" applyBorder="1" applyAlignment="1">
      <alignment horizontal="center"/>
    </xf>
    <xf numFmtId="4" fontId="6" fillId="0" borderId="13" xfId="0" applyNumberFormat="1" applyFont="1" applyBorder="1" applyAlignment="1">
      <alignment horizontal="center"/>
    </xf>
    <xf numFmtId="171" fontId="6" fillId="0" borderId="15" xfId="7" applyNumberFormat="1" applyFont="1" applyBorder="1" applyAlignment="1">
      <alignment horizontal="center"/>
    </xf>
    <xf numFmtId="9" fontId="6" fillId="0" borderId="33" xfId="3" applyFont="1" applyBorder="1" applyAlignment="1">
      <alignment horizontal="center"/>
    </xf>
    <xf numFmtId="4" fontId="6" fillId="0" borderId="33" xfId="0" applyNumberFormat="1" applyFont="1" applyBorder="1" applyAlignment="1">
      <alignment horizontal="center"/>
    </xf>
    <xf numFmtId="0" fontId="6" fillId="0" borderId="0" xfId="4" applyFont="1" applyAlignment="1">
      <alignment horizontal="center" vertical="center"/>
    </xf>
    <xf numFmtId="44" fontId="7" fillId="0" borderId="0" xfId="1" applyFont="1" applyBorder="1"/>
    <xf numFmtId="0" fontId="8" fillId="0" borderId="12" xfId="0" applyFont="1" applyBorder="1" applyAlignment="1">
      <alignment vertical="top"/>
    </xf>
    <xf numFmtId="0" fontId="8" fillId="0" borderId="12" xfId="0" applyFont="1" applyBorder="1" applyAlignment="1">
      <alignment horizontal="center"/>
    </xf>
    <xf numFmtId="44" fontId="8" fillId="0" borderId="12" xfId="1" applyFont="1" applyBorder="1" applyAlignment="1">
      <alignment horizontal="center"/>
    </xf>
    <xf numFmtId="0" fontId="8" fillId="0" borderId="0" xfId="0" applyFont="1"/>
    <xf numFmtId="0" fontId="8" fillId="0" borderId="12" xfId="0" applyFont="1" applyBorder="1"/>
    <xf numFmtId="9" fontId="7" fillId="0" borderId="12" xfId="3" applyFont="1" applyBorder="1" applyAlignment="1">
      <alignment horizontal="center"/>
    </xf>
    <xf numFmtId="44" fontId="7" fillId="3" borderId="12" xfId="1" applyFont="1" applyFill="1" applyBorder="1" applyAlignment="1">
      <alignment horizontal="center"/>
    </xf>
    <xf numFmtId="9" fontId="7" fillId="0" borderId="0" xfId="3" applyFont="1" applyBorder="1"/>
    <xf numFmtId="0" fontId="8" fillId="0" borderId="0" xfId="0" applyFont="1" applyAlignment="1">
      <alignment horizontal="center"/>
    </xf>
    <xf numFmtId="44" fontId="7" fillId="3" borderId="12" xfId="1" applyFont="1" applyFill="1" applyBorder="1"/>
    <xf numFmtId="44" fontId="8" fillId="3" borderId="12" xfId="1" applyFont="1" applyFill="1" applyBorder="1"/>
    <xf numFmtId="0" fontId="7" fillId="0" borderId="21" xfId="0" applyFont="1" applyBorder="1"/>
    <xf numFmtId="0" fontId="7" fillId="0" borderId="22" xfId="0" applyFont="1" applyBorder="1"/>
    <xf numFmtId="44" fontId="7" fillId="0" borderId="22" xfId="1" applyFont="1" applyBorder="1"/>
    <xf numFmtId="0" fontId="7" fillId="0" borderId="23" xfId="0" applyFont="1" applyBorder="1"/>
    <xf numFmtId="171" fontId="6" fillId="0" borderId="0" xfId="4" applyNumberFormat="1" applyFont="1" applyAlignment="1">
      <alignment vertic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44" fontId="8" fillId="0" borderId="5" xfId="1" applyFont="1" applyBorder="1" applyAlignment="1">
      <alignment horizontal="center"/>
    </xf>
    <xf numFmtId="44" fontId="8" fillId="0" borderId="30" xfId="1" applyFont="1" applyBorder="1" applyAlignment="1">
      <alignment horizont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vertical="center" wrapText="1"/>
    </xf>
    <xf numFmtId="0" fontId="7" fillId="0" borderId="44" xfId="0" applyFont="1" applyBorder="1" applyAlignment="1">
      <alignment horizontal="center" vertical="center"/>
    </xf>
    <xf numFmtId="2" fontId="7" fillId="0" borderId="44" xfId="0" applyNumberFormat="1" applyFont="1" applyBorder="1" applyAlignment="1">
      <alignment horizontal="center" vertical="center"/>
    </xf>
    <xf numFmtId="44" fontId="7" fillId="0" borderId="44" xfId="1" applyFont="1" applyBorder="1" applyAlignment="1">
      <alignment vertical="center"/>
    </xf>
    <xf numFmtId="44" fontId="7" fillId="0" borderId="45" xfId="1" applyFont="1" applyBorder="1" applyAlignment="1">
      <alignment vertical="center"/>
    </xf>
    <xf numFmtId="0" fontId="7" fillId="0" borderId="46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44" fontId="7" fillId="0" borderId="2" xfId="1" applyFont="1" applyBorder="1" applyAlignment="1">
      <alignment vertical="center"/>
    </xf>
    <xf numFmtId="44" fontId="7" fillId="0" borderId="47" xfId="1" applyFont="1" applyBorder="1" applyAlignment="1">
      <alignment vertic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vertical="center"/>
    </xf>
    <xf numFmtId="0" fontId="7" fillId="0" borderId="39" xfId="0" applyFont="1" applyBorder="1" applyAlignment="1">
      <alignment horizontal="center" vertical="center"/>
    </xf>
    <xf numFmtId="44" fontId="7" fillId="0" borderId="39" xfId="1" applyFont="1" applyBorder="1" applyAlignment="1">
      <alignment vertical="center"/>
    </xf>
    <xf numFmtId="44" fontId="7" fillId="0" borderId="40" xfId="1" applyFont="1" applyBorder="1" applyAlignment="1">
      <alignment vertical="center"/>
    </xf>
    <xf numFmtId="44" fontId="8" fillId="0" borderId="23" xfId="1" applyFont="1" applyBorder="1"/>
    <xf numFmtId="172" fontId="8" fillId="0" borderId="30" xfId="1" applyNumberFormat="1" applyFont="1" applyBorder="1"/>
    <xf numFmtId="44" fontId="6" fillId="0" borderId="33" xfId="1" applyFont="1" applyBorder="1" applyAlignment="1">
      <alignment horizontal="center"/>
    </xf>
    <xf numFmtId="3" fontId="6" fillId="0" borderId="48" xfId="0" applyNumberFormat="1" applyFont="1" applyBorder="1" applyAlignment="1">
      <alignment horizontal="center"/>
    </xf>
    <xf numFmtId="0" fontId="6" fillId="0" borderId="34" xfId="5" applyNumberFormat="1" applyFont="1" applyBorder="1" applyAlignment="1">
      <alignment horizontal="center"/>
    </xf>
    <xf numFmtId="3" fontId="6" fillId="0" borderId="15" xfId="0" applyNumberFormat="1" applyFont="1" applyBorder="1" applyAlignment="1">
      <alignment horizontal="center"/>
    </xf>
    <xf numFmtId="0" fontId="6" fillId="0" borderId="33" xfId="5" applyNumberFormat="1" applyFont="1" applyBorder="1" applyAlignment="1">
      <alignment horizontal="center"/>
    </xf>
    <xf numFmtId="2" fontId="6" fillId="0" borderId="13" xfId="5" applyNumberFormat="1" applyFont="1" applyBorder="1" applyAlignment="1">
      <alignment horizontal="center"/>
    </xf>
    <xf numFmtId="2" fontId="6" fillId="0" borderId="14" xfId="5" applyNumberFormat="1" applyFont="1" applyBorder="1" applyAlignment="1">
      <alignment horizontal="center"/>
    </xf>
    <xf numFmtId="2" fontId="6" fillId="0" borderId="15" xfId="4" applyNumberFormat="1" applyFont="1" applyBorder="1" applyAlignment="1">
      <alignment horizontal="center" vertical="center"/>
    </xf>
    <xf numFmtId="3" fontId="6" fillId="0" borderId="52" xfId="0" applyNumberFormat="1" applyFont="1" applyBorder="1" applyAlignment="1">
      <alignment horizontal="center"/>
    </xf>
    <xf numFmtId="168" fontId="6" fillId="0" borderId="52" xfId="5" applyNumberFormat="1" applyFont="1" applyBorder="1" applyAlignment="1">
      <alignment horizontal="center"/>
    </xf>
    <xf numFmtId="44" fontId="6" fillId="0" borderId="53" xfId="1" applyFont="1" applyBorder="1" applyAlignment="1">
      <alignment horizontal="center"/>
    </xf>
    <xf numFmtId="44" fontId="6" fillId="0" borderId="53" xfId="1" applyFont="1" applyFill="1" applyBorder="1" applyAlignment="1">
      <alignment vertical="center"/>
    </xf>
    <xf numFmtId="168" fontId="6" fillId="0" borderId="34" xfId="5" applyNumberFormat="1" applyFont="1" applyBorder="1" applyAlignment="1">
      <alignment horizontal="center"/>
    </xf>
    <xf numFmtId="9" fontId="6" fillId="0" borderId="34" xfId="3" applyFont="1" applyBorder="1" applyAlignment="1">
      <alignment horizontal="center"/>
    </xf>
    <xf numFmtId="168" fontId="6" fillId="0" borderId="19" xfId="5" applyNumberFormat="1" applyFont="1" applyBorder="1" applyAlignment="1">
      <alignment horizontal="center"/>
    </xf>
    <xf numFmtId="173" fontId="6" fillId="0" borderId="14" xfId="1" applyNumberFormat="1" applyFont="1" applyBorder="1" applyAlignment="1">
      <alignment horizontal="center"/>
    </xf>
    <xf numFmtId="44" fontId="6" fillId="0" borderId="13" xfId="1" applyFont="1" applyBorder="1" applyAlignment="1">
      <alignment horizontal="center"/>
    </xf>
    <xf numFmtId="171" fontId="6" fillId="0" borderId="33" xfId="7" applyNumberFormat="1" applyFont="1" applyBorder="1" applyAlignment="1">
      <alignment horizontal="center"/>
    </xf>
    <xf numFmtId="44" fontId="6" fillId="0" borderId="33" xfId="1" applyFont="1" applyFill="1" applyBorder="1" applyAlignment="1">
      <alignment vertical="center"/>
    </xf>
    <xf numFmtId="0" fontId="6" fillId="0" borderId="21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7" fillId="0" borderId="0" xfId="0" applyFont="1" applyAlignment="1">
      <alignment wrapText="1"/>
    </xf>
    <xf numFmtId="0" fontId="0" fillId="0" borderId="56" xfId="0" applyBorder="1"/>
    <xf numFmtId="0" fontId="0" fillId="0" borderId="12" xfId="0" applyBorder="1"/>
    <xf numFmtId="0" fontId="6" fillId="0" borderId="73" xfId="0" applyFont="1" applyBorder="1" applyAlignment="1">
      <alignment horizontal="left"/>
    </xf>
    <xf numFmtId="3" fontId="6" fillId="0" borderId="74" xfId="0" applyNumberFormat="1" applyFont="1" applyBorder="1" applyAlignment="1">
      <alignment horizontal="center"/>
    </xf>
    <xf numFmtId="3" fontId="6" fillId="0" borderId="74" xfId="0" applyNumberFormat="1" applyFont="1" applyBorder="1"/>
    <xf numFmtId="177" fontId="6" fillId="0" borderId="74" xfId="0" applyNumberFormat="1" applyFont="1" applyBorder="1"/>
    <xf numFmtId="4" fontId="6" fillId="0" borderId="40" xfId="0" applyNumberFormat="1" applyFont="1" applyBorder="1"/>
    <xf numFmtId="0" fontId="6" fillId="0" borderId="18" xfId="0" applyFont="1" applyBorder="1"/>
    <xf numFmtId="0" fontId="6" fillId="0" borderId="21" xfId="0" applyFont="1" applyBorder="1"/>
    <xf numFmtId="0" fontId="6" fillId="0" borderId="22" xfId="0" applyFont="1" applyBorder="1"/>
    <xf numFmtId="3" fontId="6" fillId="0" borderId="39" xfId="0" applyNumberFormat="1" applyFont="1" applyBorder="1" applyAlignment="1">
      <alignment horizontal="center"/>
    </xf>
    <xf numFmtId="3" fontId="6" fillId="0" borderId="39" xfId="0" applyNumberFormat="1" applyFont="1" applyBorder="1"/>
    <xf numFmtId="4" fontId="6" fillId="0" borderId="39" xfId="0" applyNumberFormat="1" applyFont="1" applyBorder="1"/>
    <xf numFmtId="0" fontId="6" fillId="0" borderId="75" xfId="0" applyFont="1" applyBorder="1" applyAlignment="1">
      <alignment horizontal="center"/>
    </xf>
    <xf numFmtId="0" fontId="6" fillId="0" borderId="75" xfId="0" quotePrefix="1" applyFont="1" applyBorder="1" applyAlignment="1">
      <alignment horizontal="center"/>
    </xf>
    <xf numFmtId="0" fontId="6" fillId="0" borderId="76" xfId="0" applyFont="1" applyBorder="1" applyAlignment="1">
      <alignment horizontal="center"/>
    </xf>
    <xf numFmtId="171" fontId="4" fillId="0" borderId="2" xfId="7" applyNumberFormat="1" applyFont="1" applyBorder="1" applyAlignment="1">
      <alignment horizontal="center"/>
    </xf>
    <xf numFmtId="9" fontId="4" fillId="0" borderId="2" xfId="3" applyFont="1" applyBorder="1" applyAlignment="1">
      <alignment horizontal="center"/>
    </xf>
    <xf numFmtId="4" fontId="4" fillId="0" borderId="2" xfId="0" applyNumberFormat="1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8" fillId="0" borderId="67" xfId="0" applyFont="1" applyBorder="1" applyAlignment="1">
      <alignment horizontal="center"/>
    </xf>
    <xf numFmtId="0" fontId="8" fillId="0" borderId="68" xfId="0" applyFont="1" applyBorder="1" applyAlignment="1">
      <alignment horizontal="center"/>
    </xf>
    <xf numFmtId="0" fontId="8" fillId="0" borderId="6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6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7" fillId="0" borderId="5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16" xfId="4" applyFont="1" applyFill="1" applyBorder="1" applyAlignment="1">
      <alignment horizontal="center" vertical="center"/>
    </xf>
    <xf numFmtId="0" fontId="2" fillId="3" borderId="17" xfId="4" applyFont="1" applyFill="1" applyBorder="1" applyAlignment="1">
      <alignment horizontal="center" vertical="center"/>
    </xf>
    <xf numFmtId="0" fontId="2" fillId="3" borderId="18" xfId="4" applyFont="1" applyFill="1" applyBorder="1" applyAlignment="1">
      <alignment horizontal="center" vertical="center"/>
    </xf>
    <xf numFmtId="0" fontId="2" fillId="3" borderId="19" xfId="4" applyFont="1" applyFill="1" applyBorder="1" applyAlignment="1">
      <alignment horizontal="center" vertical="center"/>
    </xf>
    <xf numFmtId="0" fontId="2" fillId="3" borderId="0" xfId="4" applyFont="1" applyFill="1" applyAlignment="1">
      <alignment horizontal="center" vertical="center"/>
    </xf>
    <xf numFmtId="0" fontId="2" fillId="3" borderId="20" xfId="4" applyFont="1" applyFill="1" applyBorder="1" applyAlignment="1">
      <alignment horizontal="center" vertical="center"/>
    </xf>
    <xf numFmtId="0" fontId="2" fillId="3" borderId="21" xfId="4" applyFont="1" applyFill="1" applyBorder="1" applyAlignment="1">
      <alignment horizontal="center" vertical="center"/>
    </xf>
    <xf numFmtId="0" fontId="2" fillId="3" borderId="22" xfId="4" applyFont="1" applyFill="1" applyBorder="1" applyAlignment="1">
      <alignment horizontal="center" vertical="center"/>
    </xf>
    <xf numFmtId="0" fontId="2" fillId="3" borderId="23" xfId="4" applyFont="1" applyFill="1" applyBorder="1" applyAlignment="1">
      <alignment horizontal="center" vertical="center"/>
    </xf>
    <xf numFmtId="0" fontId="2" fillId="3" borderId="24" xfId="4" applyFont="1" applyFill="1" applyBorder="1" applyAlignment="1">
      <alignment horizontal="left" vertical="center" wrapText="1"/>
    </xf>
    <xf numFmtId="0" fontId="2" fillId="3" borderId="25" xfId="4" applyFont="1" applyFill="1" applyBorder="1" applyAlignment="1">
      <alignment horizontal="left" vertical="center" wrapText="1"/>
    </xf>
    <xf numFmtId="0" fontId="2" fillId="3" borderId="26" xfId="4" applyFont="1" applyFill="1" applyBorder="1" applyAlignment="1">
      <alignment horizontal="left" vertical="center" wrapText="1"/>
    </xf>
    <xf numFmtId="0" fontId="2" fillId="3" borderId="27" xfId="4" applyFont="1" applyFill="1" applyBorder="1" applyAlignment="1">
      <alignment horizontal="left" vertical="center"/>
    </xf>
    <xf numFmtId="0" fontId="2" fillId="3" borderId="28" xfId="4" applyFont="1" applyFill="1" applyBorder="1" applyAlignment="1">
      <alignment horizontal="left" vertical="center"/>
    </xf>
    <xf numFmtId="0" fontId="2" fillId="3" borderId="29" xfId="4" applyFont="1" applyFill="1" applyBorder="1" applyAlignment="1">
      <alignment horizontal="left" vertical="center"/>
    </xf>
    <xf numFmtId="0" fontId="2" fillId="3" borderId="10" xfId="4" quotePrefix="1" applyFont="1" applyFill="1" applyBorder="1" applyAlignment="1">
      <alignment horizontal="left" vertical="center" wrapText="1"/>
    </xf>
    <xf numFmtId="0" fontId="2" fillId="3" borderId="11" xfId="4" quotePrefix="1" applyFont="1" applyFill="1" applyBorder="1" applyAlignment="1">
      <alignment horizontal="left" vertical="center" wrapText="1"/>
    </xf>
    <xf numFmtId="0" fontId="2" fillId="3" borderId="7" xfId="4" quotePrefix="1" applyFont="1" applyFill="1" applyBorder="1" applyAlignment="1">
      <alignment horizontal="left" vertical="center" wrapText="1"/>
    </xf>
    <xf numFmtId="0" fontId="2" fillId="3" borderId="4" xfId="4" applyFont="1" applyFill="1" applyBorder="1" applyAlignment="1">
      <alignment horizontal="center" vertical="center"/>
    </xf>
    <xf numFmtId="0" fontId="2" fillId="3" borderId="9" xfId="4" applyFont="1" applyFill="1" applyBorder="1" applyAlignment="1">
      <alignment horizontal="center" vertical="center"/>
    </xf>
    <xf numFmtId="0" fontId="2" fillId="3" borderId="5" xfId="4" applyFont="1" applyFill="1" applyBorder="1" applyAlignment="1">
      <alignment horizontal="center" vertical="center"/>
    </xf>
    <xf numFmtId="0" fontId="2" fillId="3" borderId="30" xfId="4" applyFont="1" applyFill="1" applyBorder="1" applyAlignment="1">
      <alignment horizontal="center" vertical="center"/>
    </xf>
    <xf numFmtId="0" fontId="2" fillId="0" borderId="10" xfId="4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" fillId="3" borderId="10" xfId="4" applyFont="1" applyFill="1" applyBorder="1" applyAlignment="1">
      <alignment horizontal="center" vertical="center"/>
    </xf>
    <xf numFmtId="0" fontId="2" fillId="3" borderId="11" xfId="4" applyFont="1" applyFill="1" applyBorder="1" applyAlignment="1">
      <alignment horizontal="center" vertical="center"/>
    </xf>
    <xf numFmtId="0" fontId="2" fillId="3" borderId="7" xfId="4" applyFont="1" applyFill="1" applyBorder="1" applyAlignment="1">
      <alignment horizontal="center" vertical="center"/>
    </xf>
    <xf numFmtId="0" fontId="6" fillId="0" borderId="3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32" xfId="0" applyFont="1" applyBorder="1" applyAlignment="1">
      <alignment horizontal="left"/>
    </xf>
    <xf numFmtId="167" fontId="6" fillId="0" borderId="31" xfId="1" applyNumberFormat="1" applyFont="1" applyBorder="1" applyAlignment="1">
      <alignment horizontal="center"/>
    </xf>
    <xf numFmtId="167" fontId="6" fillId="0" borderId="32" xfId="1" applyNumberFormat="1" applyFont="1" applyBorder="1" applyAlignment="1">
      <alignment horizontal="center"/>
    </xf>
    <xf numFmtId="168" fontId="6" fillId="2" borderId="35" xfId="5" applyNumberFormat="1" applyFont="1" applyFill="1" applyBorder="1" applyAlignment="1">
      <alignment horizontal="center" vertical="center"/>
    </xf>
    <xf numFmtId="168" fontId="6" fillId="2" borderId="37" xfId="5" applyNumberFormat="1" applyFont="1" applyFill="1" applyBorder="1" applyAlignment="1">
      <alignment horizontal="center" vertical="center"/>
    </xf>
    <xf numFmtId="0" fontId="6" fillId="0" borderId="21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176" fontId="6" fillId="0" borderId="21" xfId="1" applyNumberFormat="1" applyFont="1" applyBorder="1" applyAlignment="1">
      <alignment horizontal="center"/>
    </xf>
    <xf numFmtId="176" fontId="6" fillId="0" borderId="23" xfId="1" applyNumberFormat="1" applyFont="1" applyBorder="1" applyAlignment="1">
      <alignment horizontal="center"/>
    </xf>
    <xf numFmtId="0" fontId="6" fillId="0" borderId="35" xfId="0" applyFont="1" applyBorder="1" applyAlignment="1">
      <alignment horizontal="left"/>
    </xf>
    <xf numFmtId="0" fontId="6" fillId="0" borderId="36" xfId="0" applyFont="1" applyBorder="1" applyAlignment="1">
      <alignment horizontal="left"/>
    </xf>
    <xf numFmtId="0" fontId="6" fillId="0" borderId="37" xfId="0" applyFont="1" applyBorder="1" applyAlignment="1">
      <alignment horizontal="left"/>
    </xf>
    <xf numFmtId="0" fontId="6" fillId="0" borderId="38" xfId="4" applyFont="1" applyBorder="1" applyAlignment="1">
      <alignment horizontal="left" vertical="center" wrapText="1"/>
    </xf>
    <xf numFmtId="0" fontId="6" fillId="0" borderId="39" xfId="4" applyFont="1" applyBorder="1" applyAlignment="1">
      <alignment horizontal="left" vertical="center" wrapText="1"/>
    </xf>
    <xf numFmtId="0" fontId="6" fillId="0" borderId="40" xfId="4" applyFont="1" applyBorder="1" applyAlignment="1">
      <alignment horizontal="left" vertical="center" wrapText="1"/>
    </xf>
    <xf numFmtId="168" fontId="6" fillId="2" borderId="31" xfId="5" applyNumberFormat="1" applyFont="1" applyFill="1" applyBorder="1" applyAlignment="1">
      <alignment horizontal="center" vertical="center"/>
    </xf>
    <xf numFmtId="168" fontId="6" fillId="2" borderId="32" xfId="5" applyNumberFormat="1" applyFont="1" applyFill="1" applyBorder="1" applyAlignment="1">
      <alignment horizontal="center" vertical="center"/>
    </xf>
    <xf numFmtId="4" fontId="6" fillId="0" borderId="41" xfId="6" applyNumberFormat="1" applyFont="1" applyFill="1" applyBorder="1" applyAlignment="1">
      <alignment horizontal="center" vertical="center"/>
    </xf>
    <xf numFmtId="4" fontId="6" fillId="0" borderId="42" xfId="6" applyNumberFormat="1" applyFont="1" applyFill="1" applyBorder="1" applyAlignment="1">
      <alignment horizontal="center" vertical="center"/>
    </xf>
    <xf numFmtId="49" fontId="6" fillId="0" borderId="35" xfId="0" applyNumberFormat="1" applyFont="1" applyBorder="1" applyAlignment="1">
      <alignment horizontal="left"/>
    </xf>
    <xf numFmtId="49" fontId="6" fillId="0" borderId="37" xfId="0" applyNumberFormat="1" applyFont="1" applyBorder="1" applyAlignment="1">
      <alignment horizontal="left"/>
    </xf>
    <xf numFmtId="4" fontId="6" fillId="0" borderId="35" xfId="0" applyNumberFormat="1" applyFont="1" applyBorder="1" applyAlignment="1">
      <alignment horizontal="center"/>
    </xf>
    <xf numFmtId="4" fontId="6" fillId="0" borderId="37" xfId="0" applyNumberFormat="1" applyFont="1" applyBorder="1" applyAlignment="1">
      <alignment horizontal="center"/>
    </xf>
    <xf numFmtId="0" fontId="6" fillId="0" borderId="41" xfId="0" applyFont="1" applyBorder="1" applyAlignment="1">
      <alignment horizontal="left"/>
    </xf>
    <xf numFmtId="0" fontId="6" fillId="0" borderId="42" xfId="0" applyFont="1" applyBorder="1" applyAlignment="1">
      <alignment horizontal="left"/>
    </xf>
    <xf numFmtId="4" fontId="6" fillId="0" borderId="41" xfId="0" applyNumberFormat="1" applyFont="1" applyBorder="1" applyAlignment="1">
      <alignment horizontal="center"/>
    </xf>
    <xf numFmtId="4" fontId="6" fillId="0" borderId="42" xfId="0" applyNumberFormat="1" applyFont="1" applyBorder="1" applyAlignment="1">
      <alignment horizontal="center"/>
    </xf>
    <xf numFmtId="0" fontId="2" fillId="0" borderId="0" xfId="4" applyFont="1" applyAlignment="1">
      <alignment horizontal="center" vertical="center"/>
    </xf>
    <xf numFmtId="0" fontId="2" fillId="0" borderId="20" xfId="4" applyFont="1" applyBorder="1" applyAlignment="1">
      <alignment horizontal="center" vertical="center"/>
    </xf>
    <xf numFmtId="0" fontId="8" fillId="0" borderId="10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0" fontId="8" fillId="0" borderId="11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167" fontId="6" fillId="0" borderId="21" xfId="1" applyNumberFormat="1" applyFont="1" applyBorder="1" applyAlignment="1">
      <alignment horizontal="center"/>
    </xf>
    <xf numFmtId="167" fontId="6" fillId="0" borderId="23" xfId="1" applyNumberFormat="1" applyFont="1" applyBorder="1" applyAlignment="1">
      <alignment horizontal="center"/>
    </xf>
    <xf numFmtId="0" fontId="2" fillId="3" borderId="4" xfId="4" quotePrefix="1" applyFont="1" applyFill="1" applyBorder="1" applyAlignment="1">
      <alignment horizontal="left" vertical="center"/>
    </xf>
    <xf numFmtId="0" fontId="2" fillId="3" borderId="5" xfId="4" quotePrefix="1" applyFont="1" applyFill="1" applyBorder="1" applyAlignment="1">
      <alignment horizontal="left" vertical="center"/>
    </xf>
    <xf numFmtId="0" fontId="2" fillId="3" borderId="30" xfId="4" quotePrefix="1" applyFont="1" applyFill="1" applyBorder="1" applyAlignment="1">
      <alignment horizontal="left" vertical="center"/>
    </xf>
    <xf numFmtId="0" fontId="2" fillId="3" borderId="4" xfId="4" quotePrefix="1" applyFont="1" applyFill="1" applyBorder="1" applyAlignment="1">
      <alignment horizontal="left" vertical="center" wrapText="1"/>
    </xf>
    <xf numFmtId="0" fontId="2" fillId="3" borderId="5" xfId="4" quotePrefix="1" applyFont="1" applyFill="1" applyBorder="1" applyAlignment="1">
      <alignment horizontal="left" vertical="center" wrapText="1"/>
    </xf>
    <xf numFmtId="0" fontId="2" fillId="3" borderId="30" xfId="4" quotePrefix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44" fontId="8" fillId="0" borderId="4" xfId="1" applyFont="1" applyBorder="1" applyAlignment="1">
      <alignment horizontal="center" wrapText="1"/>
    </xf>
    <xf numFmtId="44" fontId="8" fillId="0" borderId="5" xfId="1" applyFont="1" applyBorder="1" applyAlignment="1">
      <alignment horizontal="center" wrapText="1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44" fontId="8" fillId="0" borderId="10" xfId="1" applyFont="1" applyBorder="1" applyAlignment="1">
      <alignment horizontal="center"/>
    </xf>
    <xf numFmtId="44" fontId="8" fillId="0" borderId="7" xfId="1" applyFont="1" applyBorder="1" applyAlignment="1">
      <alignment horizontal="center"/>
    </xf>
    <xf numFmtId="0" fontId="2" fillId="3" borderId="24" xfId="4" applyFont="1" applyFill="1" applyBorder="1" applyAlignment="1">
      <alignment horizontal="left" vertical="center"/>
    </xf>
    <xf numFmtId="0" fontId="2" fillId="3" borderId="25" xfId="4" applyFont="1" applyFill="1" applyBorder="1" applyAlignment="1">
      <alignment horizontal="left" vertical="center"/>
    </xf>
    <xf numFmtId="0" fontId="2" fillId="3" borderId="26" xfId="4" applyFont="1" applyFill="1" applyBorder="1" applyAlignment="1">
      <alignment horizontal="left" vertical="center"/>
    </xf>
    <xf numFmtId="0" fontId="2" fillId="3" borderId="4" xfId="4" applyFont="1" applyFill="1" applyBorder="1" applyAlignment="1">
      <alignment horizontal="left" vertical="center"/>
    </xf>
    <xf numFmtId="0" fontId="2" fillId="3" borderId="9" xfId="4" applyFont="1" applyFill="1" applyBorder="1" applyAlignment="1">
      <alignment horizontal="left" vertical="center"/>
    </xf>
    <xf numFmtId="0" fontId="2" fillId="3" borderId="5" xfId="4" applyFont="1" applyFill="1" applyBorder="1" applyAlignment="1">
      <alignment horizontal="left" vertical="center"/>
    </xf>
    <xf numFmtId="0" fontId="2" fillId="3" borderId="30" xfId="4" applyFont="1" applyFill="1" applyBorder="1" applyAlignment="1">
      <alignment horizontal="left" vertical="center"/>
    </xf>
    <xf numFmtId="0" fontId="6" fillId="0" borderId="3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3" fontId="6" fillId="0" borderId="31" xfId="0" applyNumberFormat="1" applyFont="1" applyBorder="1" applyAlignment="1">
      <alignment horizontal="center"/>
    </xf>
    <xf numFmtId="3" fontId="6" fillId="0" borderId="32" xfId="0" applyNumberFormat="1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0" borderId="49" xfId="0" applyFont="1" applyBorder="1" applyAlignment="1">
      <alignment horizontal="center"/>
    </xf>
    <xf numFmtId="0" fontId="6" fillId="0" borderId="42" xfId="0" applyFont="1" applyBorder="1" applyAlignment="1">
      <alignment horizontal="center"/>
    </xf>
    <xf numFmtId="3" fontId="6" fillId="0" borderId="41" xfId="0" applyNumberFormat="1" applyFont="1" applyBorder="1" applyAlignment="1">
      <alignment horizontal="center"/>
    </xf>
    <xf numFmtId="3" fontId="6" fillId="0" borderId="42" xfId="0" applyNumberFormat="1" applyFont="1" applyBorder="1" applyAlignment="1">
      <alignment horizontal="center"/>
    </xf>
    <xf numFmtId="49" fontId="6" fillId="0" borderId="50" xfId="0" applyNumberFormat="1" applyFont="1" applyBorder="1" applyAlignment="1">
      <alignment horizontal="left"/>
    </xf>
    <xf numFmtId="49" fontId="6" fillId="0" borderId="51" xfId="0" applyNumberFormat="1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17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2" fontId="6" fillId="0" borderId="16" xfId="5" applyNumberFormat="1" applyFont="1" applyBorder="1" applyAlignment="1">
      <alignment horizontal="center"/>
    </xf>
    <xf numFmtId="2" fontId="6" fillId="0" borderId="18" xfId="5" applyNumberFormat="1" applyFont="1" applyBorder="1" applyAlignment="1">
      <alignment horizontal="center"/>
    </xf>
    <xf numFmtId="2" fontId="6" fillId="0" borderId="31" xfId="0" applyNumberFormat="1" applyFont="1" applyBorder="1" applyAlignment="1">
      <alignment horizontal="center"/>
    </xf>
    <xf numFmtId="2" fontId="6" fillId="0" borderId="32" xfId="0" applyNumberFormat="1" applyFont="1" applyBorder="1" applyAlignment="1">
      <alignment horizontal="center"/>
    </xf>
    <xf numFmtId="2" fontId="6" fillId="0" borderId="21" xfId="0" applyNumberFormat="1" applyFont="1" applyBorder="1" applyAlignment="1">
      <alignment horizontal="center"/>
    </xf>
    <xf numFmtId="2" fontId="6" fillId="0" borderId="23" xfId="0" applyNumberFormat="1" applyFont="1" applyBorder="1" applyAlignment="1">
      <alignment horizontal="center"/>
    </xf>
    <xf numFmtId="4" fontId="6" fillId="0" borderId="21" xfId="0" applyNumberFormat="1" applyFont="1" applyBorder="1" applyAlignment="1">
      <alignment horizontal="center"/>
    </xf>
    <xf numFmtId="4" fontId="6" fillId="0" borderId="23" xfId="0" applyNumberFormat="1" applyFont="1" applyBorder="1" applyAlignment="1">
      <alignment horizontal="center"/>
    </xf>
  </cellXfs>
  <cellStyles count="13">
    <cellStyle name="Millares 10" xfId="9" xr:uid="{FBCFB8EC-1196-4ADC-9BBA-DA5B42115EA6}"/>
    <cellStyle name="Millares 10 2" xfId="10" xr:uid="{8DC7BC3F-56CE-4ED5-85A8-F0FEE3BC6578}"/>
    <cellStyle name="Millares 15" xfId="6" xr:uid="{046B7BF1-1BFC-49ED-92C6-396678970501}"/>
    <cellStyle name="Moneda" xfId="1" builtinId="4"/>
    <cellStyle name="Moneda [0]" xfId="2" builtinId="7"/>
    <cellStyle name="Moneda [0] 2" xfId="5" xr:uid="{B42BFD54-C0AB-4B9E-B8DC-51990330F872}"/>
    <cellStyle name="Moneda_Propuesta SCV-045-99" xfId="7" xr:uid="{D0C2D9E5-4BF8-4E1B-85D6-9565A8A30571}"/>
    <cellStyle name="Moneda_Propuesta SCV-045-99 4" xfId="12" xr:uid="{4A42A0D3-6731-D642-9A42-90D7899BD9C8}"/>
    <cellStyle name="Normal" xfId="0" builtinId="0"/>
    <cellStyle name="Normal 10" xfId="11" xr:uid="{27CE2CA4-A1DF-4F47-A869-2BF7CCD56474}"/>
    <cellStyle name="Normal 12 2 2" xfId="8" xr:uid="{BC04D16B-90FB-4048-A82B-F5B603E33335}"/>
    <cellStyle name="Normal 2" xfId="4" xr:uid="{B7558AE7-54BF-4381-A9C2-318B8B48A9CB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anam&#193;/Reconocimiento/Acomet-pr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rodriguez/Documents/TRIANGULO%202011/TT2011%20Despieces%20y%20Presupuestos/DESPIECES%20Y%20PRESUPUESTOS/RP-USOCHICAMCHA%20BASE%20PARA%20TT%202011%20JCR%2005-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cometidas"/>
      <sheetName val="$TUBERIA"/>
      <sheetName val="terciaria"/>
      <sheetName val="CANTIDAD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PARA CALCULOS"/>
      <sheetName val="FORMATO TABLA"/>
      <sheetName val="MATERIALES"/>
      <sheetName val="CALCULOS"/>
      <sheetName val="LISTA DE PRECIOS"/>
      <sheetName val="CANTIDADES"/>
      <sheetName val="PRESUPUESTOS"/>
      <sheetName val="BASEPRESUPUESTO"/>
    </sheetNames>
    <sheetDataSet>
      <sheetData sheetId="0" refreshError="1">
        <row r="7">
          <cell r="Q7" t="str">
            <v>PVC RDE 21 1/2"</v>
          </cell>
        </row>
        <row r="16">
          <cell r="Q16" t="str">
            <v>PVC RDE 26 3/4"</v>
          </cell>
        </row>
        <row r="17">
          <cell r="Q17" t="str">
            <v>PVC RDE 26 1"</v>
          </cell>
        </row>
        <row r="18">
          <cell r="Q18" t="str">
            <v>PVC RDE 26 1 1/4"</v>
          </cell>
        </row>
        <row r="19">
          <cell r="Q19" t="str">
            <v>PVC RDE 26 1 1/2"</v>
          </cell>
        </row>
        <row r="26">
          <cell r="Q26" t="str">
            <v>PVC RDE 41 2"</v>
          </cell>
        </row>
        <row r="27">
          <cell r="Q27" t="str">
            <v>PVC RDE 41 3"</v>
          </cell>
        </row>
        <row r="28">
          <cell r="Q28" t="str">
            <v>PVC RDE 41 4"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E64E4-7645-48D9-A686-DE81E4F3966C}">
  <sheetPr>
    <tabColor rgb="FFFFFF00"/>
    <pageSetUpPr fitToPage="1"/>
  </sheetPr>
  <dimension ref="A1:J23"/>
  <sheetViews>
    <sheetView tabSelected="1" zoomScaleNormal="100" workbookViewId="0">
      <selection activeCell="B9" sqref="B9"/>
    </sheetView>
  </sheetViews>
  <sheetFormatPr baseColWidth="10" defaultColWidth="17.109375" defaultRowHeight="10.199999999999999" x14ac:dyDescent="0.2"/>
  <cols>
    <col min="1" max="1" width="7.5546875" style="84" customWidth="1"/>
    <col min="2" max="2" width="47.6640625" style="85" customWidth="1"/>
    <col min="3" max="3" width="8.6640625" style="84" customWidth="1"/>
    <col min="4" max="16384" width="17.109375" style="84"/>
  </cols>
  <sheetData>
    <row r="1" spans="1:10" x14ac:dyDescent="0.2">
      <c r="H1" s="86"/>
    </row>
    <row r="2" spans="1:10" x14ac:dyDescent="0.2">
      <c r="H2" s="86"/>
    </row>
    <row r="3" spans="1:10" ht="10.8" thickBot="1" x14ac:dyDescent="0.25">
      <c r="H3" s="86"/>
    </row>
    <row r="4" spans="1:10" ht="10.8" thickBot="1" x14ac:dyDescent="0.25">
      <c r="A4" s="284" t="s">
        <v>149</v>
      </c>
      <c r="B4" s="285"/>
      <c r="C4" s="285"/>
      <c r="D4" s="285"/>
      <c r="E4" s="285"/>
      <c r="F4" s="286"/>
      <c r="H4" s="86"/>
    </row>
    <row r="6" spans="1:10" ht="20.25" customHeight="1" x14ac:dyDescent="0.2">
      <c r="A6" s="106" t="s">
        <v>50</v>
      </c>
      <c r="B6" s="106" t="s">
        <v>52</v>
      </c>
      <c r="C6" s="107" t="s">
        <v>1</v>
      </c>
      <c r="D6" s="108" t="s">
        <v>111</v>
      </c>
      <c r="E6" s="108" t="s">
        <v>148</v>
      </c>
      <c r="F6" s="107" t="s">
        <v>110</v>
      </c>
    </row>
    <row r="7" spans="1:10" ht="30.6" x14ac:dyDescent="0.2">
      <c r="A7" s="106">
        <v>1</v>
      </c>
      <c r="B7" s="109" t="s">
        <v>202</v>
      </c>
      <c r="C7" s="107" t="s">
        <v>103</v>
      </c>
      <c r="D7" s="110">
        <v>60500</v>
      </c>
      <c r="E7" s="111">
        <v>15103</v>
      </c>
      <c r="F7" s="112">
        <f>D7*E7</f>
        <v>913731500</v>
      </c>
    </row>
    <row r="8" spans="1:10" ht="39.75" customHeight="1" x14ac:dyDescent="0.2">
      <c r="A8" s="106">
        <v>2</v>
      </c>
      <c r="B8" s="109" t="s">
        <v>214</v>
      </c>
      <c r="C8" s="107" t="s">
        <v>103</v>
      </c>
      <c r="D8" s="110">
        <v>38600</v>
      </c>
      <c r="E8" s="111">
        <v>11201</v>
      </c>
      <c r="F8" s="112">
        <f t="shared" ref="F8:F12" si="0">D8*E8</f>
        <v>432358600</v>
      </c>
      <c r="G8" s="89"/>
      <c r="H8" s="90"/>
      <c r="J8" s="89"/>
    </row>
    <row r="9" spans="1:10" ht="42" customHeight="1" x14ac:dyDescent="0.2">
      <c r="A9" s="106">
        <v>3</v>
      </c>
      <c r="B9" s="109" t="s">
        <v>227</v>
      </c>
      <c r="C9" s="107" t="s">
        <v>103</v>
      </c>
      <c r="D9" s="110">
        <v>62907.3</v>
      </c>
      <c r="E9" s="111">
        <f>E8</f>
        <v>11201</v>
      </c>
      <c r="F9" s="112">
        <f t="shared" si="0"/>
        <v>704624667.30000007</v>
      </c>
      <c r="H9" s="90"/>
      <c r="J9" s="89"/>
    </row>
    <row r="10" spans="1:10" ht="23.25" customHeight="1" x14ac:dyDescent="0.2">
      <c r="A10" s="106">
        <v>4</v>
      </c>
      <c r="B10" s="109" t="s">
        <v>116</v>
      </c>
      <c r="C10" s="107" t="s">
        <v>103</v>
      </c>
      <c r="D10" s="113">
        <v>200</v>
      </c>
      <c r="E10" s="111">
        <v>1736999.48</v>
      </c>
      <c r="F10" s="112">
        <f t="shared" si="0"/>
        <v>347399896</v>
      </c>
    </row>
    <row r="11" spans="1:10" ht="24.75" customHeight="1" x14ac:dyDescent="0.2">
      <c r="A11" s="106">
        <v>5</v>
      </c>
      <c r="B11" s="109" t="s">
        <v>117</v>
      </c>
      <c r="C11" s="107" t="s">
        <v>112</v>
      </c>
      <c r="D11" s="113">
        <v>6</v>
      </c>
      <c r="E11" s="111">
        <v>25000000</v>
      </c>
      <c r="F11" s="112">
        <f t="shared" si="0"/>
        <v>150000000</v>
      </c>
    </row>
    <row r="12" spans="1:10" ht="20.25" customHeight="1" x14ac:dyDescent="0.2">
      <c r="A12" s="106">
        <v>6</v>
      </c>
      <c r="B12" s="114" t="s">
        <v>203</v>
      </c>
      <c r="C12" s="115" t="s">
        <v>112</v>
      </c>
      <c r="D12" s="113">
        <v>10000</v>
      </c>
      <c r="E12" s="111">
        <v>5000</v>
      </c>
      <c r="F12" s="112">
        <f t="shared" si="0"/>
        <v>50000000</v>
      </c>
    </row>
    <row r="13" spans="1:10" ht="20.25" customHeight="1" thickBot="1" x14ac:dyDescent="0.25">
      <c r="A13" s="116"/>
      <c r="B13" s="290" t="s">
        <v>154</v>
      </c>
      <c r="C13" s="290"/>
      <c r="D13" s="290"/>
      <c r="E13" s="291"/>
      <c r="F13" s="117">
        <f>ROUND(SUM(F7:F12),0)</f>
        <v>2598114663</v>
      </c>
    </row>
    <row r="14" spans="1:10" ht="10.8" thickTop="1" x14ac:dyDescent="0.2">
      <c r="B14" s="91" t="s">
        <v>150</v>
      </c>
      <c r="C14" s="92">
        <v>0.22</v>
      </c>
      <c r="D14" s="93"/>
      <c r="E14" s="94"/>
      <c r="F14" s="95">
        <f>F13*C14</f>
        <v>571585225.86000001</v>
      </c>
    </row>
    <row r="15" spans="1:10" x14ac:dyDescent="0.2">
      <c r="B15" s="96" t="s">
        <v>151</v>
      </c>
      <c r="C15" s="97">
        <v>0.03</v>
      </c>
      <c r="D15" s="98"/>
      <c r="E15" s="99"/>
      <c r="F15" s="100">
        <f>F13*C15</f>
        <v>77943439.890000001</v>
      </c>
    </row>
    <row r="16" spans="1:10" x14ac:dyDescent="0.2">
      <c r="B16" s="96" t="s">
        <v>152</v>
      </c>
      <c r="C16" s="97">
        <v>0.05</v>
      </c>
      <c r="D16" s="98"/>
      <c r="E16" s="99"/>
      <c r="F16" s="100">
        <f>F13*C16</f>
        <v>129905733.15000001</v>
      </c>
    </row>
    <row r="17" spans="2:6" x14ac:dyDescent="0.2">
      <c r="B17" s="287" t="s">
        <v>153</v>
      </c>
      <c r="C17" s="288"/>
      <c r="D17" s="288"/>
      <c r="E17" s="289"/>
      <c r="F17" s="101">
        <f>F13+F14+F15+F16</f>
        <v>3377549061.9000001</v>
      </c>
    </row>
    <row r="18" spans="2:6" x14ac:dyDescent="0.2">
      <c r="B18" s="287"/>
      <c r="C18" s="288"/>
      <c r="D18" s="288"/>
      <c r="E18" s="289"/>
      <c r="F18" s="101"/>
    </row>
    <row r="19" spans="2:6" ht="10.8" thickBot="1" x14ac:dyDescent="0.25">
      <c r="B19" s="281" t="s">
        <v>147</v>
      </c>
      <c r="C19" s="282"/>
      <c r="D19" s="282"/>
      <c r="E19" s="283"/>
      <c r="F19" s="102">
        <f>F17+F18</f>
        <v>3377549061.9000001</v>
      </c>
    </row>
    <row r="20" spans="2:6" ht="10.8" thickTop="1" x14ac:dyDescent="0.2"/>
    <row r="22" spans="2:6" x14ac:dyDescent="0.2">
      <c r="F22" s="103"/>
    </row>
    <row r="23" spans="2:6" x14ac:dyDescent="0.2">
      <c r="F23" s="104"/>
    </row>
  </sheetData>
  <mergeCells count="5">
    <mergeCell ref="B19:E19"/>
    <mergeCell ref="A4:F4"/>
    <mergeCell ref="B17:E17"/>
    <mergeCell ref="B13:E13"/>
    <mergeCell ref="B18:E18"/>
  </mergeCells>
  <pageMargins left="0.7" right="0.7" top="0.75" bottom="0.75" header="0.3" footer="0.3"/>
  <pageSetup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E76E9-B66A-A044-88B5-0ED54EAD06B0}">
  <sheetPr>
    <tabColor rgb="FFFFFF00"/>
  </sheetPr>
  <dimension ref="A4:E40"/>
  <sheetViews>
    <sheetView topLeftCell="A23" zoomScaleNormal="100" workbookViewId="0">
      <selection activeCell="K36" sqref="K36"/>
    </sheetView>
  </sheetViews>
  <sheetFormatPr baseColWidth="10" defaultColWidth="11.44140625" defaultRowHeight="10.199999999999999" x14ac:dyDescent="0.2"/>
  <cols>
    <col min="1" max="1" width="21.33203125" style="84" customWidth="1"/>
    <col min="2" max="4" width="11.44140625" style="84"/>
    <col min="5" max="5" width="18" style="84" customWidth="1"/>
    <col min="6" max="16384" width="11.44140625" style="84"/>
  </cols>
  <sheetData>
    <row r="4" spans="1:5" ht="10.8" thickBot="1" x14ac:dyDescent="0.25"/>
    <row r="5" spans="1:5" ht="10.8" thickBot="1" x14ac:dyDescent="0.25">
      <c r="A5" s="292" t="s">
        <v>194</v>
      </c>
      <c r="B5" s="293"/>
      <c r="C5" s="293"/>
      <c r="D5" s="293"/>
      <c r="E5" s="294"/>
    </row>
    <row r="7" spans="1:5" ht="20.399999999999999" x14ac:dyDescent="0.2">
      <c r="A7" s="106" t="s">
        <v>0</v>
      </c>
      <c r="B7" s="107" t="s">
        <v>1</v>
      </c>
      <c r="C7" s="108" t="s">
        <v>108</v>
      </c>
      <c r="D7" s="107" t="s">
        <v>193</v>
      </c>
      <c r="E7" s="107" t="s">
        <v>107</v>
      </c>
    </row>
    <row r="8" spans="1:5" x14ac:dyDescent="0.2">
      <c r="A8" s="114" t="s">
        <v>2</v>
      </c>
      <c r="B8" s="115" t="s">
        <v>3</v>
      </c>
      <c r="C8" s="118">
        <v>15000</v>
      </c>
      <c r="D8" s="119">
        <v>15103</v>
      </c>
      <c r="E8" s="120">
        <f>D8*C8</f>
        <v>226545000</v>
      </c>
    </row>
    <row r="9" spans="1:5" x14ac:dyDescent="0.2">
      <c r="A9" s="114" t="s">
        <v>4</v>
      </c>
      <c r="B9" s="115" t="s">
        <v>3</v>
      </c>
      <c r="C9" s="121">
        <v>15000</v>
      </c>
      <c r="D9" s="119">
        <v>15103</v>
      </c>
      <c r="E9" s="120">
        <f t="shared" ref="E9:E34" si="0">D9*C9</f>
        <v>226545000</v>
      </c>
    </row>
    <row r="10" spans="1:5" x14ac:dyDescent="0.2">
      <c r="A10" s="114" t="s">
        <v>5</v>
      </c>
      <c r="B10" s="115" t="s">
        <v>3</v>
      </c>
      <c r="C10" s="118">
        <v>7800</v>
      </c>
      <c r="D10" s="119">
        <v>15103</v>
      </c>
      <c r="E10" s="120">
        <f t="shared" si="0"/>
        <v>117803400</v>
      </c>
    </row>
    <row r="11" spans="1:5" x14ac:dyDescent="0.2">
      <c r="A11" s="114" t="s">
        <v>6</v>
      </c>
      <c r="B11" s="115" t="s">
        <v>3</v>
      </c>
      <c r="C11" s="118">
        <v>3700</v>
      </c>
      <c r="D11" s="119">
        <v>11201</v>
      </c>
      <c r="E11" s="120">
        <f t="shared" si="0"/>
        <v>41443700</v>
      </c>
    </row>
    <row r="12" spans="1:5" x14ac:dyDescent="0.2">
      <c r="A12" s="114" t="s">
        <v>7</v>
      </c>
      <c r="B12" s="115" t="s">
        <v>3</v>
      </c>
      <c r="C12" s="118">
        <v>4100</v>
      </c>
      <c r="D12" s="119">
        <v>11201</v>
      </c>
      <c r="E12" s="120">
        <f t="shared" si="0"/>
        <v>45924100</v>
      </c>
    </row>
    <row r="13" spans="1:5" x14ac:dyDescent="0.2">
      <c r="A13" s="114" t="s">
        <v>8</v>
      </c>
      <c r="B13" s="115" t="s">
        <v>3</v>
      </c>
      <c r="C13" s="118">
        <v>1400</v>
      </c>
      <c r="D13" s="119">
        <v>11201</v>
      </c>
      <c r="E13" s="120">
        <f t="shared" si="0"/>
        <v>15681400</v>
      </c>
    </row>
    <row r="14" spans="1:5" x14ac:dyDescent="0.2">
      <c r="A14" s="114" t="s">
        <v>9</v>
      </c>
      <c r="B14" s="115" t="s">
        <v>3</v>
      </c>
      <c r="C14" s="118">
        <v>1700</v>
      </c>
      <c r="D14" s="119">
        <v>11201</v>
      </c>
      <c r="E14" s="120">
        <f t="shared" si="0"/>
        <v>19041700</v>
      </c>
    </row>
    <row r="15" spans="1:5" x14ac:dyDescent="0.2">
      <c r="A15" s="114" t="s">
        <v>10</v>
      </c>
      <c r="B15" s="115" t="s">
        <v>3</v>
      </c>
      <c r="C15" s="118">
        <v>1000</v>
      </c>
      <c r="D15" s="119">
        <f t="shared" ref="D15:D21" si="1">D13</f>
        <v>11201</v>
      </c>
      <c r="E15" s="120">
        <f t="shared" si="0"/>
        <v>11201000</v>
      </c>
    </row>
    <row r="16" spans="1:5" x14ac:dyDescent="0.2">
      <c r="A16" s="114" t="s">
        <v>11</v>
      </c>
      <c r="B16" s="115" t="s">
        <v>3</v>
      </c>
      <c r="C16" s="118">
        <v>1400</v>
      </c>
      <c r="D16" s="119">
        <f t="shared" si="1"/>
        <v>11201</v>
      </c>
      <c r="E16" s="120">
        <f t="shared" si="0"/>
        <v>15681400</v>
      </c>
    </row>
    <row r="17" spans="1:5" x14ac:dyDescent="0.2">
      <c r="A17" s="114" t="s">
        <v>12</v>
      </c>
      <c r="B17" s="115" t="s">
        <v>3</v>
      </c>
      <c r="C17" s="118">
        <v>2500</v>
      </c>
      <c r="D17" s="119">
        <f t="shared" si="1"/>
        <v>11201</v>
      </c>
      <c r="E17" s="120">
        <f t="shared" si="0"/>
        <v>28002500</v>
      </c>
    </row>
    <row r="18" spans="1:5" x14ac:dyDescent="0.2">
      <c r="A18" s="114" t="s">
        <v>114</v>
      </c>
      <c r="B18" s="115" t="s">
        <v>3</v>
      </c>
      <c r="C18" s="118">
        <v>1100</v>
      </c>
      <c r="D18" s="119">
        <f t="shared" si="1"/>
        <v>11201</v>
      </c>
      <c r="E18" s="120">
        <f t="shared" si="0"/>
        <v>12321100</v>
      </c>
    </row>
    <row r="19" spans="1:5" x14ac:dyDescent="0.2">
      <c r="A19" s="114" t="s">
        <v>13</v>
      </c>
      <c r="B19" s="115" t="s">
        <v>3</v>
      </c>
      <c r="C19" s="118">
        <v>1800</v>
      </c>
      <c r="D19" s="119">
        <f t="shared" si="1"/>
        <v>11201</v>
      </c>
      <c r="E19" s="120">
        <f t="shared" si="0"/>
        <v>20161800</v>
      </c>
    </row>
    <row r="20" spans="1:5" x14ac:dyDescent="0.2">
      <c r="A20" s="114" t="s">
        <v>113</v>
      </c>
      <c r="B20" s="115" t="s">
        <v>3</v>
      </c>
      <c r="C20" s="118">
        <v>1200</v>
      </c>
      <c r="D20" s="119">
        <f t="shared" si="1"/>
        <v>11201</v>
      </c>
      <c r="E20" s="120">
        <f t="shared" si="0"/>
        <v>13441200</v>
      </c>
    </row>
    <row r="21" spans="1:5" x14ac:dyDescent="0.2">
      <c r="A21" s="114" t="s">
        <v>115</v>
      </c>
      <c r="B21" s="115" t="s">
        <v>3</v>
      </c>
      <c r="C21" s="118">
        <v>1500</v>
      </c>
      <c r="D21" s="119">
        <f t="shared" si="1"/>
        <v>11201</v>
      </c>
      <c r="E21" s="120">
        <f t="shared" si="0"/>
        <v>16801500</v>
      </c>
    </row>
    <row r="22" spans="1:5" x14ac:dyDescent="0.2">
      <c r="A22" s="114" t="s">
        <v>14</v>
      </c>
      <c r="B22" s="115" t="s">
        <v>3</v>
      </c>
      <c r="C22" s="118">
        <v>5500</v>
      </c>
      <c r="D22" s="119">
        <v>11201</v>
      </c>
      <c r="E22" s="120">
        <f t="shared" si="0"/>
        <v>61605500</v>
      </c>
    </row>
    <row r="23" spans="1:5" x14ac:dyDescent="0.2">
      <c r="A23" s="114" t="s">
        <v>15</v>
      </c>
      <c r="B23" s="115" t="s">
        <v>3</v>
      </c>
      <c r="C23" s="118">
        <v>19000</v>
      </c>
      <c r="D23" s="119">
        <v>11201</v>
      </c>
      <c r="E23" s="120">
        <f t="shared" si="0"/>
        <v>212819000</v>
      </c>
    </row>
    <row r="24" spans="1:5" x14ac:dyDescent="0.2">
      <c r="A24" s="114" t="s">
        <v>16</v>
      </c>
      <c r="B24" s="115" t="s">
        <v>3</v>
      </c>
      <c r="C24" s="118">
        <v>1200</v>
      </c>
      <c r="D24" s="119">
        <v>11201</v>
      </c>
      <c r="E24" s="120">
        <f t="shared" si="0"/>
        <v>13441200</v>
      </c>
    </row>
    <row r="25" spans="1:5" x14ac:dyDescent="0.2">
      <c r="A25" s="114" t="s">
        <v>17</v>
      </c>
      <c r="B25" s="115" t="s">
        <v>3</v>
      </c>
      <c r="C25" s="118">
        <v>1000</v>
      </c>
      <c r="D25" s="119">
        <v>11201</v>
      </c>
      <c r="E25" s="120">
        <f t="shared" si="0"/>
        <v>11201000</v>
      </c>
    </row>
    <row r="26" spans="1:5" x14ac:dyDescent="0.2">
      <c r="A26" s="114" t="s">
        <v>18</v>
      </c>
      <c r="B26" s="115" t="s">
        <v>3</v>
      </c>
      <c r="C26" s="118">
        <v>1400</v>
      </c>
      <c r="D26" s="119">
        <v>11201</v>
      </c>
      <c r="E26" s="120">
        <f t="shared" si="0"/>
        <v>15681400</v>
      </c>
    </row>
    <row r="27" spans="1:5" x14ac:dyDescent="0.2">
      <c r="A27" s="114" t="s">
        <v>19</v>
      </c>
      <c r="B27" s="115" t="s">
        <v>3</v>
      </c>
      <c r="C27" s="118">
        <v>1100</v>
      </c>
      <c r="D27" s="119">
        <v>11201</v>
      </c>
      <c r="E27" s="120">
        <f t="shared" si="0"/>
        <v>12321100</v>
      </c>
    </row>
    <row r="28" spans="1:5" x14ac:dyDescent="0.2">
      <c r="A28" s="114" t="s">
        <v>20</v>
      </c>
      <c r="B28" s="115" t="s">
        <v>3</v>
      </c>
      <c r="C28" s="118">
        <v>900</v>
      </c>
      <c r="D28" s="119">
        <v>11201</v>
      </c>
      <c r="E28" s="120">
        <f t="shared" si="0"/>
        <v>10080900</v>
      </c>
    </row>
    <row r="29" spans="1:5" x14ac:dyDescent="0.2">
      <c r="A29" s="114" t="s">
        <v>21</v>
      </c>
      <c r="B29" s="115" t="s">
        <v>3</v>
      </c>
      <c r="C29" s="118">
        <v>3500</v>
      </c>
      <c r="D29" s="119">
        <v>11201</v>
      </c>
      <c r="E29" s="120">
        <f t="shared" si="0"/>
        <v>39203500</v>
      </c>
    </row>
    <row r="30" spans="1:5" x14ac:dyDescent="0.2">
      <c r="A30" s="114" t="s">
        <v>22</v>
      </c>
      <c r="B30" s="115" t="s">
        <v>3</v>
      </c>
      <c r="C30" s="122">
        <v>1300</v>
      </c>
      <c r="D30" s="119">
        <v>11201</v>
      </c>
      <c r="E30" s="120">
        <f t="shared" si="0"/>
        <v>14561300</v>
      </c>
    </row>
    <row r="31" spans="1:5" x14ac:dyDescent="0.2">
      <c r="A31" s="114" t="s">
        <v>23</v>
      </c>
      <c r="B31" s="115" t="s">
        <v>3</v>
      </c>
      <c r="C31" s="122">
        <v>1100</v>
      </c>
      <c r="D31" s="119">
        <v>11201</v>
      </c>
      <c r="E31" s="120">
        <f t="shared" si="0"/>
        <v>12321100</v>
      </c>
    </row>
    <row r="32" spans="1:5" x14ac:dyDescent="0.2">
      <c r="A32" s="114" t="s">
        <v>24</v>
      </c>
      <c r="B32" s="115" t="s">
        <v>3</v>
      </c>
      <c r="C32" s="122">
        <v>1000</v>
      </c>
      <c r="D32" s="119">
        <v>11201</v>
      </c>
      <c r="E32" s="120">
        <f t="shared" si="0"/>
        <v>11201000</v>
      </c>
    </row>
    <row r="33" spans="1:5" x14ac:dyDescent="0.2">
      <c r="A33" s="114" t="s">
        <v>25</v>
      </c>
      <c r="B33" s="115" t="s">
        <v>3</v>
      </c>
      <c r="C33" s="122">
        <v>1300</v>
      </c>
      <c r="D33" s="119">
        <v>11201</v>
      </c>
      <c r="E33" s="120">
        <f t="shared" si="0"/>
        <v>14561300</v>
      </c>
    </row>
    <row r="34" spans="1:5" x14ac:dyDescent="0.2">
      <c r="A34" s="114" t="s">
        <v>26</v>
      </c>
      <c r="B34" s="115" t="s">
        <v>3</v>
      </c>
      <c r="C34" s="122">
        <v>1500</v>
      </c>
      <c r="D34" s="119">
        <v>11201</v>
      </c>
      <c r="E34" s="120">
        <f t="shared" si="0"/>
        <v>16801500</v>
      </c>
    </row>
    <row r="35" spans="1:5" ht="10.8" thickBot="1" x14ac:dyDescent="0.25">
      <c r="C35" s="123"/>
    </row>
    <row r="36" spans="1:5" ht="10.8" thickBot="1" x14ac:dyDescent="0.25">
      <c r="A36" s="129" t="s">
        <v>27</v>
      </c>
      <c r="B36" s="130" t="s">
        <v>28</v>
      </c>
      <c r="C36" s="131">
        <f>SUM(C8:C35)</f>
        <v>99000</v>
      </c>
      <c r="D36" s="132"/>
      <c r="E36" s="133">
        <f>SUM(E8:E35)</f>
        <v>1256394600</v>
      </c>
    </row>
    <row r="37" spans="1:5" ht="10.8" thickBot="1" x14ac:dyDescent="0.25">
      <c r="C37" s="123"/>
    </row>
    <row r="38" spans="1:5" x14ac:dyDescent="0.2">
      <c r="A38" s="114" t="s">
        <v>109</v>
      </c>
      <c r="B38" s="124">
        <f>C8+C9+C10</f>
        <v>37800</v>
      </c>
      <c r="C38" s="125"/>
      <c r="E38" s="89"/>
    </row>
    <row r="39" spans="1:5" x14ac:dyDescent="0.2">
      <c r="A39" s="114" t="s">
        <v>57</v>
      </c>
      <c r="B39" s="126">
        <f>C12+C22+C23+C29</f>
        <v>32100</v>
      </c>
      <c r="C39" s="123"/>
      <c r="D39" s="127"/>
      <c r="E39" s="89"/>
    </row>
    <row r="40" spans="1:5" ht="10.8" thickBot="1" x14ac:dyDescent="0.25">
      <c r="A40" s="114" t="s">
        <v>58</v>
      </c>
      <c r="B40" s="128">
        <f>C11+C13+C14+C15+C16+C17+C18+C19+C20+C21+C24+C25+C26+C27+C28+C30+C31+C32+C33+C34</f>
        <v>29100</v>
      </c>
      <c r="C40" s="123"/>
    </row>
  </sheetData>
  <mergeCells count="1">
    <mergeCell ref="A5:E5"/>
  </mergeCells>
  <pageMargins left="0.7" right="0.7" top="0.75" bottom="0.75" header="0.3" footer="0.3"/>
  <pageSetup orientation="landscape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82B50-9522-EB40-B605-9942465AE96C}">
  <sheetPr>
    <tabColor rgb="FFFFFF00"/>
  </sheetPr>
  <dimension ref="A1:E32"/>
  <sheetViews>
    <sheetView zoomScaleNormal="100" workbookViewId="0">
      <selection activeCell="F5" sqref="F5"/>
    </sheetView>
  </sheetViews>
  <sheetFormatPr baseColWidth="10" defaultColWidth="11.44140625" defaultRowHeight="10.199999999999999" x14ac:dyDescent="0.2"/>
  <cols>
    <col min="1" max="1" width="13" style="84" customWidth="1"/>
    <col min="2" max="4" width="11.44140625" style="84"/>
    <col min="5" max="5" width="17" style="84" customWidth="1"/>
    <col min="6" max="16384" width="11.44140625" style="84"/>
  </cols>
  <sheetData>
    <row r="1" spans="1:5" ht="10.8" thickBot="1" x14ac:dyDescent="0.25"/>
    <row r="2" spans="1:5" ht="10.8" thickBot="1" x14ac:dyDescent="0.25">
      <c r="A2" s="292" t="s">
        <v>199</v>
      </c>
      <c r="B2" s="293"/>
      <c r="C2" s="293"/>
      <c r="D2" s="293"/>
      <c r="E2" s="294"/>
    </row>
    <row r="3" spans="1:5" x14ac:dyDescent="0.2">
      <c r="B3" s="123"/>
      <c r="C3" s="123"/>
      <c r="E3" s="86"/>
    </row>
    <row r="4" spans="1:5" ht="20.399999999999999" x14ac:dyDescent="0.2">
      <c r="A4" s="107" t="s">
        <v>0</v>
      </c>
      <c r="B4" s="107" t="s">
        <v>1</v>
      </c>
      <c r="C4" s="108" t="s">
        <v>108</v>
      </c>
      <c r="D4" s="107" t="s">
        <v>193</v>
      </c>
      <c r="E4" s="107" t="s">
        <v>107</v>
      </c>
    </row>
    <row r="5" spans="1:5" x14ac:dyDescent="0.2">
      <c r="A5" s="114" t="s">
        <v>47</v>
      </c>
      <c r="B5" s="115" t="s">
        <v>3</v>
      </c>
      <c r="C5" s="115">
        <f>19400</f>
        <v>19400</v>
      </c>
      <c r="D5" s="119">
        <v>15103</v>
      </c>
      <c r="E5" s="134">
        <f>C5*D5</f>
        <v>292998200</v>
      </c>
    </row>
    <row r="6" spans="1:5" x14ac:dyDescent="0.2">
      <c r="A6" s="114" t="s">
        <v>48</v>
      </c>
      <c r="B6" s="115" t="s">
        <v>3</v>
      </c>
      <c r="C6" s="115">
        <v>3300</v>
      </c>
      <c r="D6" s="119">
        <v>15103</v>
      </c>
      <c r="E6" s="134">
        <f t="shared" ref="E6:E25" si="0">C6*D6</f>
        <v>49839900</v>
      </c>
    </row>
    <row r="7" spans="1:5" x14ac:dyDescent="0.2">
      <c r="A7" s="114" t="s">
        <v>49</v>
      </c>
      <c r="B7" s="115" t="s">
        <v>3</v>
      </c>
      <c r="C7" s="115">
        <v>2000</v>
      </c>
      <c r="D7" s="119">
        <v>11201</v>
      </c>
      <c r="E7" s="134">
        <f t="shared" si="0"/>
        <v>22402000</v>
      </c>
    </row>
    <row r="8" spans="1:5" x14ac:dyDescent="0.2">
      <c r="A8" s="114" t="s">
        <v>29</v>
      </c>
      <c r="B8" s="115" t="s">
        <v>3</v>
      </c>
      <c r="C8" s="115">
        <v>6500</v>
      </c>
      <c r="D8" s="135">
        <v>11201</v>
      </c>
      <c r="E8" s="134">
        <f t="shared" si="0"/>
        <v>72806500</v>
      </c>
    </row>
    <row r="9" spans="1:5" x14ac:dyDescent="0.2">
      <c r="A9" s="114" t="s">
        <v>30</v>
      </c>
      <c r="B9" s="115" t="s">
        <v>3</v>
      </c>
      <c r="C9" s="115">
        <v>3500</v>
      </c>
      <c r="D9" s="119">
        <v>11201</v>
      </c>
      <c r="E9" s="134">
        <f t="shared" si="0"/>
        <v>39203500</v>
      </c>
    </row>
    <row r="10" spans="1:5" x14ac:dyDescent="0.2">
      <c r="A10" s="114" t="s">
        <v>31</v>
      </c>
      <c r="B10" s="115" t="s">
        <v>3</v>
      </c>
      <c r="C10" s="115">
        <v>2200</v>
      </c>
      <c r="D10" s="119">
        <v>11201</v>
      </c>
      <c r="E10" s="134">
        <f t="shared" si="0"/>
        <v>24642200</v>
      </c>
    </row>
    <row r="11" spans="1:5" x14ac:dyDescent="0.2">
      <c r="A11" s="114" t="s">
        <v>32</v>
      </c>
      <c r="B11" s="115" t="s">
        <v>3</v>
      </c>
      <c r="C11" s="115">
        <v>2500</v>
      </c>
      <c r="D11" s="119">
        <v>11201</v>
      </c>
      <c r="E11" s="134">
        <f t="shared" si="0"/>
        <v>28002500</v>
      </c>
    </row>
    <row r="12" spans="1:5" x14ac:dyDescent="0.2">
      <c r="A12" s="114" t="s">
        <v>33</v>
      </c>
      <c r="B12" s="115" t="s">
        <v>3</v>
      </c>
      <c r="C12" s="115">
        <v>3400</v>
      </c>
      <c r="D12" s="119">
        <v>11201</v>
      </c>
      <c r="E12" s="134">
        <f t="shared" si="0"/>
        <v>38083400</v>
      </c>
    </row>
    <row r="13" spans="1:5" x14ac:dyDescent="0.2">
      <c r="A13" s="114" t="s">
        <v>34</v>
      </c>
      <c r="B13" s="115" t="s">
        <v>3</v>
      </c>
      <c r="C13" s="115">
        <v>2000</v>
      </c>
      <c r="D13" s="119">
        <v>11201</v>
      </c>
      <c r="E13" s="134">
        <f t="shared" si="0"/>
        <v>22402000</v>
      </c>
    </row>
    <row r="14" spans="1:5" x14ac:dyDescent="0.2">
      <c r="A14" s="114" t="s">
        <v>35</v>
      </c>
      <c r="B14" s="115" t="s">
        <v>3</v>
      </c>
      <c r="C14" s="115">
        <v>1500</v>
      </c>
      <c r="D14" s="119">
        <v>11201</v>
      </c>
      <c r="E14" s="134">
        <f t="shared" si="0"/>
        <v>16801500</v>
      </c>
    </row>
    <row r="15" spans="1:5" x14ac:dyDescent="0.2">
      <c r="A15" s="114" t="s">
        <v>36</v>
      </c>
      <c r="B15" s="115" t="s">
        <v>3</v>
      </c>
      <c r="C15" s="115">
        <v>1300</v>
      </c>
      <c r="D15" s="119">
        <v>11201</v>
      </c>
      <c r="E15" s="134">
        <f t="shared" si="0"/>
        <v>14561300</v>
      </c>
    </row>
    <row r="16" spans="1:5" x14ac:dyDescent="0.2">
      <c r="A16" s="114" t="s">
        <v>37</v>
      </c>
      <c r="B16" s="115" t="s">
        <v>3</v>
      </c>
      <c r="C16" s="115">
        <v>1300</v>
      </c>
      <c r="D16" s="119">
        <v>11201</v>
      </c>
      <c r="E16" s="134">
        <f t="shared" si="0"/>
        <v>14561300</v>
      </c>
    </row>
    <row r="17" spans="1:5" x14ac:dyDescent="0.2">
      <c r="A17" s="114" t="s">
        <v>38</v>
      </c>
      <c r="B17" s="115" t="s">
        <v>3</v>
      </c>
      <c r="C17" s="115">
        <v>2400</v>
      </c>
      <c r="D17" s="119">
        <v>11201</v>
      </c>
      <c r="E17" s="134">
        <f t="shared" si="0"/>
        <v>26882400</v>
      </c>
    </row>
    <row r="18" spans="1:5" x14ac:dyDescent="0.2">
      <c r="A18" s="114" t="s">
        <v>39</v>
      </c>
      <c r="B18" s="115" t="s">
        <v>3</v>
      </c>
      <c r="C18" s="115">
        <v>2600</v>
      </c>
      <c r="D18" s="119">
        <v>11201</v>
      </c>
      <c r="E18" s="134">
        <f t="shared" si="0"/>
        <v>29122600</v>
      </c>
    </row>
    <row r="19" spans="1:5" x14ac:dyDescent="0.2">
      <c r="A19" s="114" t="s">
        <v>40</v>
      </c>
      <c r="B19" s="115" t="s">
        <v>3</v>
      </c>
      <c r="C19" s="115">
        <v>2600</v>
      </c>
      <c r="D19" s="119">
        <v>11201</v>
      </c>
      <c r="E19" s="134">
        <f t="shared" si="0"/>
        <v>29122600</v>
      </c>
    </row>
    <row r="20" spans="1:5" x14ac:dyDescent="0.2">
      <c r="A20" s="114" t="s">
        <v>41</v>
      </c>
      <c r="B20" s="115" t="s">
        <v>3</v>
      </c>
      <c r="C20" s="115">
        <v>900</v>
      </c>
      <c r="D20" s="119">
        <v>11201</v>
      </c>
      <c r="E20" s="134">
        <f t="shared" si="0"/>
        <v>10080900</v>
      </c>
    </row>
    <row r="21" spans="1:5" x14ac:dyDescent="0.2">
      <c r="A21" s="114" t="s">
        <v>42</v>
      </c>
      <c r="B21" s="115" t="s">
        <v>3</v>
      </c>
      <c r="C21" s="115">
        <v>1800</v>
      </c>
      <c r="D21" s="119">
        <v>11201</v>
      </c>
      <c r="E21" s="134">
        <f t="shared" si="0"/>
        <v>20161800</v>
      </c>
    </row>
    <row r="22" spans="1:5" x14ac:dyDescent="0.2">
      <c r="A22" s="114" t="s">
        <v>43</v>
      </c>
      <c r="B22" s="115" t="s">
        <v>3</v>
      </c>
      <c r="C22" s="115">
        <f>643*1.1</f>
        <v>707.30000000000007</v>
      </c>
      <c r="D22" s="119">
        <v>11201</v>
      </c>
      <c r="E22" s="134">
        <f t="shared" si="0"/>
        <v>7922467.3000000007</v>
      </c>
    </row>
    <row r="23" spans="1:5" x14ac:dyDescent="0.2">
      <c r="A23" s="114" t="s">
        <v>44</v>
      </c>
      <c r="B23" s="115" t="s">
        <v>3</v>
      </c>
      <c r="C23" s="115">
        <v>1300</v>
      </c>
      <c r="D23" s="119">
        <v>11201</v>
      </c>
      <c r="E23" s="134">
        <f t="shared" si="0"/>
        <v>14561300</v>
      </c>
    </row>
    <row r="24" spans="1:5" x14ac:dyDescent="0.2">
      <c r="A24" s="114" t="s">
        <v>45</v>
      </c>
      <c r="B24" s="115" t="s">
        <v>3</v>
      </c>
      <c r="C24" s="115">
        <v>1100</v>
      </c>
      <c r="D24" s="119">
        <v>11201</v>
      </c>
      <c r="E24" s="134">
        <f t="shared" si="0"/>
        <v>12321100</v>
      </c>
    </row>
    <row r="25" spans="1:5" x14ac:dyDescent="0.2">
      <c r="A25" s="114" t="s">
        <v>46</v>
      </c>
      <c r="B25" s="115" t="s">
        <v>3</v>
      </c>
      <c r="C25" s="115">
        <v>700</v>
      </c>
      <c r="D25" s="119">
        <v>11201</v>
      </c>
      <c r="E25" s="134">
        <f t="shared" si="0"/>
        <v>7840700</v>
      </c>
    </row>
    <row r="26" spans="1:5" ht="10.8" thickBot="1" x14ac:dyDescent="0.25">
      <c r="C26" s="123"/>
    </row>
    <row r="27" spans="1:5" ht="10.8" thickBot="1" x14ac:dyDescent="0.25">
      <c r="A27" s="105" t="s">
        <v>27</v>
      </c>
      <c r="B27" s="136" t="s">
        <v>28</v>
      </c>
      <c r="C27" s="131">
        <f>SUM(C5:C26)</f>
        <v>63007.3</v>
      </c>
      <c r="D27" s="132"/>
      <c r="E27" s="133">
        <f>SUM(E5:E26)</f>
        <v>794320167.29999995</v>
      </c>
    </row>
    <row r="29" spans="1:5" ht="10.8" thickBot="1" x14ac:dyDescent="0.25"/>
    <row r="30" spans="1:5" x14ac:dyDescent="0.2">
      <c r="A30" s="114" t="s">
        <v>109</v>
      </c>
      <c r="B30" s="124">
        <f>C5+C6</f>
        <v>22700</v>
      </c>
    </row>
    <row r="31" spans="1:5" x14ac:dyDescent="0.2">
      <c r="A31" s="114" t="s">
        <v>57</v>
      </c>
      <c r="B31" s="126">
        <f>C8</f>
        <v>6500</v>
      </c>
    </row>
    <row r="32" spans="1:5" ht="10.8" thickBot="1" x14ac:dyDescent="0.25">
      <c r="A32" s="114" t="s">
        <v>58</v>
      </c>
      <c r="B32" s="128">
        <f>C7+C9+C10+C11+C12+C13+C14+C15+C16+C17+C18+C19+C20+C21+C22+C23+C24+C25</f>
        <v>33807.300000000003</v>
      </c>
    </row>
  </sheetData>
  <mergeCells count="1">
    <mergeCell ref="A2:E2"/>
  </mergeCells>
  <pageMargins left="0.7" right="0.7" top="0.75" bottom="0.75" header="0.3" footer="0.3"/>
  <pageSetup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A2B8D-AF90-9B41-9313-273F6151D0BF}">
  <sheetPr>
    <tabColor rgb="FFFFFF00"/>
  </sheetPr>
  <dimension ref="A3:E9"/>
  <sheetViews>
    <sheetView zoomScale="110" zoomScaleNormal="110" workbookViewId="0">
      <selection activeCell="C8" sqref="C8"/>
    </sheetView>
  </sheetViews>
  <sheetFormatPr baseColWidth="10" defaultColWidth="11.44140625" defaultRowHeight="10.199999999999999" x14ac:dyDescent="0.2"/>
  <cols>
    <col min="1" max="1" width="28.33203125" style="84" customWidth="1"/>
    <col min="2" max="4" width="11.44140625" style="84"/>
    <col min="5" max="5" width="14.44140625" style="84" customWidth="1"/>
    <col min="6" max="16384" width="11.44140625" style="84"/>
  </cols>
  <sheetData>
    <row r="3" spans="1:5" x14ac:dyDescent="0.2">
      <c r="A3" s="295" t="s">
        <v>195</v>
      </c>
      <c r="B3" s="295"/>
      <c r="C3" s="295"/>
      <c r="D3" s="295"/>
      <c r="E3" s="295"/>
    </row>
    <row r="4" spans="1:5" x14ac:dyDescent="0.2">
      <c r="B4" s="123"/>
      <c r="C4" s="123"/>
      <c r="E4" s="86"/>
    </row>
    <row r="5" spans="1:5" ht="20.399999999999999" x14ac:dyDescent="0.2">
      <c r="A5" s="87" t="s">
        <v>0</v>
      </c>
      <c r="B5" s="87" t="s">
        <v>1</v>
      </c>
      <c r="C5" s="88" t="s">
        <v>108</v>
      </c>
      <c r="D5" s="87" t="s">
        <v>193</v>
      </c>
      <c r="E5" s="87" t="s">
        <v>107</v>
      </c>
    </row>
    <row r="6" spans="1:5" x14ac:dyDescent="0.2">
      <c r="A6" s="114" t="s">
        <v>196</v>
      </c>
      <c r="B6" s="115" t="s">
        <v>3</v>
      </c>
      <c r="C6" s="118">
        <f>'PRESUPUESTO MANATI'!B38+'PRESUPUESTO SANTA LUCIA '!B30</f>
        <v>60500</v>
      </c>
      <c r="D6" s="119">
        <v>15103</v>
      </c>
      <c r="E6" s="134">
        <f>C6*D6</f>
        <v>913731500</v>
      </c>
    </row>
    <row r="7" spans="1:5" x14ac:dyDescent="0.2">
      <c r="A7" s="114" t="s">
        <v>197</v>
      </c>
      <c r="B7" s="115" t="s">
        <v>3</v>
      </c>
      <c r="C7" s="118">
        <f>'PRESUPUESTO MANATI'!B39+'PRESUPUESTO SANTA LUCIA '!B31</f>
        <v>38600</v>
      </c>
      <c r="D7" s="119">
        <v>11201</v>
      </c>
      <c r="E7" s="134">
        <f t="shared" ref="E7:E8" si="0">C7*D7</f>
        <v>432358600</v>
      </c>
    </row>
    <row r="8" spans="1:5" x14ac:dyDescent="0.2">
      <c r="A8" s="114" t="s">
        <v>198</v>
      </c>
      <c r="B8" s="115" t="s">
        <v>3</v>
      </c>
      <c r="C8" s="118">
        <f>'PRESUPUESTO MANATI'!B40+'PRESUPUESTO SANTA LUCIA '!B32</f>
        <v>62907.3</v>
      </c>
      <c r="D8" s="119">
        <v>11201</v>
      </c>
      <c r="E8" s="134">
        <f t="shared" si="0"/>
        <v>704624667.30000007</v>
      </c>
    </row>
    <row r="9" spans="1:5" x14ac:dyDescent="0.2">
      <c r="E9" s="89"/>
    </row>
  </sheetData>
  <mergeCells count="1">
    <mergeCell ref="A3:E3"/>
  </mergeCells>
  <pageMargins left="0.7" right="0.7" top="0.75" bottom="0.75" header="0.3" footer="0.3"/>
  <pageSetup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79CEB-CCE2-46BD-BEF3-8673666B38E1}">
  <sheetPr>
    <tabColor rgb="FFFFFF00"/>
  </sheetPr>
  <dimension ref="A1:N58"/>
  <sheetViews>
    <sheetView zoomScale="80" zoomScaleNormal="80" workbookViewId="0">
      <selection activeCell="B15" sqref="B15:D15"/>
    </sheetView>
  </sheetViews>
  <sheetFormatPr baseColWidth="10" defaultColWidth="11.44140625" defaultRowHeight="10.199999999999999" x14ac:dyDescent="0.2"/>
  <cols>
    <col min="1" max="1" width="1.44140625" style="84" customWidth="1"/>
    <col min="2" max="3" width="11.44140625" style="84"/>
    <col min="4" max="4" width="14.33203125" style="84" bestFit="1" customWidth="1"/>
    <col min="5" max="5" width="13.44140625" style="84" bestFit="1" customWidth="1"/>
    <col min="6" max="6" width="12.109375" style="84" customWidth="1"/>
    <col min="7" max="7" width="8.109375" style="84" customWidth="1"/>
    <col min="8" max="8" width="7.6640625" style="84" customWidth="1"/>
    <col min="9" max="9" width="15.44140625" style="84" customWidth="1"/>
    <col min="10" max="10" width="19.33203125" style="137" bestFit="1" customWidth="1"/>
    <col min="11" max="11" width="1.44140625" style="84" customWidth="1"/>
    <col min="12" max="12" width="12" style="84" bestFit="1" customWidth="1"/>
    <col min="13" max="16384" width="11.44140625" style="84"/>
  </cols>
  <sheetData>
    <row r="1" spans="1:11" ht="10.8" thickBot="1" x14ac:dyDescent="0.25"/>
    <row r="2" spans="1:11" ht="6.75" customHeight="1" thickBot="1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40"/>
      <c r="K2" s="141"/>
    </row>
    <row r="3" spans="1:11" x14ac:dyDescent="0.2">
      <c r="A3" s="142"/>
      <c r="B3" s="296"/>
      <c r="C3" s="297"/>
      <c r="D3" s="298"/>
      <c r="E3" s="305" t="s">
        <v>59</v>
      </c>
      <c r="F3" s="306"/>
      <c r="G3" s="306"/>
      <c r="H3" s="306"/>
      <c r="I3" s="306"/>
      <c r="J3" s="307"/>
      <c r="K3" s="144"/>
    </row>
    <row r="4" spans="1:11" x14ac:dyDescent="0.2">
      <c r="A4" s="142"/>
      <c r="B4" s="299"/>
      <c r="C4" s="300"/>
      <c r="D4" s="301"/>
      <c r="E4" s="308"/>
      <c r="F4" s="309"/>
      <c r="G4" s="309"/>
      <c r="H4" s="309"/>
      <c r="I4" s="309"/>
      <c r="J4" s="310"/>
      <c r="K4" s="144"/>
    </row>
    <row r="5" spans="1:11" ht="10.8" thickBot="1" x14ac:dyDescent="0.25">
      <c r="A5" s="142"/>
      <c r="B5" s="302"/>
      <c r="C5" s="303"/>
      <c r="D5" s="304"/>
      <c r="E5" s="311"/>
      <c r="F5" s="312"/>
      <c r="G5" s="312"/>
      <c r="H5" s="312"/>
      <c r="I5" s="312"/>
      <c r="J5" s="313"/>
      <c r="K5" s="144"/>
    </row>
    <row r="6" spans="1:11" ht="6" customHeight="1" thickBot="1" x14ac:dyDescent="0.25">
      <c r="A6" s="142"/>
      <c r="B6" s="145"/>
      <c r="C6" s="146"/>
      <c r="D6" s="9"/>
      <c r="E6" s="146"/>
      <c r="F6" s="146"/>
      <c r="G6" s="146"/>
      <c r="H6" s="146"/>
      <c r="I6" s="146"/>
      <c r="J6" s="147"/>
      <c r="K6" s="144"/>
    </row>
    <row r="7" spans="1:11" ht="33" customHeight="1" x14ac:dyDescent="0.2">
      <c r="A7" s="142"/>
      <c r="B7" s="314" t="s">
        <v>201</v>
      </c>
      <c r="C7" s="315"/>
      <c r="D7" s="315"/>
      <c r="E7" s="315"/>
      <c r="F7" s="315"/>
      <c r="G7" s="315"/>
      <c r="H7" s="315"/>
      <c r="I7" s="315"/>
      <c r="J7" s="316"/>
      <c r="K7" s="144"/>
    </row>
    <row r="8" spans="1:11" ht="10.8" thickBot="1" x14ac:dyDescent="0.25">
      <c r="A8" s="142"/>
      <c r="B8" s="317"/>
      <c r="C8" s="318"/>
      <c r="D8" s="318"/>
      <c r="E8" s="318"/>
      <c r="F8" s="318"/>
      <c r="G8" s="318"/>
      <c r="H8" s="318"/>
      <c r="I8" s="318"/>
      <c r="J8" s="319"/>
      <c r="K8" s="144"/>
    </row>
    <row r="9" spans="1:11" ht="57.75" customHeight="1" thickBot="1" x14ac:dyDescent="0.25">
      <c r="A9" s="142"/>
      <c r="B9" s="320" t="s">
        <v>226</v>
      </c>
      <c r="C9" s="321"/>
      <c r="D9" s="321"/>
      <c r="E9" s="322"/>
      <c r="F9" s="323" t="s">
        <v>155</v>
      </c>
      <c r="G9" s="324"/>
      <c r="H9" s="325"/>
      <c r="I9" s="325"/>
      <c r="J9" s="326"/>
      <c r="K9" s="144"/>
    </row>
    <row r="10" spans="1:11" ht="6" customHeight="1" thickBot="1" x14ac:dyDescent="0.25">
      <c r="A10" s="142"/>
      <c r="B10" s="148"/>
      <c r="C10" s="148"/>
      <c r="D10" s="146"/>
      <c r="E10" s="148"/>
      <c r="F10" s="148"/>
      <c r="G10" s="148"/>
      <c r="H10" s="148"/>
      <c r="I10" s="148"/>
      <c r="J10" s="147"/>
      <c r="K10" s="144"/>
    </row>
    <row r="11" spans="1:11" ht="16.5" customHeight="1" thickBot="1" x14ac:dyDescent="0.25">
      <c r="A11" s="142"/>
      <c r="B11" s="327" t="s">
        <v>61</v>
      </c>
      <c r="C11" s="328"/>
      <c r="D11" s="328"/>
      <c r="E11" s="328"/>
      <c r="F11" s="328"/>
      <c r="G11" s="328"/>
      <c r="H11" s="328"/>
      <c r="I11" s="328"/>
      <c r="J11" s="329"/>
      <c r="K11" s="144"/>
    </row>
    <row r="12" spans="1:11" ht="6" customHeight="1" thickBot="1" x14ac:dyDescent="0.25">
      <c r="A12" s="142"/>
      <c r="B12" s="148"/>
      <c r="C12" s="148"/>
      <c r="D12" s="146"/>
      <c r="E12" s="148"/>
      <c r="F12" s="148"/>
      <c r="G12" s="148"/>
      <c r="H12" s="148"/>
      <c r="I12" s="148"/>
      <c r="J12" s="147"/>
      <c r="K12" s="144"/>
    </row>
    <row r="13" spans="1:11" ht="10.8" thickBot="1" x14ac:dyDescent="0.25">
      <c r="A13" s="142"/>
      <c r="B13" s="327" t="s">
        <v>62</v>
      </c>
      <c r="C13" s="328"/>
      <c r="D13" s="328"/>
      <c r="E13" s="328"/>
      <c r="F13" s="328"/>
      <c r="G13" s="328"/>
      <c r="H13" s="328"/>
      <c r="I13" s="328"/>
      <c r="J13" s="329"/>
      <c r="K13" s="144"/>
    </row>
    <row r="14" spans="1:11" ht="10.8" thickBot="1" x14ac:dyDescent="0.25">
      <c r="A14" s="142"/>
      <c r="B14" s="330" t="s">
        <v>63</v>
      </c>
      <c r="C14" s="331"/>
      <c r="D14" s="332"/>
      <c r="E14" s="150" t="s">
        <v>64</v>
      </c>
      <c r="F14" s="151" t="s">
        <v>104</v>
      </c>
      <c r="G14" s="330" t="s">
        <v>156</v>
      </c>
      <c r="H14" s="332"/>
      <c r="I14" s="149" t="s">
        <v>67</v>
      </c>
      <c r="J14" s="152" t="s">
        <v>68</v>
      </c>
      <c r="K14" s="144"/>
    </row>
    <row r="15" spans="1:11" ht="12.9" customHeight="1" x14ac:dyDescent="0.2">
      <c r="A15" s="142"/>
      <c r="B15" s="333" t="s">
        <v>69</v>
      </c>
      <c r="C15" s="334"/>
      <c r="D15" s="335"/>
      <c r="E15" s="153"/>
      <c r="F15" s="153"/>
      <c r="G15" s="336"/>
      <c r="H15" s="337"/>
      <c r="I15" s="154"/>
      <c r="J15" s="155">
        <f t="shared" ref="J15" si="0">+I15</f>
        <v>0</v>
      </c>
      <c r="K15" s="144"/>
    </row>
    <row r="16" spans="1:11" ht="10.8" thickBot="1" x14ac:dyDescent="0.25">
      <c r="A16" s="142"/>
      <c r="B16" s="340" t="s">
        <v>102</v>
      </c>
      <c r="C16" s="341"/>
      <c r="D16" s="342"/>
      <c r="E16" s="156"/>
      <c r="F16" s="156">
        <v>371000</v>
      </c>
      <c r="G16" s="343">
        <v>24.564656028672378</v>
      </c>
      <c r="H16" s="344"/>
      <c r="I16" s="157">
        <f>F16/G16</f>
        <v>15102.999999957707</v>
      </c>
      <c r="J16" s="158">
        <f>F16/G16</f>
        <v>15102.999999957707</v>
      </c>
      <c r="K16" s="144"/>
    </row>
    <row r="17" spans="1:14" ht="10.8" thickBot="1" x14ac:dyDescent="0.25">
      <c r="A17" s="142"/>
      <c r="B17" s="146"/>
      <c r="C17" s="146"/>
      <c r="D17" s="146"/>
      <c r="E17" s="146"/>
      <c r="F17" s="146"/>
      <c r="G17" s="146"/>
      <c r="H17" s="146"/>
      <c r="I17" s="159" t="s">
        <v>70</v>
      </c>
      <c r="J17" s="160">
        <f>SUM(J15:J16)</f>
        <v>15102.999999957707</v>
      </c>
      <c r="K17" s="144"/>
    </row>
    <row r="18" spans="1:14" ht="6" customHeight="1" thickBot="1" x14ac:dyDescent="0.25">
      <c r="A18" s="142"/>
      <c r="B18" s="146"/>
      <c r="C18" s="146"/>
      <c r="D18" s="146"/>
      <c r="E18" s="146"/>
      <c r="F18" s="146"/>
      <c r="G18" s="146"/>
      <c r="H18" s="146"/>
      <c r="I18" s="159"/>
      <c r="J18" s="161"/>
      <c r="K18" s="144"/>
    </row>
    <row r="19" spans="1:14" ht="10.8" thickBot="1" x14ac:dyDescent="0.25">
      <c r="A19" s="142"/>
      <c r="B19" s="327" t="s">
        <v>71</v>
      </c>
      <c r="C19" s="328"/>
      <c r="D19" s="328"/>
      <c r="E19" s="328"/>
      <c r="F19" s="328"/>
      <c r="G19" s="328"/>
      <c r="H19" s="328"/>
      <c r="I19" s="328"/>
      <c r="J19" s="329"/>
      <c r="K19" s="144"/>
      <c r="N19" s="260"/>
    </row>
    <row r="20" spans="1:14" ht="10.8" thickBot="1" x14ac:dyDescent="0.25">
      <c r="A20" s="142"/>
      <c r="B20" s="330" t="s">
        <v>63</v>
      </c>
      <c r="C20" s="331"/>
      <c r="D20" s="332"/>
      <c r="E20" s="150" t="s">
        <v>1</v>
      </c>
      <c r="F20" s="150" t="s">
        <v>72</v>
      </c>
      <c r="G20" s="150" t="s">
        <v>73</v>
      </c>
      <c r="H20" s="149" t="s">
        <v>74</v>
      </c>
      <c r="I20" s="149" t="s">
        <v>67</v>
      </c>
      <c r="J20" s="152" t="s">
        <v>68</v>
      </c>
      <c r="K20" s="144"/>
    </row>
    <row r="21" spans="1:14" x14ac:dyDescent="0.2">
      <c r="A21" s="142"/>
      <c r="B21" s="345"/>
      <c r="C21" s="346"/>
      <c r="D21" s="347"/>
      <c r="E21" s="162"/>
      <c r="F21" s="163"/>
      <c r="G21" s="164"/>
      <c r="H21" s="165"/>
      <c r="I21" s="164"/>
      <c r="J21" s="166"/>
      <c r="K21" s="144"/>
    </row>
    <row r="22" spans="1:14" x14ac:dyDescent="0.2">
      <c r="A22" s="142"/>
      <c r="B22" s="333"/>
      <c r="C22" s="334"/>
      <c r="D22" s="335"/>
      <c r="E22" s="153"/>
      <c r="F22" s="167"/>
      <c r="G22" s="168"/>
      <c r="H22" s="169"/>
      <c r="I22" s="170"/>
      <c r="J22" s="158">
        <f t="shared" ref="J22:J25" si="1">+I22</f>
        <v>0</v>
      </c>
      <c r="K22" s="144"/>
      <c r="L22" s="171"/>
    </row>
    <row r="23" spans="1:14" x14ac:dyDescent="0.2">
      <c r="A23" s="142"/>
      <c r="B23" s="333"/>
      <c r="C23" s="334"/>
      <c r="D23" s="335"/>
      <c r="E23" s="153"/>
      <c r="F23" s="167"/>
      <c r="G23" s="168"/>
      <c r="H23" s="169"/>
      <c r="I23" s="170"/>
      <c r="J23" s="155">
        <f t="shared" si="1"/>
        <v>0</v>
      </c>
      <c r="K23" s="144"/>
      <c r="L23" s="171"/>
    </row>
    <row r="24" spans="1:14" x14ac:dyDescent="0.2">
      <c r="A24" s="142"/>
      <c r="B24" s="333"/>
      <c r="C24" s="334"/>
      <c r="D24" s="335"/>
      <c r="E24" s="153"/>
      <c r="F24" s="167"/>
      <c r="G24" s="168"/>
      <c r="H24" s="169"/>
      <c r="I24" s="170"/>
      <c r="J24" s="155">
        <f t="shared" si="1"/>
        <v>0</v>
      </c>
      <c r="K24" s="144"/>
    </row>
    <row r="25" spans="1:14" ht="10.8" thickBot="1" x14ac:dyDescent="0.25">
      <c r="A25" s="142"/>
      <c r="B25" s="348"/>
      <c r="C25" s="349"/>
      <c r="D25" s="350"/>
      <c r="E25" s="172"/>
      <c r="F25" s="173"/>
      <c r="G25" s="174"/>
      <c r="H25" s="175"/>
      <c r="I25" s="176"/>
      <c r="J25" s="177">
        <f t="shared" si="1"/>
        <v>0</v>
      </c>
      <c r="K25" s="144"/>
    </row>
    <row r="26" spans="1:14" ht="10.8" thickBot="1" x14ac:dyDescent="0.25">
      <c r="A26" s="142"/>
      <c r="B26" s="146"/>
      <c r="C26" s="146"/>
      <c r="D26" s="146"/>
      <c r="E26" s="146"/>
      <c r="F26" s="146"/>
      <c r="G26" s="146"/>
      <c r="H26" s="146"/>
      <c r="I26" s="159" t="s">
        <v>70</v>
      </c>
      <c r="J26" s="178">
        <f>SUM(J21:J25)</f>
        <v>0</v>
      </c>
      <c r="K26" s="144"/>
    </row>
    <row r="27" spans="1:14" ht="6" customHeight="1" thickBot="1" x14ac:dyDescent="0.25">
      <c r="A27" s="142"/>
      <c r="B27" s="146"/>
      <c r="C27" s="146"/>
      <c r="D27" s="146"/>
      <c r="E27" s="146"/>
      <c r="F27" s="146"/>
      <c r="G27" s="146"/>
      <c r="H27" s="146"/>
      <c r="I27" s="159"/>
      <c r="J27" s="161"/>
      <c r="K27" s="144"/>
    </row>
    <row r="28" spans="1:14" ht="10.8" thickBot="1" x14ac:dyDescent="0.25">
      <c r="A28" s="142"/>
      <c r="B28" s="327" t="s">
        <v>75</v>
      </c>
      <c r="C28" s="328"/>
      <c r="D28" s="328"/>
      <c r="E28" s="328"/>
      <c r="F28" s="328"/>
      <c r="G28" s="328"/>
      <c r="H28" s="328"/>
      <c r="I28" s="328"/>
      <c r="J28" s="329"/>
      <c r="K28" s="144"/>
    </row>
    <row r="29" spans="1:14" ht="10.8" thickBot="1" x14ac:dyDescent="0.25">
      <c r="A29" s="142"/>
      <c r="B29" s="150" t="s">
        <v>76</v>
      </c>
      <c r="C29" s="150" t="s">
        <v>1</v>
      </c>
      <c r="D29" s="150" t="s">
        <v>77</v>
      </c>
      <c r="E29" s="150" t="s">
        <v>78</v>
      </c>
      <c r="F29" s="150" t="s">
        <v>79</v>
      </c>
      <c r="G29" s="330" t="s">
        <v>80</v>
      </c>
      <c r="H29" s="332"/>
      <c r="I29" s="143" t="s">
        <v>67</v>
      </c>
      <c r="J29" s="152" t="s">
        <v>68</v>
      </c>
      <c r="K29" s="144"/>
    </row>
    <row r="30" spans="1:14" x14ac:dyDescent="0.2">
      <c r="A30" s="142"/>
      <c r="B30" s="179" t="s">
        <v>106</v>
      </c>
      <c r="C30" s="180" t="s">
        <v>105</v>
      </c>
      <c r="D30" s="181"/>
      <c r="E30" s="181"/>
      <c r="F30" s="182"/>
      <c r="G30" s="338"/>
      <c r="H30" s="339"/>
      <c r="I30" s="182"/>
      <c r="J30" s="166">
        <f>+I30</f>
        <v>0</v>
      </c>
      <c r="K30" s="144"/>
    </row>
    <row r="31" spans="1:14" x14ac:dyDescent="0.2">
      <c r="A31" s="142"/>
      <c r="B31" s="183"/>
      <c r="C31" s="184"/>
      <c r="D31" s="185"/>
      <c r="E31" s="185"/>
      <c r="F31" s="186"/>
      <c r="G31" s="351"/>
      <c r="H31" s="352"/>
      <c r="I31" s="186"/>
      <c r="J31" s="155"/>
      <c r="K31" s="144"/>
    </row>
    <row r="32" spans="1:14" x14ac:dyDescent="0.2">
      <c r="A32" s="142"/>
      <c r="B32" s="183"/>
      <c r="C32" s="184"/>
      <c r="D32" s="185"/>
      <c r="E32" s="185"/>
      <c r="F32" s="186"/>
      <c r="G32" s="351"/>
      <c r="H32" s="352"/>
      <c r="I32" s="186"/>
      <c r="J32" s="155"/>
      <c r="K32" s="144"/>
    </row>
    <row r="33" spans="1:11" x14ac:dyDescent="0.2">
      <c r="A33" s="142"/>
      <c r="B33" s="187"/>
      <c r="C33" s="188"/>
      <c r="D33" s="189"/>
      <c r="E33" s="189"/>
      <c r="F33" s="186"/>
      <c r="G33" s="351"/>
      <c r="H33" s="352"/>
      <c r="I33" s="186"/>
      <c r="J33" s="155"/>
      <c r="K33" s="144"/>
    </row>
    <row r="34" spans="1:11" ht="10.8" thickBot="1" x14ac:dyDescent="0.25">
      <c r="A34" s="142"/>
      <c r="B34" s="190"/>
      <c r="C34" s="191"/>
      <c r="D34" s="192"/>
      <c r="E34" s="193"/>
      <c r="F34" s="194" t="s">
        <v>81</v>
      </c>
      <c r="G34" s="353" t="s">
        <v>81</v>
      </c>
      <c r="H34" s="354"/>
      <c r="I34" s="194" t="s">
        <v>81</v>
      </c>
      <c r="J34" s="177"/>
      <c r="K34" s="144"/>
    </row>
    <row r="35" spans="1:11" ht="10.8" thickBot="1" x14ac:dyDescent="0.25">
      <c r="A35" s="142"/>
      <c r="B35" s="146"/>
      <c r="C35" s="146"/>
      <c r="D35" s="146"/>
      <c r="E35" s="146"/>
      <c r="F35" s="146"/>
      <c r="G35" s="146"/>
      <c r="H35" s="146"/>
      <c r="I35" s="159" t="s">
        <v>70</v>
      </c>
      <c r="J35" s="160">
        <f>SUM(J30:J34)</f>
        <v>0</v>
      </c>
      <c r="K35" s="144"/>
    </row>
    <row r="36" spans="1:11" ht="6" customHeight="1" thickBot="1" x14ac:dyDescent="0.25">
      <c r="A36" s="142"/>
      <c r="B36" s="146"/>
      <c r="C36" s="146"/>
      <c r="D36" s="146"/>
      <c r="E36" s="146"/>
      <c r="F36" s="146"/>
      <c r="G36" s="146"/>
      <c r="H36" s="146"/>
      <c r="I36" s="159"/>
      <c r="J36" s="161"/>
      <c r="K36" s="144"/>
    </row>
    <row r="37" spans="1:11" ht="10.8" thickBot="1" x14ac:dyDescent="0.25">
      <c r="A37" s="142"/>
      <c r="B37" s="327" t="s">
        <v>82</v>
      </c>
      <c r="C37" s="328"/>
      <c r="D37" s="328"/>
      <c r="E37" s="328"/>
      <c r="F37" s="328"/>
      <c r="G37" s="328"/>
      <c r="H37" s="328"/>
      <c r="I37" s="328"/>
      <c r="J37" s="329"/>
      <c r="K37" s="144"/>
    </row>
    <row r="38" spans="1:11" ht="10.8" thickBot="1" x14ac:dyDescent="0.25">
      <c r="A38" s="142"/>
      <c r="B38" s="330" t="s">
        <v>83</v>
      </c>
      <c r="C38" s="332"/>
      <c r="D38" s="150" t="s">
        <v>84</v>
      </c>
      <c r="E38" s="150" t="s">
        <v>85</v>
      </c>
      <c r="F38" s="151" t="s">
        <v>86</v>
      </c>
      <c r="G38" s="330" t="s">
        <v>66</v>
      </c>
      <c r="H38" s="332"/>
      <c r="I38" s="150" t="s">
        <v>67</v>
      </c>
      <c r="J38" s="152" t="s">
        <v>68</v>
      </c>
      <c r="K38" s="144"/>
    </row>
    <row r="39" spans="1:11" x14ac:dyDescent="0.2">
      <c r="A39" s="142"/>
      <c r="B39" s="355" t="s">
        <v>87</v>
      </c>
      <c r="C39" s="356"/>
      <c r="D39" s="195">
        <v>65000</v>
      </c>
      <c r="E39" s="165">
        <v>0.25</v>
      </c>
      <c r="F39" s="196">
        <f>+(D39*E39)+D39</f>
        <v>81250</v>
      </c>
      <c r="G39" s="357"/>
      <c r="H39" s="358"/>
      <c r="I39" s="196"/>
      <c r="J39" s="158">
        <f>+I39</f>
        <v>0</v>
      </c>
      <c r="K39" s="144"/>
    </row>
    <row r="40" spans="1:11" ht="10.8" thickBot="1" x14ac:dyDescent="0.25">
      <c r="A40" s="142"/>
      <c r="B40" s="359" t="s">
        <v>88</v>
      </c>
      <c r="C40" s="360"/>
      <c r="D40" s="197">
        <v>70000</v>
      </c>
      <c r="E40" s="198">
        <v>0.25</v>
      </c>
      <c r="F40" s="199">
        <f>+(D40*E40)+D40</f>
        <v>87500</v>
      </c>
      <c r="G40" s="361"/>
      <c r="H40" s="362"/>
      <c r="I40" s="199"/>
      <c r="J40" s="177">
        <f>+I40</f>
        <v>0</v>
      </c>
      <c r="K40" s="144"/>
    </row>
    <row r="41" spans="1:11" ht="10.8" thickBot="1" x14ac:dyDescent="0.25">
      <c r="A41" s="142"/>
      <c r="B41" s="146"/>
      <c r="C41" s="146"/>
      <c r="D41" s="146"/>
      <c r="E41" s="146"/>
      <c r="F41" s="146"/>
      <c r="G41" s="146"/>
      <c r="H41" s="146"/>
      <c r="I41" s="159" t="s">
        <v>70</v>
      </c>
      <c r="J41" s="160">
        <f>SUM(J39:J40)</f>
        <v>0</v>
      </c>
      <c r="K41" s="144"/>
    </row>
    <row r="42" spans="1:11" ht="6" customHeight="1" thickBot="1" x14ac:dyDescent="0.25">
      <c r="A42" s="142"/>
      <c r="B42" s="146"/>
      <c r="C42" s="146"/>
      <c r="D42" s="146"/>
      <c r="E42" s="146"/>
      <c r="F42" s="146"/>
      <c r="G42" s="146"/>
      <c r="H42" s="146"/>
      <c r="I42" s="200"/>
      <c r="J42" s="147"/>
      <c r="K42" s="144"/>
    </row>
    <row r="43" spans="1:11" ht="10.8" thickBot="1" x14ac:dyDescent="0.25">
      <c r="A43" s="142"/>
      <c r="C43" s="148"/>
      <c r="D43" s="148"/>
      <c r="E43" s="148"/>
      <c r="F43" s="148"/>
      <c r="G43" s="363" t="s">
        <v>89</v>
      </c>
      <c r="H43" s="363"/>
      <c r="I43" s="364"/>
      <c r="J43" s="152">
        <f>SUM(J41,J35,J26,J17)</f>
        <v>15102.999999957707</v>
      </c>
      <c r="K43" s="144"/>
    </row>
    <row r="44" spans="1:11" ht="6" customHeight="1" thickBot="1" x14ac:dyDescent="0.25">
      <c r="A44" s="142"/>
      <c r="J44" s="201"/>
      <c r="K44" s="144"/>
    </row>
    <row r="45" spans="1:11" ht="10.8" thickBot="1" x14ac:dyDescent="0.25">
      <c r="A45" s="142"/>
      <c r="B45" s="327" t="s">
        <v>90</v>
      </c>
      <c r="C45" s="328"/>
      <c r="D45" s="328"/>
      <c r="E45" s="328"/>
      <c r="F45" s="328"/>
      <c r="G45" s="328"/>
      <c r="H45" s="328"/>
      <c r="I45" s="328"/>
      <c r="J45" s="329"/>
      <c r="K45" s="144"/>
    </row>
    <row r="46" spans="1:11" ht="6" customHeight="1" thickBot="1" x14ac:dyDescent="0.25">
      <c r="A46" s="142"/>
      <c r="J46" s="201"/>
      <c r="K46" s="144"/>
    </row>
    <row r="47" spans="1:11" ht="10.8" thickBot="1" x14ac:dyDescent="0.25">
      <c r="A47" s="142"/>
      <c r="B47" s="202" t="s">
        <v>91</v>
      </c>
      <c r="C47" s="365" t="s">
        <v>92</v>
      </c>
      <c r="D47" s="366"/>
      <c r="E47" s="365" t="s">
        <v>93</v>
      </c>
      <c r="F47" s="366"/>
      <c r="G47" s="367" t="s">
        <v>94</v>
      </c>
      <c r="H47" s="368"/>
      <c r="I47" s="203" t="s">
        <v>95</v>
      </c>
      <c r="J47" s="204" t="s">
        <v>96</v>
      </c>
      <c r="K47" s="144"/>
    </row>
    <row r="48" spans="1:11" ht="10.8" thickBot="1" x14ac:dyDescent="0.25">
      <c r="A48" s="142"/>
      <c r="B48" s="205"/>
      <c r="C48" s="205"/>
      <c r="D48" s="205"/>
      <c r="E48" s="205"/>
      <c r="F48" s="205"/>
      <c r="J48" s="201"/>
      <c r="K48" s="144"/>
    </row>
    <row r="49" spans="1:11" ht="10.8" thickBot="1" x14ac:dyDescent="0.25">
      <c r="A49" s="142"/>
      <c r="B49" s="206"/>
      <c r="C49" s="369"/>
      <c r="D49" s="368"/>
      <c r="E49" s="369"/>
      <c r="F49" s="368"/>
      <c r="G49" s="367" t="s">
        <v>97</v>
      </c>
      <c r="H49" s="368"/>
      <c r="I49" s="207"/>
      <c r="J49" s="208">
        <f>+I49*J43</f>
        <v>0</v>
      </c>
      <c r="K49" s="144"/>
    </row>
    <row r="50" spans="1:11" ht="10.8" thickBot="1" x14ac:dyDescent="0.25">
      <c r="A50" s="142"/>
      <c r="B50" s="205"/>
      <c r="C50" s="205"/>
      <c r="D50" s="205"/>
      <c r="E50" s="205"/>
      <c r="F50" s="205"/>
      <c r="I50" s="209"/>
      <c r="J50" s="201"/>
      <c r="K50" s="144"/>
    </row>
    <row r="51" spans="1:11" ht="10.8" thickBot="1" x14ac:dyDescent="0.25">
      <c r="A51" s="142"/>
      <c r="B51" s="370" t="s">
        <v>98</v>
      </c>
      <c r="C51" s="371"/>
      <c r="D51" s="371"/>
      <c r="E51" s="371"/>
      <c r="F51" s="372"/>
      <c r="G51" s="367" t="s">
        <v>99</v>
      </c>
      <c r="H51" s="368"/>
      <c r="I51" s="207"/>
      <c r="J51" s="208">
        <f>+I51*J43</f>
        <v>0</v>
      </c>
      <c r="K51" s="144"/>
    </row>
    <row r="52" spans="1:11" ht="10.8" thickBot="1" x14ac:dyDescent="0.25">
      <c r="A52" s="142"/>
      <c r="B52" s="373"/>
      <c r="C52" s="374"/>
      <c r="D52" s="374"/>
      <c r="E52" s="374"/>
      <c r="F52" s="375"/>
      <c r="I52" s="209"/>
      <c r="J52" s="201"/>
      <c r="K52" s="144"/>
    </row>
    <row r="53" spans="1:11" ht="10.8" thickBot="1" x14ac:dyDescent="0.25">
      <c r="A53" s="142"/>
      <c r="B53" s="373"/>
      <c r="C53" s="374"/>
      <c r="D53" s="374"/>
      <c r="E53" s="374"/>
      <c r="F53" s="375"/>
      <c r="G53" s="367" t="s">
        <v>100</v>
      </c>
      <c r="H53" s="368"/>
      <c r="I53" s="207"/>
      <c r="J53" s="208">
        <f>+I53*J43</f>
        <v>0</v>
      </c>
      <c r="K53" s="144"/>
    </row>
    <row r="54" spans="1:11" ht="6" customHeight="1" thickBot="1" x14ac:dyDescent="0.25">
      <c r="A54" s="142"/>
      <c r="B54" s="373"/>
      <c r="C54" s="374"/>
      <c r="D54" s="374"/>
      <c r="E54" s="374"/>
      <c r="F54" s="375"/>
      <c r="J54" s="201"/>
      <c r="K54" s="144"/>
    </row>
    <row r="55" spans="1:11" ht="10.8" thickBot="1" x14ac:dyDescent="0.25">
      <c r="A55" s="142"/>
      <c r="B55" s="373"/>
      <c r="C55" s="374"/>
      <c r="D55" s="374"/>
      <c r="E55" s="374"/>
      <c r="F55" s="375"/>
      <c r="G55" s="367" t="s">
        <v>101</v>
      </c>
      <c r="H55" s="367"/>
      <c r="I55" s="368"/>
      <c r="J55" s="211">
        <f>SUM(J49,J51,J53)</f>
        <v>0</v>
      </c>
      <c r="K55" s="144"/>
    </row>
    <row r="56" spans="1:11" ht="6" customHeight="1" thickBot="1" x14ac:dyDescent="0.25">
      <c r="A56" s="142"/>
      <c r="B56" s="373"/>
      <c r="C56" s="374"/>
      <c r="D56" s="374"/>
      <c r="E56" s="374"/>
      <c r="F56" s="375"/>
      <c r="J56" s="201"/>
      <c r="K56" s="144"/>
    </row>
    <row r="57" spans="1:11" ht="18.75" customHeight="1" thickBot="1" x14ac:dyDescent="0.25">
      <c r="A57" s="142"/>
      <c r="B57" s="376"/>
      <c r="C57" s="377"/>
      <c r="D57" s="377"/>
      <c r="E57" s="377"/>
      <c r="F57" s="378"/>
      <c r="G57" s="379" t="s">
        <v>54</v>
      </c>
      <c r="H57" s="379"/>
      <c r="I57" s="380"/>
      <c r="J57" s="212">
        <f>+J55+J43</f>
        <v>15102.999999957707</v>
      </c>
      <c r="K57" s="144"/>
    </row>
    <row r="58" spans="1:11" ht="6" customHeight="1" thickBot="1" x14ac:dyDescent="0.25">
      <c r="A58" s="213"/>
      <c r="B58" s="214"/>
      <c r="C58" s="214"/>
      <c r="D58" s="214"/>
      <c r="E58" s="214"/>
      <c r="F58" s="214"/>
      <c r="G58" s="214"/>
      <c r="H58" s="214"/>
      <c r="I58" s="214"/>
      <c r="J58" s="215"/>
      <c r="K58" s="216"/>
    </row>
  </sheetData>
  <mergeCells count="48">
    <mergeCell ref="B51:F57"/>
    <mergeCell ref="G51:H51"/>
    <mergeCell ref="G53:H53"/>
    <mergeCell ref="G55:I55"/>
    <mergeCell ref="G57:I57"/>
    <mergeCell ref="C47:D47"/>
    <mergeCell ref="E47:F47"/>
    <mergeCell ref="G47:H47"/>
    <mergeCell ref="C49:D49"/>
    <mergeCell ref="E49:F49"/>
    <mergeCell ref="G49:H49"/>
    <mergeCell ref="B45:J45"/>
    <mergeCell ref="G31:H31"/>
    <mergeCell ref="G32:H32"/>
    <mergeCell ref="G33:H33"/>
    <mergeCell ref="G34:H34"/>
    <mergeCell ref="B37:J37"/>
    <mergeCell ref="B38:C38"/>
    <mergeCell ref="G38:H38"/>
    <mergeCell ref="B39:C39"/>
    <mergeCell ref="G39:H39"/>
    <mergeCell ref="B40:C40"/>
    <mergeCell ref="G40:H40"/>
    <mergeCell ref="G43:I43"/>
    <mergeCell ref="G30:H30"/>
    <mergeCell ref="B16:D16"/>
    <mergeCell ref="G16:H16"/>
    <mergeCell ref="B19:J19"/>
    <mergeCell ref="B20:D20"/>
    <mergeCell ref="B21:D21"/>
    <mergeCell ref="B22:D22"/>
    <mergeCell ref="B23:D23"/>
    <mergeCell ref="B24:D24"/>
    <mergeCell ref="B25:D25"/>
    <mergeCell ref="B28:J28"/>
    <mergeCell ref="G29:H29"/>
    <mergeCell ref="B11:J11"/>
    <mergeCell ref="B13:J13"/>
    <mergeCell ref="B14:D14"/>
    <mergeCell ref="G14:H14"/>
    <mergeCell ref="B15:D15"/>
    <mergeCell ref="G15:H15"/>
    <mergeCell ref="B3:D5"/>
    <mergeCell ref="E3:J5"/>
    <mergeCell ref="B7:J7"/>
    <mergeCell ref="B8:J8"/>
    <mergeCell ref="B9:E9"/>
    <mergeCell ref="F9:J9"/>
  </mergeCells>
  <printOptions horizontalCentered="1"/>
  <pageMargins left="0.7" right="0.7" top="0.25" bottom="0.75" header="0.3" footer="0.3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B9560-EE8D-F04E-A4BD-028164E0CCF5}">
  <sheetPr>
    <tabColor rgb="FFFFFF00"/>
  </sheetPr>
  <dimension ref="A1:L58"/>
  <sheetViews>
    <sheetView view="pageBreakPreview" topLeftCell="B1" zoomScale="80" zoomScaleNormal="100" zoomScaleSheetLayoutView="80" workbookViewId="0">
      <selection activeCell="B10" sqref="B10"/>
    </sheetView>
  </sheetViews>
  <sheetFormatPr baseColWidth="10" defaultColWidth="11.44140625" defaultRowHeight="10.199999999999999" x14ac:dyDescent="0.2"/>
  <cols>
    <col min="1" max="1" width="1.44140625" style="84" customWidth="1"/>
    <col min="2" max="3" width="11.44140625" style="84"/>
    <col min="4" max="4" width="17" style="84" customWidth="1"/>
    <col min="5" max="5" width="13.44140625" style="84" bestFit="1" customWidth="1"/>
    <col min="6" max="6" width="12.109375" style="84" customWidth="1"/>
    <col min="7" max="7" width="10" style="84" customWidth="1"/>
    <col min="8" max="8" width="7.6640625" style="84" customWidth="1"/>
    <col min="9" max="9" width="15.44140625" style="84" customWidth="1"/>
    <col min="10" max="10" width="19.33203125" style="137" bestFit="1" customWidth="1"/>
    <col min="11" max="11" width="1.44140625" style="84" customWidth="1"/>
    <col min="12" max="12" width="12" style="84" bestFit="1" customWidth="1"/>
    <col min="13" max="16384" width="11.44140625" style="84"/>
  </cols>
  <sheetData>
    <row r="1" spans="1:11" ht="10.8" thickBot="1" x14ac:dyDescent="0.25"/>
    <row r="2" spans="1:11" ht="6.75" customHeight="1" thickBot="1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40"/>
      <c r="K2" s="141"/>
    </row>
    <row r="3" spans="1:11" x14ac:dyDescent="0.2">
      <c r="A3" s="142"/>
      <c r="B3" s="296"/>
      <c r="C3" s="297"/>
      <c r="D3" s="298"/>
      <c r="E3" s="305" t="s">
        <v>59</v>
      </c>
      <c r="F3" s="306"/>
      <c r="G3" s="306"/>
      <c r="H3" s="306"/>
      <c r="I3" s="306"/>
      <c r="J3" s="307"/>
      <c r="K3" s="144"/>
    </row>
    <row r="4" spans="1:11" x14ac:dyDescent="0.2">
      <c r="A4" s="142"/>
      <c r="B4" s="299"/>
      <c r="C4" s="300"/>
      <c r="D4" s="301"/>
      <c r="E4" s="308"/>
      <c r="F4" s="309"/>
      <c r="G4" s="309"/>
      <c r="H4" s="309"/>
      <c r="I4" s="309"/>
      <c r="J4" s="310"/>
      <c r="K4" s="144"/>
    </row>
    <row r="5" spans="1:11" ht="10.8" thickBot="1" x14ac:dyDescent="0.25">
      <c r="A5" s="142"/>
      <c r="B5" s="302"/>
      <c r="C5" s="303"/>
      <c r="D5" s="304"/>
      <c r="E5" s="311"/>
      <c r="F5" s="312"/>
      <c r="G5" s="312"/>
      <c r="H5" s="312"/>
      <c r="I5" s="312"/>
      <c r="J5" s="313"/>
      <c r="K5" s="144"/>
    </row>
    <row r="6" spans="1:11" ht="6" customHeight="1" thickBot="1" x14ac:dyDescent="0.25">
      <c r="A6" s="142"/>
      <c r="B6" s="145"/>
      <c r="C6" s="146"/>
      <c r="D6" s="9"/>
      <c r="E6" s="146"/>
      <c r="F6" s="146"/>
      <c r="G6" s="146"/>
      <c r="H6" s="146"/>
      <c r="I6" s="146"/>
      <c r="J6" s="147"/>
      <c r="K6" s="144"/>
    </row>
    <row r="7" spans="1:11" ht="33" customHeight="1" x14ac:dyDescent="0.2">
      <c r="A7" s="142"/>
      <c r="B7" s="314" t="s">
        <v>201</v>
      </c>
      <c r="C7" s="315"/>
      <c r="D7" s="315"/>
      <c r="E7" s="315"/>
      <c r="F7" s="315"/>
      <c r="G7" s="315"/>
      <c r="H7" s="315"/>
      <c r="I7" s="315"/>
      <c r="J7" s="316"/>
      <c r="K7" s="144"/>
    </row>
    <row r="8" spans="1:11" ht="10.8" thickBot="1" x14ac:dyDescent="0.25">
      <c r="A8" s="142"/>
      <c r="B8" s="317"/>
      <c r="C8" s="318"/>
      <c r="D8" s="318"/>
      <c r="E8" s="318"/>
      <c r="F8" s="318"/>
      <c r="G8" s="318"/>
      <c r="H8" s="318"/>
      <c r="I8" s="318"/>
      <c r="J8" s="319"/>
      <c r="K8" s="144"/>
    </row>
    <row r="9" spans="1:11" ht="26.25" customHeight="1" thickBot="1" x14ac:dyDescent="0.25">
      <c r="A9" s="142"/>
      <c r="B9" s="383" t="s">
        <v>213</v>
      </c>
      <c r="C9" s="384"/>
      <c r="D9" s="384"/>
      <c r="E9" s="385"/>
      <c r="F9" s="323" t="s">
        <v>159</v>
      </c>
      <c r="G9" s="324"/>
      <c r="H9" s="325"/>
      <c r="I9" s="325"/>
      <c r="J9" s="326"/>
      <c r="K9" s="144"/>
    </row>
    <row r="10" spans="1:11" ht="6" customHeight="1" thickBot="1" x14ac:dyDescent="0.25">
      <c r="A10" s="142"/>
      <c r="B10" s="148"/>
      <c r="C10" s="148"/>
      <c r="D10" s="146"/>
      <c r="E10" s="148"/>
      <c r="F10" s="148"/>
      <c r="G10" s="148"/>
      <c r="H10" s="148"/>
      <c r="I10" s="148"/>
      <c r="J10" s="147"/>
      <c r="K10" s="144"/>
    </row>
    <row r="11" spans="1:11" ht="16.5" customHeight="1" thickBot="1" x14ac:dyDescent="0.25">
      <c r="A11" s="142"/>
      <c r="B11" s="327" t="s">
        <v>61</v>
      </c>
      <c r="C11" s="328"/>
      <c r="D11" s="328"/>
      <c r="E11" s="328"/>
      <c r="F11" s="328"/>
      <c r="G11" s="328"/>
      <c r="H11" s="328"/>
      <c r="I11" s="328"/>
      <c r="J11" s="329"/>
      <c r="K11" s="144"/>
    </row>
    <row r="12" spans="1:11" ht="6" customHeight="1" thickBot="1" x14ac:dyDescent="0.25">
      <c r="A12" s="142"/>
      <c r="B12" s="148"/>
      <c r="C12" s="148"/>
      <c r="D12" s="146"/>
      <c r="E12" s="148"/>
      <c r="F12" s="148"/>
      <c r="G12" s="148"/>
      <c r="H12" s="148"/>
      <c r="I12" s="148"/>
      <c r="J12" s="147"/>
      <c r="K12" s="144"/>
    </row>
    <row r="13" spans="1:11" ht="10.8" thickBot="1" x14ac:dyDescent="0.25">
      <c r="A13" s="142"/>
      <c r="B13" s="327" t="s">
        <v>62</v>
      </c>
      <c r="C13" s="328"/>
      <c r="D13" s="328"/>
      <c r="E13" s="328"/>
      <c r="F13" s="328"/>
      <c r="G13" s="328"/>
      <c r="H13" s="328"/>
      <c r="I13" s="328"/>
      <c r="J13" s="329"/>
      <c r="K13" s="144"/>
    </row>
    <row r="14" spans="1:11" ht="10.8" thickBot="1" x14ac:dyDescent="0.25">
      <c r="A14" s="142"/>
      <c r="B14" s="330" t="s">
        <v>63</v>
      </c>
      <c r="C14" s="331"/>
      <c r="D14" s="332"/>
      <c r="E14" s="150" t="s">
        <v>64</v>
      </c>
      <c r="F14" s="151" t="s">
        <v>104</v>
      </c>
      <c r="G14" s="330" t="s">
        <v>157</v>
      </c>
      <c r="H14" s="332"/>
      <c r="I14" s="149" t="s">
        <v>67</v>
      </c>
      <c r="J14" s="152" t="s">
        <v>68</v>
      </c>
      <c r="K14" s="144"/>
    </row>
    <row r="15" spans="1:11" x14ac:dyDescent="0.2">
      <c r="A15" s="142"/>
      <c r="B15" s="333" t="s">
        <v>69</v>
      </c>
      <c r="C15" s="334"/>
      <c r="D15" s="335"/>
      <c r="E15" s="153"/>
      <c r="F15" s="153"/>
      <c r="G15" s="336"/>
      <c r="H15" s="337"/>
      <c r="I15" s="154">
        <v>300</v>
      </c>
      <c r="J15" s="155">
        <f>+I15</f>
        <v>300</v>
      </c>
      <c r="K15" s="144"/>
    </row>
    <row r="16" spans="1:11" ht="10.8" thickBot="1" x14ac:dyDescent="0.25">
      <c r="A16" s="142"/>
      <c r="B16" s="340"/>
      <c r="C16" s="341"/>
      <c r="D16" s="342"/>
      <c r="E16" s="156"/>
      <c r="F16" s="156"/>
      <c r="G16" s="381"/>
      <c r="H16" s="382"/>
      <c r="I16" s="157"/>
      <c r="J16" s="158"/>
      <c r="K16" s="144"/>
    </row>
    <row r="17" spans="1:12" ht="10.8" thickBot="1" x14ac:dyDescent="0.25">
      <c r="A17" s="142"/>
      <c r="B17" s="146"/>
      <c r="C17" s="146"/>
      <c r="D17" s="146"/>
      <c r="E17" s="146"/>
      <c r="F17" s="146"/>
      <c r="G17" s="146"/>
      <c r="H17" s="146"/>
      <c r="I17" s="159" t="s">
        <v>70</v>
      </c>
      <c r="J17" s="160">
        <f>SUM(J15:J16)</f>
        <v>300</v>
      </c>
      <c r="K17" s="144"/>
    </row>
    <row r="18" spans="1:12" ht="6" customHeight="1" thickBot="1" x14ac:dyDescent="0.25">
      <c r="A18" s="142"/>
      <c r="B18" s="146"/>
      <c r="C18" s="146"/>
      <c r="D18" s="146"/>
      <c r="E18" s="146"/>
      <c r="F18" s="146"/>
      <c r="G18" s="146"/>
      <c r="H18" s="146"/>
      <c r="I18" s="159"/>
      <c r="J18" s="161"/>
      <c r="K18" s="144"/>
    </row>
    <row r="19" spans="1:12" ht="10.8" thickBot="1" x14ac:dyDescent="0.25">
      <c r="A19" s="142"/>
      <c r="B19" s="327" t="s">
        <v>71</v>
      </c>
      <c r="C19" s="328"/>
      <c r="D19" s="328"/>
      <c r="E19" s="328"/>
      <c r="F19" s="328"/>
      <c r="G19" s="328"/>
      <c r="H19" s="328"/>
      <c r="I19" s="328"/>
      <c r="J19" s="329"/>
      <c r="K19" s="144"/>
    </row>
    <row r="20" spans="1:12" ht="10.8" thickBot="1" x14ac:dyDescent="0.25">
      <c r="A20" s="142"/>
      <c r="B20" s="330" t="s">
        <v>63</v>
      </c>
      <c r="C20" s="331"/>
      <c r="D20" s="332"/>
      <c r="E20" s="150" t="s">
        <v>1</v>
      </c>
      <c r="F20" s="150" t="s">
        <v>72</v>
      </c>
      <c r="G20" s="150" t="s">
        <v>73</v>
      </c>
      <c r="H20" s="149" t="s">
        <v>74</v>
      </c>
      <c r="I20" s="149" t="s">
        <v>67</v>
      </c>
      <c r="J20" s="152" t="s">
        <v>68</v>
      </c>
      <c r="K20" s="144"/>
    </row>
    <row r="21" spans="1:12" x14ac:dyDescent="0.2">
      <c r="A21" s="142"/>
      <c r="B21" s="345" t="s">
        <v>160</v>
      </c>
      <c r="C21" s="346"/>
      <c r="D21" s="347"/>
      <c r="E21" s="162" t="s">
        <v>162</v>
      </c>
      <c r="F21" s="163">
        <v>2.8000000000000001E-2</v>
      </c>
      <c r="G21" s="164">
        <v>45000</v>
      </c>
      <c r="H21" s="165"/>
      <c r="I21" s="164">
        <f>G21*F21</f>
        <v>1260</v>
      </c>
      <c r="J21" s="166">
        <f>I21</f>
        <v>1260</v>
      </c>
      <c r="K21" s="144"/>
    </row>
    <row r="22" spans="1:12" x14ac:dyDescent="0.2">
      <c r="A22" s="142"/>
      <c r="B22" s="333" t="s">
        <v>161</v>
      </c>
      <c r="C22" s="334"/>
      <c r="D22" s="335"/>
      <c r="E22" s="153" t="s">
        <v>163</v>
      </c>
      <c r="F22" s="167">
        <v>1</v>
      </c>
      <c r="G22" s="168">
        <v>2100</v>
      </c>
      <c r="H22" s="169"/>
      <c r="I22" s="170">
        <f>G22</f>
        <v>2100</v>
      </c>
      <c r="J22" s="158">
        <f>+I22</f>
        <v>2100</v>
      </c>
      <c r="K22" s="144"/>
      <c r="L22" s="171"/>
    </row>
    <row r="23" spans="1:12" x14ac:dyDescent="0.2">
      <c r="A23" s="142"/>
      <c r="B23" s="333"/>
      <c r="C23" s="334"/>
      <c r="D23" s="335"/>
      <c r="E23" s="153"/>
      <c r="F23" s="167"/>
      <c r="G23" s="168"/>
      <c r="H23" s="169"/>
      <c r="I23" s="170"/>
      <c r="J23" s="155">
        <f t="shared" ref="J23:J25" si="0">+I23</f>
        <v>0</v>
      </c>
      <c r="K23" s="144"/>
      <c r="L23" s="171"/>
    </row>
    <row r="24" spans="1:12" x14ac:dyDescent="0.2">
      <c r="A24" s="142"/>
      <c r="B24" s="333"/>
      <c r="C24" s="334"/>
      <c r="D24" s="335"/>
      <c r="E24" s="153"/>
      <c r="F24" s="167"/>
      <c r="G24" s="168"/>
      <c r="H24" s="169"/>
      <c r="I24" s="170"/>
      <c r="J24" s="155">
        <f t="shared" si="0"/>
        <v>0</v>
      </c>
      <c r="K24" s="144"/>
    </row>
    <row r="25" spans="1:12" ht="10.8" thickBot="1" x14ac:dyDescent="0.25">
      <c r="A25" s="142"/>
      <c r="B25" s="348"/>
      <c r="C25" s="349"/>
      <c r="D25" s="350"/>
      <c r="E25" s="172"/>
      <c r="F25" s="173"/>
      <c r="G25" s="174"/>
      <c r="H25" s="175"/>
      <c r="I25" s="176"/>
      <c r="J25" s="177">
        <f t="shared" si="0"/>
        <v>0</v>
      </c>
      <c r="K25" s="144"/>
    </row>
    <row r="26" spans="1:12" ht="10.8" thickBot="1" x14ac:dyDescent="0.25">
      <c r="A26" s="142"/>
      <c r="B26" s="146"/>
      <c r="C26" s="146"/>
      <c r="D26" s="146"/>
      <c r="E26" s="146"/>
      <c r="F26" s="146"/>
      <c r="G26" s="146"/>
      <c r="H26" s="146"/>
      <c r="I26" s="159" t="s">
        <v>70</v>
      </c>
      <c r="J26" s="178">
        <f>SUM(J21:J25)</f>
        <v>3360</v>
      </c>
      <c r="K26" s="144"/>
    </row>
    <row r="27" spans="1:12" ht="6" customHeight="1" thickBot="1" x14ac:dyDescent="0.25">
      <c r="A27" s="142"/>
      <c r="B27" s="146"/>
      <c r="C27" s="146"/>
      <c r="D27" s="146"/>
      <c r="E27" s="146"/>
      <c r="F27" s="146"/>
      <c r="G27" s="146"/>
      <c r="H27" s="146"/>
      <c r="I27" s="159"/>
      <c r="J27" s="161"/>
      <c r="K27" s="144"/>
    </row>
    <row r="28" spans="1:12" ht="10.8" thickBot="1" x14ac:dyDescent="0.25">
      <c r="A28" s="142"/>
      <c r="B28" s="327" t="s">
        <v>75</v>
      </c>
      <c r="C28" s="328"/>
      <c r="D28" s="328"/>
      <c r="E28" s="328"/>
      <c r="F28" s="328"/>
      <c r="G28" s="328"/>
      <c r="H28" s="328"/>
      <c r="I28" s="328"/>
      <c r="J28" s="329"/>
      <c r="K28" s="144"/>
    </row>
    <row r="29" spans="1:12" ht="10.8" thickBot="1" x14ac:dyDescent="0.25">
      <c r="A29" s="142"/>
      <c r="B29" s="150" t="s">
        <v>76</v>
      </c>
      <c r="C29" s="150" t="s">
        <v>1</v>
      </c>
      <c r="D29" s="150" t="s">
        <v>77</v>
      </c>
      <c r="E29" s="150" t="s">
        <v>78</v>
      </c>
      <c r="F29" s="150" t="s">
        <v>79</v>
      </c>
      <c r="G29" s="330" t="s">
        <v>80</v>
      </c>
      <c r="H29" s="332"/>
      <c r="I29" s="143" t="s">
        <v>67</v>
      </c>
      <c r="J29" s="152" t="s">
        <v>68</v>
      </c>
      <c r="K29" s="144"/>
    </row>
    <row r="30" spans="1:12" x14ac:dyDescent="0.2">
      <c r="A30" s="142"/>
      <c r="B30" s="179" t="s">
        <v>106</v>
      </c>
      <c r="C30" s="180" t="s">
        <v>105</v>
      </c>
      <c r="D30" s="181"/>
      <c r="E30" s="181"/>
      <c r="F30" s="182"/>
      <c r="G30" s="338"/>
      <c r="H30" s="339"/>
      <c r="I30" s="182"/>
      <c r="J30" s="166">
        <f>+I30</f>
        <v>0</v>
      </c>
      <c r="K30" s="144"/>
    </row>
    <row r="31" spans="1:12" x14ac:dyDescent="0.2">
      <c r="A31" s="142"/>
      <c r="B31" s="183"/>
      <c r="C31" s="184"/>
      <c r="D31" s="185"/>
      <c r="E31" s="185"/>
      <c r="F31" s="186"/>
      <c r="G31" s="351"/>
      <c r="H31" s="352"/>
      <c r="I31" s="186"/>
      <c r="J31" s="155"/>
      <c r="K31" s="144"/>
    </row>
    <row r="32" spans="1:12" x14ac:dyDescent="0.2">
      <c r="A32" s="142"/>
      <c r="B32" s="183"/>
      <c r="C32" s="184"/>
      <c r="D32" s="185"/>
      <c r="E32" s="185"/>
      <c r="F32" s="186"/>
      <c r="G32" s="351"/>
      <c r="H32" s="352"/>
      <c r="I32" s="186"/>
      <c r="J32" s="155"/>
      <c r="K32" s="144"/>
    </row>
    <row r="33" spans="1:11" x14ac:dyDescent="0.2">
      <c r="A33" s="142"/>
      <c r="B33" s="187"/>
      <c r="C33" s="188"/>
      <c r="D33" s="189"/>
      <c r="E33" s="189"/>
      <c r="F33" s="186"/>
      <c r="G33" s="351"/>
      <c r="H33" s="352"/>
      <c r="I33" s="186"/>
      <c r="J33" s="155"/>
      <c r="K33" s="144"/>
    </row>
    <row r="34" spans="1:11" ht="10.8" thickBot="1" x14ac:dyDescent="0.25">
      <c r="A34" s="142"/>
      <c r="B34" s="190"/>
      <c r="C34" s="191"/>
      <c r="D34" s="192"/>
      <c r="E34" s="193"/>
      <c r="F34" s="194" t="s">
        <v>81</v>
      </c>
      <c r="G34" s="353" t="s">
        <v>81</v>
      </c>
      <c r="H34" s="354"/>
      <c r="I34" s="194" t="s">
        <v>81</v>
      </c>
      <c r="J34" s="177"/>
      <c r="K34" s="144"/>
    </row>
    <row r="35" spans="1:11" ht="10.8" thickBot="1" x14ac:dyDescent="0.25">
      <c r="A35" s="142"/>
      <c r="B35" s="146"/>
      <c r="C35" s="146"/>
      <c r="D35" s="146"/>
      <c r="E35" s="146"/>
      <c r="F35" s="146"/>
      <c r="G35" s="146"/>
      <c r="H35" s="146"/>
      <c r="I35" s="159" t="s">
        <v>70</v>
      </c>
      <c r="J35" s="160">
        <f>SUM(J30:J34)</f>
        <v>0</v>
      </c>
      <c r="K35" s="144"/>
    </row>
    <row r="36" spans="1:11" ht="10.8" thickBot="1" x14ac:dyDescent="0.25">
      <c r="A36" s="142"/>
      <c r="B36" s="146"/>
      <c r="C36" s="146"/>
      <c r="D36" s="146"/>
      <c r="E36" s="146"/>
      <c r="F36" s="146"/>
      <c r="G36" s="146"/>
      <c r="H36" s="146"/>
      <c r="I36" s="159"/>
      <c r="J36" s="161"/>
      <c r="K36" s="144"/>
    </row>
    <row r="37" spans="1:11" ht="10.8" thickBot="1" x14ac:dyDescent="0.25">
      <c r="A37" s="142"/>
      <c r="B37" s="327" t="s">
        <v>82</v>
      </c>
      <c r="C37" s="328"/>
      <c r="D37" s="328"/>
      <c r="E37" s="328"/>
      <c r="F37" s="328"/>
      <c r="G37" s="328"/>
      <c r="H37" s="328"/>
      <c r="I37" s="328"/>
      <c r="J37" s="329"/>
      <c r="K37" s="144"/>
    </row>
    <row r="38" spans="1:11" ht="10.8" thickBot="1" x14ac:dyDescent="0.25">
      <c r="A38" s="142"/>
      <c r="B38" s="330" t="s">
        <v>83</v>
      </c>
      <c r="C38" s="332"/>
      <c r="D38" s="150" t="s">
        <v>84</v>
      </c>
      <c r="E38" s="150" t="s">
        <v>85</v>
      </c>
      <c r="F38" s="151" t="s">
        <v>86</v>
      </c>
      <c r="G38" s="330" t="s">
        <v>66</v>
      </c>
      <c r="H38" s="332"/>
      <c r="I38" s="150" t="s">
        <v>67</v>
      </c>
      <c r="J38" s="152" t="s">
        <v>68</v>
      </c>
      <c r="K38" s="144"/>
    </row>
    <row r="39" spans="1:11" x14ac:dyDescent="0.2">
      <c r="A39" s="142"/>
      <c r="B39" s="355" t="s">
        <v>87</v>
      </c>
      <c r="C39" s="356"/>
      <c r="D39" s="195">
        <v>65000</v>
      </c>
      <c r="E39" s="165">
        <v>0.25</v>
      </c>
      <c r="F39" s="196">
        <f>+(D39*E39)+D39</f>
        <v>81250</v>
      </c>
      <c r="G39" s="357">
        <v>60.634328154887577</v>
      </c>
      <c r="H39" s="358"/>
      <c r="I39" s="196">
        <f>F39/G39</f>
        <v>1340.0000044933399</v>
      </c>
      <c r="J39" s="158">
        <f>+I39</f>
        <v>1340.0000044933399</v>
      </c>
      <c r="K39" s="144"/>
    </row>
    <row r="40" spans="1:11" ht="10.8" thickBot="1" x14ac:dyDescent="0.25">
      <c r="A40" s="142"/>
      <c r="B40" s="359" t="s">
        <v>88</v>
      </c>
      <c r="C40" s="360"/>
      <c r="D40" s="197">
        <v>70000</v>
      </c>
      <c r="E40" s="198">
        <v>0.25</v>
      </c>
      <c r="F40" s="199">
        <f>+(D40*E40)+D40</f>
        <v>87500</v>
      </c>
      <c r="G40" s="361"/>
      <c r="H40" s="362"/>
      <c r="I40" s="199"/>
      <c r="J40" s="177">
        <f>+I40</f>
        <v>0</v>
      </c>
      <c r="K40" s="144"/>
    </row>
    <row r="41" spans="1:11" ht="10.8" thickBot="1" x14ac:dyDescent="0.25">
      <c r="A41" s="142"/>
      <c r="B41" s="146"/>
      <c r="C41" s="146"/>
      <c r="D41" s="146"/>
      <c r="E41" s="146"/>
      <c r="F41" s="146"/>
      <c r="G41" s="146"/>
      <c r="H41" s="146"/>
      <c r="I41" s="159" t="s">
        <v>70</v>
      </c>
      <c r="J41" s="160">
        <f>SUM(J39:J40)</f>
        <v>1340.0000044933399</v>
      </c>
      <c r="K41" s="144"/>
    </row>
    <row r="42" spans="1:11" ht="10.8" thickBot="1" x14ac:dyDescent="0.25">
      <c r="A42" s="142"/>
      <c r="B42" s="146"/>
      <c r="C42" s="146"/>
      <c r="D42" s="146"/>
      <c r="E42" s="146"/>
      <c r="F42" s="146"/>
      <c r="G42" s="146"/>
      <c r="H42" s="146"/>
      <c r="I42" s="200"/>
      <c r="J42" s="147"/>
      <c r="K42" s="144"/>
    </row>
    <row r="43" spans="1:11" ht="10.8" thickBot="1" x14ac:dyDescent="0.25">
      <c r="A43" s="142"/>
      <c r="C43" s="148"/>
      <c r="D43" s="148"/>
      <c r="E43" s="148"/>
      <c r="F43" s="148"/>
      <c r="G43" s="363" t="s">
        <v>89</v>
      </c>
      <c r="H43" s="363"/>
      <c r="I43" s="364"/>
      <c r="J43" s="152">
        <f>SUM(J41,J35,J26,J17)</f>
        <v>5000.0000044933404</v>
      </c>
      <c r="K43" s="144"/>
    </row>
    <row r="44" spans="1:11" ht="6" customHeight="1" thickBot="1" x14ac:dyDescent="0.25">
      <c r="A44" s="142"/>
      <c r="J44" s="201"/>
      <c r="K44" s="144"/>
    </row>
    <row r="45" spans="1:11" ht="10.8" thickBot="1" x14ac:dyDescent="0.25">
      <c r="A45" s="142"/>
      <c r="B45" s="327" t="s">
        <v>90</v>
      </c>
      <c r="C45" s="328"/>
      <c r="D45" s="328"/>
      <c r="E45" s="328"/>
      <c r="F45" s="328"/>
      <c r="G45" s="328"/>
      <c r="H45" s="328"/>
      <c r="I45" s="328"/>
      <c r="J45" s="329"/>
      <c r="K45" s="144"/>
    </row>
    <row r="46" spans="1:11" ht="6" customHeight="1" thickBot="1" x14ac:dyDescent="0.25">
      <c r="A46" s="142"/>
      <c r="J46" s="201"/>
      <c r="K46" s="144"/>
    </row>
    <row r="47" spans="1:11" ht="10.8" thickBot="1" x14ac:dyDescent="0.25">
      <c r="A47" s="142"/>
      <c r="B47" s="202" t="s">
        <v>91</v>
      </c>
      <c r="C47" s="365" t="s">
        <v>92</v>
      </c>
      <c r="D47" s="366"/>
      <c r="E47" s="365" t="s">
        <v>93</v>
      </c>
      <c r="F47" s="366"/>
      <c r="G47" s="367" t="s">
        <v>94</v>
      </c>
      <c r="H47" s="368"/>
      <c r="I47" s="203" t="s">
        <v>95</v>
      </c>
      <c r="J47" s="204" t="s">
        <v>96</v>
      </c>
      <c r="K47" s="144"/>
    </row>
    <row r="48" spans="1:11" ht="6" customHeight="1" thickBot="1" x14ac:dyDescent="0.25">
      <c r="A48" s="142"/>
      <c r="B48" s="205"/>
      <c r="C48" s="205"/>
      <c r="D48" s="205"/>
      <c r="E48" s="205"/>
      <c r="F48" s="205"/>
      <c r="J48" s="201"/>
      <c r="K48" s="144"/>
    </row>
    <row r="49" spans="1:11" ht="10.8" thickBot="1" x14ac:dyDescent="0.25">
      <c r="A49" s="142"/>
      <c r="B49" s="206"/>
      <c r="C49" s="369"/>
      <c r="D49" s="368"/>
      <c r="E49" s="369"/>
      <c r="F49" s="368"/>
      <c r="G49" s="367" t="s">
        <v>97</v>
      </c>
      <c r="H49" s="368"/>
      <c r="I49" s="207"/>
      <c r="J49" s="208">
        <f>+I49*J43</f>
        <v>0</v>
      </c>
      <c r="K49" s="144"/>
    </row>
    <row r="50" spans="1:11" ht="10.8" thickBot="1" x14ac:dyDescent="0.25">
      <c r="A50" s="142"/>
      <c r="B50" s="205"/>
      <c r="C50" s="205"/>
      <c r="D50" s="205"/>
      <c r="E50" s="205"/>
      <c r="F50" s="205"/>
      <c r="I50" s="209"/>
      <c r="J50" s="201"/>
      <c r="K50" s="144"/>
    </row>
    <row r="51" spans="1:11" ht="10.8" thickBot="1" x14ac:dyDescent="0.25">
      <c r="A51" s="142"/>
      <c r="B51" s="370" t="s">
        <v>98</v>
      </c>
      <c r="C51" s="371"/>
      <c r="D51" s="371"/>
      <c r="E51" s="371"/>
      <c r="F51" s="372"/>
      <c r="G51" s="367" t="s">
        <v>99</v>
      </c>
      <c r="H51" s="368"/>
      <c r="I51" s="207"/>
      <c r="J51" s="208">
        <f>+I51*J43</f>
        <v>0</v>
      </c>
      <c r="K51" s="144"/>
    </row>
    <row r="52" spans="1:11" ht="10.8" thickBot="1" x14ac:dyDescent="0.25">
      <c r="A52" s="142"/>
      <c r="B52" s="373"/>
      <c r="C52" s="374"/>
      <c r="D52" s="374"/>
      <c r="E52" s="374"/>
      <c r="F52" s="375"/>
      <c r="I52" s="209"/>
      <c r="J52" s="201"/>
      <c r="K52" s="144"/>
    </row>
    <row r="53" spans="1:11" ht="10.8" thickBot="1" x14ac:dyDescent="0.25">
      <c r="A53" s="142"/>
      <c r="B53" s="373"/>
      <c r="C53" s="374"/>
      <c r="D53" s="374"/>
      <c r="E53" s="374"/>
      <c r="F53" s="375"/>
      <c r="G53" s="367" t="s">
        <v>100</v>
      </c>
      <c r="H53" s="368"/>
      <c r="I53" s="207"/>
      <c r="J53" s="208">
        <f>+I53*J43</f>
        <v>0</v>
      </c>
      <c r="K53" s="144"/>
    </row>
    <row r="54" spans="1:11" ht="10.8" thickBot="1" x14ac:dyDescent="0.25">
      <c r="A54" s="142"/>
      <c r="B54" s="373"/>
      <c r="C54" s="374"/>
      <c r="D54" s="374"/>
      <c r="E54" s="374"/>
      <c r="F54" s="375"/>
      <c r="J54" s="201"/>
      <c r="K54" s="144"/>
    </row>
    <row r="55" spans="1:11" ht="10.8" thickBot="1" x14ac:dyDescent="0.25">
      <c r="A55" s="142"/>
      <c r="B55" s="373"/>
      <c r="C55" s="374"/>
      <c r="D55" s="374"/>
      <c r="E55" s="374"/>
      <c r="F55" s="375"/>
      <c r="G55" s="367" t="s">
        <v>101</v>
      </c>
      <c r="H55" s="367"/>
      <c r="I55" s="368"/>
      <c r="J55" s="211">
        <f>SUM(J49,J51,J53)</f>
        <v>0</v>
      </c>
      <c r="K55" s="144"/>
    </row>
    <row r="56" spans="1:11" ht="10.8" thickBot="1" x14ac:dyDescent="0.25">
      <c r="A56" s="142"/>
      <c r="B56" s="373"/>
      <c r="C56" s="374"/>
      <c r="D56" s="374"/>
      <c r="E56" s="374"/>
      <c r="F56" s="375"/>
      <c r="J56" s="201"/>
      <c r="K56" s="144"/>
    </row>
    <row r="57" spans="1:11" ht="18.75" customHeight="1" thickBot="1" x14ac:dyDescent="0.25">
      <c r="A57" s="142"/>
      <c r="B57" s="376"/>
      <c r="C57" s="377"/>
      <c r="D57" s="377"/>
      <c r="E57" s="377"/>
      <c r="F57" s="378"/>
      <c r="G57" s="379" t="s">
        <v>54</v>
      </c>
      <c r="H57" s="379"/>
      <c r="I57" s="380"/>
      <c r="J57" s="212">
        <f>+J55+J43</f>
        <v>5000.0000044933404</v>
      </c>
      <c r="K57" s="144"/>
    </row>
    <row r="58" spans="1:11" ht="6" customHeight="1" thickBot="1" x14ac:dyDescent="0.25">
      <c r="A58" s="213"/>
      <c r="B58" s="214"/>
      <c r="C58" s="214"/>
      <c r="D58" s="214"/>
      <c r="E58" s="214"/>
      <c r="F58" s="214"/>
      <c r="G58" s="214"/>
      <c r="H58" s="214"/>
      <c r="I58" s="214"/>
      <c r="J58" s="215"/>
      <c r="K58" s="216"/>
    </row>
  </sheetData>
  <mergeCells count="48">
    <mergeCell ref="B3:D5"/>
    <mergeCell ref="E3:J5"/>
    <mergeCell ref="B7:J7"/>
    <mergeCell ref="B8:J8"/>
    <mergeCell ref="B9:E9"/>
    <mergeCell ref="F9:J9"/>
    <mergeCell ref="B11:J11"/>
    <mergeCell ref="B13:J13"/>
    <mergeCell ref="B14:D14"/>
    <mergeCell ref="G14:H14"/>
    <mergeCell ref="B15:D15"/>
    <mergeCell ref="G15:H15"/>
    <mergeCell ref="G30:H30"/>
    <mergeCell ref="B16:D16"/>
    <mergeCell ref="G16:H16"/>
    <mergeCell ref="B19:J19"/>
    <mergeCell ref="B20:D20"/>
    <mergeCell ref="B21:D21"/>
    <mergeCell ref="B22:D22"/>
    <mergeCell ref="B23:D23"/>
    <mergeCell ref="B24:D24"/>
    <mergeCell ref="B25:D25"/>
    <mergeCell ref="B28:J28"/>
    <mergeCell ref="G29:H29"/>
    <mergeCell ref="B45:J45"/>
    <mergeCell ref="G31:H31"/>
    <mergeCell ref="G32:H32"/>
    <mergeCell ref="G33:H33"/>
    <mergeCell ref="G34:H34"/>
    <mergeCell ref="B37:J37"/>
    <mergeCell ref="B38:C38"/>
    <mergeCell ref="G38:H38"/>
    <mergeCell ref="B39:C39"/>
    <mergeCell ref="G39:H39"/>
    <mergeCell ref="B40:C40"/>
    <mergeCell ref="G40:H40"/>
    <mergeCell ref="G43:I43"/>
    <mergeCell ref="C47:D47"/>
    <mergeCell ref="E47:F47"/>
    <mergeCell ref="G47:H47"/>
    <mergeCell ref="C49:D49"/>
    <mergeCell ref="E49:F49"/>
    <mergeCell ref="G49:H49"/>
    <mergeCell ref="B51:F57"/>
    <mergeCell ref="G51:H51"/>
    <mergeCell ref="G53:H53"/>
    <mergeCell ref="G55:I55"/>
    <mergeCell ref="G57:I57"/>
  </mergeCells>
  <pageMargins left="0.7" right="0.7" top="0.5" bottom="0.75" header="0.3" footer="0.3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B2F92-3A0B-4E81-A16B-03C0F04F3CE7}">
  <sheetPr>
    <tabColor rgb="FFFFFF00"/>
  </sheetPr>
  <dimension ref="A1:L58"/>
  <sheetViews>
    <sheetView view="pageBreakPreview" topLeftCell="C36" zoomScaleNormal="100" zoomScaleSheetLayoutView="100" workbookViewId="0">
      <selection activeCell="D18" sqref="D18"/>
    </sheetView>
  </sheetViews>
  <sheetFormatPr baseColWidth="10" defaultColWidth="11.44140625" defaultRowHeight="10.5" customHeight="1" x14ac:dyDescent="0.2"/>
  <cols>
    <col min="1" max="1" width="1.44140625" style="84" customWidth="1"/>
    <col min="2" max="3" width="11.44140625" style="84"/>
    <col min="4" max="4" width="17" style="84" customWidth="1"/>
    <col min="5" max="5" width="13.44140625" style="84" bestFit="1" customWidth="1"/>
    <col min="6" max="6" width="12.109375" style="84" customWidth="1"/>
    <col min="7" max="7" width="8.109375" style="84" customWidth="1"/>
    <col min="8" max="8" width="7.6640625" style="84" customWidth="1"/>
    <col min="9" max="9" width="15.44140625" style="84" customWidth="1"/>
    <col min="10" max="10" width="19.33203125" style="137" bestFit="1" customWidth="1"/>
    <col min="11" max="11" width="1.44140625" style="84" customWidth="1"/>
    <col min="12" max="12" width="12" style="84" bestFit="1" customWidth="1"/>
    <col min="13" max="16384" width="11.44140625" style="84"/>
  </cols>
  <sheetData>
    <row r="1" spans="1:11" ht="10.5" customHeight="1" thickBot="1" x14ac:dyDescent="0.25"/>
    <row r="2" spans="1:11" ht="10.5" customHeight="1" thickBot="1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40"/>
      <c r="K2" s="141"/>
    </row>
    <row r="3" spans="1:11" ht="10.5" customHeight="1" x14ac:dyDescent="0.2">
      <c r="A3" s="142"/>
      <c r="B3" s="296"/>
      <c r="C3" s="297"/>
      <c r="D3" s="298"/>
      <c r="E3" s="305" t="s">
        <v>59</v>
      </c>
      <c r="F3" s="306"/>
      <c r="G3" s="306"/>
      <c r="H3" s="306"/>
      <c r="I3" s="306"/>
      <c r="J3" s="307"/>
      <c r="K3" s="144"/>
    </row>
    <row r="4" spans="1:11" ht="10.5" customHeight="1" x14ac:dyDescent="0.2">
      <c r="A4" s="142"/>
      <c r="B4" s="299"/>
      <c r="C4" s="300"/>
      <c r="D4" s="301"/>
      <c r="E4" s="308"/>
      <c r="F4" s="309"/>
      <c r="G4" s="309"/>
      <c r="H4" s="309"/>
      <c r="I4" s="309"/>
      <c r="J4" s="310"/>
      <c r="K4" s="144"/>
    </row>
    <row r="5" spans="1:11" ht="10.5" customHeight="1" thickBot="1" x14ac:dyDescent="0.25">
      <c r="A5" s="142"/>
      <c r="B5" s="302"/>
      <c r="C5" s="303"/>
      <c r="D5" s="304"/>
      <c r="E5" s="311"/>
      <c r="F5" s="312"/>
      <c r="G5" s="312"/>
      <c r="H5" s="312"/>
      <c r="I5" s="312"/>
      <c r="J5" s="313"/>
      <c r="K5" s="144"/>
    </row>
    <row r="6" spans="1:11" ht="10.5" customHeight="1" thickBot="1" x14ac:dyDescent="0.25">
      <c r="A6" s="142"/>
      <c r="B6" s="145"/>
      <c r="C6" s="146"/>
      <c r="D6" s="9"/>
      <c r="E6" s="146"/>
      <c r="F6" s="146"/>
      <c r="G6" s="146"/>
      <c r="H6" s="146"/>
      <c r="I6" s="146"/>
      <c r="J6" s="147"/>
      <c r="K6" s="144"/>
    </row>
    <row r="7" spans="1:11" ht="10.5" customHeight="1" x14ac:dyDescent="0.2">
      <c r="A7" s="142"/>
      <c r="B7" s="314" t="s">
        <v>204</v>
      </c>
      <c r="C7" s="315"/>
      <c r="D7" s="315"/>
      <c r="E7" s="315"/>
      <c r="F7" s="315"/>
      <c r="G7" s="315"/>
      <c r="H7" s="315"/>
      <c r="I7" s="315"/>
      <c r="J7" s="316"/>
      <c r="K7" s="144"/>
    </row>
    <row r="8" spans="1:11" ht="10.5" customHeight="1" thickBot="1" x14ac:dyDescent="0.25">
      <c r="A8" s="142"/>
      <c r="B8" s="317"/>
      <c r="C8" s="318"/>
      <c r="D8" s="318"/>
      <c r="E8" s="318"/>
      <c r="F8" s="318"/>
      <c r="G8" s="318"/>
      <c r="H8" s="318"/>
      <c r="I8" s="318"/>
      <c r="J8" s="319"/>
      <c r="K8" s="144"/>
    </row>
    <row r="9" spans="1:11" ht="60" customHeight="1" thickBot="1" x14ac:dyDescent="0.25">
      <c r="A9" s="142"/>
      <c r="B9" s="386" t="s">
        <v>218</v>
      </c>
      <c r="C9" s="387"/>
      <c r="D9" s="387"/>
      <c r="E9" s="388"/>
      <c r="F9" s="323" t="s">
        <v>28</v>
      </c>
      <c r="G9" s="324"/>
      <c r="H9" s="325"/>
      <c r="I9" s="325"/>
      <c r="J9" s="326"/>
      <c r="K9" s="144"/>
    </row>
    <row r="10" spans="1:11" ht="10.5" customHeight="1" thickBot="1" x14ac:dyDescent="0.25">
      <c r="A10" s="142"/>
      <c r="B10" s="148"/>
      <c r="C10" s="148"/>
      <c r="D10" s="146"/>
      <c r="E10" s="148"/>
      <c r="F10" s="148"/>
      <c r="G10" s="148"/>
      <c r="H10" s="148"/>
      <c r="I10" s="148"/>
      <c r="J10" s="147"/>
      <c r="K10" s="144"/>
    </row>
    <row r="11" spans="1:11" ht="10.5" customHeight="1" thickBot="1" x14ac:dyDescent="0.25">
      <c r="A11" s="142"/>
      <c r="B11" s="327" t="s">
        <v>61</v>
      </c>
      <c r="C11" s="328"/>
      <c r="D11" s="328"/>
      <c r="E11" s="328"/>
      <c r="F11" s="328"/>
      <c r="G11" s="328"/>
      <c r="H11" s="328"/>
      <c r="I11" s="328"/>
      <c r="J11" s="329"/>
      <c r="K11" s="144"/>
    </row>
    <row r="12" spans="1:11" ht="10.5" customHeight="1" thickBot="1" x14ac:dyDescent="0.25">
      <c r="A12" s="142"/>
      <c r="B12" s="148"/>
      <c r="C12" s="148"/>
      <c r="D12" s="146"/>
      <c r="E12" s="148"/>
      <c r="F12" s="148"/>
      <c r="G12" s="148"/>
      <c r="H12" s="148"/>
      <c r="I12" s="148"/>
      <c r="J12" s="147"/>
      <c r="K12" s="144"/>
    </row>
    <row r="13" spans="1:11" ht="10.5" customHeight="1" thickBot="1" x14ac:dyDescent="0.25">
      <c r="A13" s="142"/>
      <c r="B13" s="327" t="s">
        <v>62</v>
      </c>
      <c r="C13" s="328"/>
      <c r="D13" s="328"/>
      <c r="E13" s="328"/>
      <c r="F13" s="328"/>
      <c r="G13" s="328"/>
      <c r="H13" s="328"/>
      <c r="I13" s="328"/>
      <c r="J13" s="329"/>
      <c r="K13" s="144"/>
    </row>
    <row r="14" spans="1:11" ht="10.5" customHeight="1" thickBot="1" x14ac:dyDescent="0.25">
      <c r="A14" s="142"/>
      <c r="B14" s="330" t="s">
        <v>63</v>
      </c>
      <c r="C14" s="331"/>
      <c r="D14" s="332"/>
      <c r="E14" s="150" t="s">
        <v>64</v>
      </c>
      <c r="F14" s="151" t="s">
        <v>104</v>
      </c>
      <c r="G14" s="330" t="s">
        <v>157</v>
      </c>
      <c r="H14" s="332"/>
      <c r="I14" s="149" t="s">
        <v>67</v>
      </c>
      <c r="J14" s="152" t="s">
        <v>68</v>
      </c>
      <c r="K14" s="144"/>
    </row>
    <row r="15" spans="1:11" ht="10.5" customHeight="1" x14ac:dyDescent="0.2">
      <c r="A15" s="142"/>
      <c r="B15" s="333" t="s">
        <v>69</v>
      </c>
      <c r="C15" s="334"/>
      <c r="D15" s="335"/>
      <c r="E15" s="153"/>
      <c r="F15" s="153"/>
      <c r="G15" s="336"/>
      <c r="H15" s="337"/>
      <c r="I15" s="154"/>
      <c r="J15" s="155">
        <f t="shared" ref="J15" si="0">+I15</f>
        <v>0</v>
      </c>
      <c r="K15" s="144"/>
    </row>
    <row r="16" spans="1:11" ht="10.5" customHeight="1" thickBot="1" x14ac:dyDescent="0.25">
      <c r="A16" s="142"/>
      <c r="B16" s="340" t="s">
        <v>158</v>
      </c>
      <c r="C16" s="341"/>
      <c r="D16" s="342"/>
      <c r="E16" s="156"/>
      <c r="F16" s="156">
        <v>235000</v>
      </c>
      <c r="G16" s="343">
        <v>20.980271241536371</v>
      </c>
      <c r="H16" s="344"/>
      <c r="I16" s="157">
        <f>F16/G16</f>
        <v>11200.9991336409</v>
      </c>
      <c r="J16" s="158">
        <f>+I16</f>
        <v>11200.9991336409</v>
      </c>
      <c r="K16" s="144"/>
    </row>
    <row r="17" spans="1:12" ht="10.5" customHeight="1" thickBot="1" x14ac:dyDescent="0.25">
      <c r="A17" s="142"/>
      <c r="B17" s="146"/>
      <c r="C17" s="146"/>
      <c r="D17" s="146"/>
      <c r="E17" s="146"/>
      <c r="F17" s="146"/>
      <c r="G17" s="146"/>
      <c r="H17" s="146"/>
      <c r="I17" s="159" t="s">
        <v>70</v>
      </c>
      <c r="J17" s="160">
        <f>SUM(J15:J16)</f>
        <v>11200.9991336409</v>
      </c>
      <c r="K17" s="144"/>
    </row>
    <row r="18" spans="1:12" ht="10.5" customHeight="1" thickBot="1" x14ac:dyDescent="0.25">
      <c r="A18" s="142"/>
      <c r="B18" s="146"/>
      <c r="C18" s="146"/>
      <c r="D18" s="146"/>
      <c r="E18" s="146"/>
      <c r="F18" s="146"/>
      <c r="G18" s="146"/>
      <c r="H18" s="146"/>
      <c r="I18" s="159"/>
      <c r="J18" s="161"/>
      <c r="K18" s="144"/>
    </row>
    <row r="19" spans="1:12" ht="10.5" customHeight="1" thickBot="1" x14ac:dyDescent="0.25">
      <c r="A19" s="142"/>
      <c r="B19" s="327" t="s">
        <v>71</v>
      </c>
      <c r="C19" s="328"/>
      <c r="D19" s="328"/>
      <c r="E19" s="328"/>
      <c r="F19" s="328"/>
      <c r="G19" s="328"/>
      <c r="H19" s="328"/>
      <c r="I19" s="328"/>
      <c r="J19" s="329"/>
      <c r="K19" s="144"/>
    </row>
    <row r="20" spans="1:12" ht="10.5" customHeight="1" thickBot="1" x14ac:dyDescent="0.25">
      <c r="A20" s="142"/>
      <c r="B20" s="330" t="s">
        <v>63</v>
      </c>
      <c r="C20" s="331"/>
      <c r="D20" s="332"/>
      <c r="E20" s="150" t="s">
        <v>1</v>
      </c>
      <c r="F20" s="150" t="s">
        <v>72</v>
      </c>
      <c r="G20" s="150" t="s">
        <v>73</v>
      </c>
      <c r="H20" s="149" t="s">
        <v>74</v>
      </c>
      <c r="I20" s="149" t="s">
        <v>67</v>
      </c>
      <c r="J20" s="152" t="s">
        <v>68</v>
      </c>
      <c r="K20" s="144"/>
    </row>
    <row r="21" spans="1:12" ht="10.5" customHeight="1" x14ac:dyDescent="0.2">
      <c r="A21" s="142"/>
      <c r="B21" s="345"/>
      <c r="C21" s="346"/>
      <c r="D21" s="347"/>
      <c r="E21" s="162"/>
      <c r="F21" s="163"/>
      <c r="G21" s="164"/>
      <c r="H21" s="165"/>
      <c r="I21" s="164"/>
      <c r="J21" s="166"/>
      <c r="K21" s="144"/>
    </row>
    <row r="22" spans="1:12" ht="10.5" customHeight="1" x14ac:dyDescent="0.2">
      <c r="A22" s="142"/>
      <c r="B22" s="333"/>
      <c r="C22" s="334"/>
      <c r="D22" s="335"/>
      <c r="E22" s="153"/>
      <c r="F22" s="167"/>
      <c r="G22" s="168"/>
      <c r="H22" s="169"/>
      <c r="I22" s="170"/>
      <c r="J22" s="158">
        <f t="shared" ref="J22:J25" si="1">+I22</f>
        <v>0</v>
      </c>
      <c r="K22" s="144"/>
      <c r="L22" s="171"/>
    </row>
    <row r="23" spans="1:12" ht="10.5" customHeight="1" x14ac:dyDescent="0.2">
      <c r="A23" s="142"/>
      <c r="B23" s="333"/>
      <c r="C23" s="334"/>
      <c r="D23" s="335"/>
      <c r="E23" s="153"/>
      <c r="F23" s="167"/>
      <c r="G23" s="168"/>
      <c r="H23" s="169"/>
      <c r="I23" s="170"/>
      <c r="J23" s="155">
        <f t="shared" si="1"/>
        <v>0</v>
      </c>
      <c r="K23" s="144"/>
      <c r="L23" s="171"/>
    </row>
    <row r="24" spans="1:12" ht="10.5" customHeight="1" x14ac:dyDescent="0.2">
      <c r="A24" s="142"/>
      <c r="B24" s="333"/>
      <c r="C24" s="334"/>
      <c r="D24" s="335"/>
      <c r="E24" s="153"/>
      <c r="F24" s="167"/>
      <c r="G24" s="168"/>
      <c r="H24" s="169"/>
      <c r="I24" s="170"/>
      <c r="J24" s="155">
        <f t="shared" si="1"/>
        <v>0</v>
      </c>
      <c r="K24" s="144"/>
    </row>
    <row r="25" spans="1:12" ht="10.5" customHeight="1" thickBot="1" x14ac:dyDescent="0.25">
      <c r="A25" s="142"/>
      <c r="B25" s="348"/>
      <c r="C25" s="349"/>
      <c r="D25" s="350"/>
      <c r="E25" s="172"/>
      <c r="F25" s="173"/>
      <c r="G25" s="174"/>
      <c r="H25" s="175"/>
      <c r="I25" s="176"/>
      <c r="J25" s="177">
        <f t="shared" si="1"/>
        <v>0</v>
      </c>
      <c r="K25" s="144"/>
    </row>
    <row r="26" spans="1:12" ht="10.5" customHeight="1" thickBot="1" x14ac:dyDescent="0.25">
      <c r="A26" s="142"/>
      <c r="B26" s="146"/>
      <c r="C26" s="146"/>
      <c r="D26" s="146"/>
      <c r="E26" s="146"/>
      <c r="F26" s="146"/>
      <c r="G26" s="146"/>
      <c r="H26" s="146"/>
      <c r="I26" s="159" t="s">
        <v>70</v>
      </c>
      <c r="J26" s="178">
        <f>SUM(J21:J25)</f>
        <v>0</v>
      </c>
      <c r="K26" s="144"/>
    </row>
    <row r="27" spans="1:12" ht="10.5" customHeight="1" thickBot="1" x14ac:dyDescent="0.25">
      <c r="A27" s="142"/>
      <c r="B27" s="146"/>
      <c r="C27" s="146"/>
      <c r="D27" s="146"/>
      <c r="E27" s="146"/>
      <c r="F27" s="146"/>
      <c r="G27" s="146"/>
      <c r="H27" s="146"/>
      <c r="I27" s="159"/>
      <c r="J27" s="161"/>
      <c r="K27" s="144"/>
    </row>
    <row r="28" spans="1:12" ht="10.5" customHeight="1" thickBot="1" x14ac:dyDescent="0.25">
      <c r="A28" s="142"/>
      <c r="B28" s="327" t="s">
        <v>75</v>
      </c>
      <c r="C28" s="328"/>
      <c r="D28" s="328"/>
      <c r="E28" s="328"/>
      <c r="F28" s="328"/>
      <c r="G28" s="328"/>
      <c r="H28" s="328"/>
      <c r="I28" s="328"/>
      <c r="J28" s="329"/>
      <c r="K28" s="144"/>
    </row>
    <row r="29" spans="1:12" ht="10.5" customHeight="1" thickBot="1" x14ac:dyDescent="0.25">
      <c r="A29" s="142"/>
      <c r="B29" s="150" t="s">
        <v>76</v>
      </c>
      <c r="C29" s="150" t="s">
        <v>1</v>
      </c>
      <c r="D29" s="150" t="s">
        <v>77</v>
      </c>
      <c r="E29" s="150" t="s">
        <v>78</v>
      </c>
      <c r="F29" s="150" t="s">
        <v>79</v>
      </c>
      <c r="G29" s="330" t="s">
        <v>80</v>
      </c>
      <c r="H29" s="332"/>
      <c r="I29" s="143" t="s">
        <v>67</v>
      </c>
      <c r="J29" s="152" t="s">
        <v>68</v>
      </c>
      <c r="K29" s="144"/>
    </row>
    <row r="30" spans="1:12" ht="10.5" customHeight="1" x14ac:dyDescent="0.2">
      <c r="A30" s="142"/>
      <c r="B30" s="179" t="s">
        <v>106</v>
      </c>
      <c r="C30" s="180" t="s">
        <v>105</v>
      </c>
      <c r="D30" s="181"/>
      <c r="E30" s="181"/>
      <c r="F30" s="182"/>
      <c r="G30" s="338"/>
      <c r="H30" s="339"/>
      <c r="I30" s="182"/>
      <c r="J30" s="166">
        <f>+I30</f>
        <v>0</v>
      </c>
      <c r="K30" s="144"/>
    </row>
    <row r="31" spans="1:12" ht="10.5" customHeight="1" x14ac:dyDescent="0.2">
      <c r="A31" s="142"/>
      <c r="B31" s="183"/>
      <c r="C31" s="184"/>
      <c r="D31" s="185"/>
      <c r="E31" s="185"/>
      <c r="F31" s="186"/>
      <c r="G31" s="351"/>
      <c r="H31" s="352"/>
      <c r="I31" s="186"/>
      <c r="J31" s="155"/>
      <c r="K31" s="144"/>
    </row>
    <row r="32" spans="1:12" ht="10.5" customHeight="1" x14ac:dyDescent="0.2">
      <c r="A32" s="142"/>
      <c r="B32" s="183"/>
      <c r="C32" s="184"/>
      <c r="D32" s="185"/>
      <c r="E32" s="185"/>
      <c r="F32" s="186"/>
      <c r="G32" s="351"/>
      <c r="H32" s="352"/>
      <c r="I32" s="186"/>
      <c r="J32" s="155"/>
      <c r="K32" s="144"/>
    </row>
    <row r="33" spans="1:11" ht="10.5" customHeight="1" x14ac:dyDescent="0.2">
      <c r="A33" s="142"/>
      <c r="B33" s="187"/>
      <c r="C33" s="188"/>
      <c r="D33" s="189"/>
      <c r="E33" s="189"/>
      <c r="F33" s="186"/>
      <c r="G33" s="351"/>
      <c r="H33" s="352"/>
      <c r="I33" s="186"/>
      <c r="J33" s="155"/>
      <c r="K33" s="144"/>
    </row>
    <row r="34" spans="1:11" ht="10.5" customHeight="1" thickBot="1" x14ac:dyDescent="0.25">
      <c r="A34" s="142"/>
      <c r="B34" s="190"/>
      <c r="C34" s="191"/>
      <c r="D34" s="192"/>
      <c r="E34" s="193"/>
      <c r="F34" s="194" t="s">
        <v>81</v>
      </c>
      <c r="G34" s="353" t="s">
        <v>81</v>
      </c>
      <c r="H34" s="354"/>
      <c r="I34" s="194" t="s">
        <v>81</v>
      </c>
      <c r="J34" s="177"/>
      <c r="K34" s="144"/>
    </row>
    <row r="35" spans="1:11" ht="10.5" customHeight="1" thickBot="1" x14ac:dyDescent="0.25">
      <c r="A35" s="142"/>
      <c r="B35" s="146"/>
      <c r="C35" s="146"/>
      <c r="D35" s="146"/>
      <c r="E35" s="146"/>
      <c r="F35" s="146"/>
      <c r="G35" s="146"/>
      <c r="H35" s="146"/>
      <c r="I35" s="159" t="s">
        <v>70</v>
      </c>
      <c r="J35" s="160">
        <f>SUM(J30:J34)</f>
        <v>0</v>
      </c>
      <c r="K35" s="144"/>
    </row>
    <row r="36" spans="1:11" ht="10.5" customHeight="1" thickBot="1" x14ac:dyDescent="0.25">
      <c r="A36" s="142"/>
      <c r="B36" s="146"/>
      <c r="C36" s="146"/>
      <c r="D36" s="146"/>
      <c r="E36" s="146"/>
      <c r="F36" s="146"/>
      <c r="G36" s="146"/>
      <c r="H36" s="146"/>
      <c r="I36" s="159"/>
      <c r="J36" s="161"/>
      <c r="K36" s="144"/>
    </row>
    <row r="37" spans="1:11" ht="10.5" customHeight="1" thickBot="1" x14ac:dyDescent="0.25">
      <c r="A37" s="142"/>
      <c r="B37" s="327" t="s">
        <v>82</v>
      </c>
      <c r="C37" s="328"/>
      <c r="D37" s="328"/>
      <c r="E37" s="328"/>
      <c r="F37" s="328"/>
      <c r="G37" s="328"/>
      <c r="H37" s="328"/>
      <c r="I37" s="328"/>
      <c r="J37" s="329"/>
      <c r="K37" s="144"/>
    </row>
    <row r="38" spans="1:11" ht="10.5" customHeight="1" thickBot="1" x14ac:dyDescent="0.25">
      <c r="A38" s="142"/>
      <c r="B38" s="330" t="s">
        <v>83</v>
      </c>
      <c r="C38" s="332"/>
      <c r="D38" s="150" t="s">
        <v>84</v>
      </c>
      <c r="E38" s="150" t="s">
        <v>85</v>
      </c>
      <c r="F38" s="151" t="s">
        <v>86</v>
      </c>
      <c r="G38" s="330" t="s">
        <v>66</v>
      </c>
      <c r="H38" s="332"/>
      <c r="I38" s="150" t="s">
        <v>67</v>
      </c>
      <c r="J38" s="152" t="s">
        <v>68</v>
      </c>
      <c r="K38" s="144"/>
    </row>
    <row r="39" spans="1:11" ht="10.5" customHeight="1" x14ac:dyDescent="0.2">
      <c r="A39" s="142"/>
      <c r="B39" s="355" t="s">
        <v>87</v>
      </c>
      <c r="C39" s="356"/>
      <c r="D39" s="195">
        <v>65000</v>
      </c>
      <c r="E39" s="165">
        <v>0.25</v>
      </c>
      <c r="F39" s="196">
        <f>+(D39*E39)+D39</f>
        <v>81250</v>
      </c>
      <c r="G39" s="357">
        <v>5</v>
      </c>
      <c r="H39" s="358"/>
      <c r="I39" s="196"/>
      <c r="J39" s="158">
        <f>+I39</f>
        <v>0</v>
      </c>
      <c r="K39" s="144"/>
    </row>
    <row r="40" spans="1:11" ht="10.5" customHeight="1" thickBot="1" x14ac:dyDescent="0.25">
      <c r="A40" s="142"/>
      <c r="B40" s="359" t="s">
        <v>88</v>
      </c>
      <c r="C40" s="360"/>
      <c r="D40" s="197">
        <v>70000</v>
      </c>
      <c r="E40" s="198">
        <v>0.25</v>
      </c>
      <c r="F40" s="199">
        <f>+(D40*E40)+D40</f>
        <v>87500</v>
      </c>
      <c r="G40" s="361">
        <v>5</v>
      </c>
      <c r="H40" s="362"/>
      <c r="I40" s="199"/>
      <c r="J40" s="177">
        <f>+I40</f>
        <v>0</v>
      </c>
      <c r="K40" s="144"/>
    </row>
    <row r="41" spans="1:11" ht="10.5" customHeight="1" thickBot="1" x14ac:dyDescent="0.25">
      <c r="A41" s="142"/>
      <c r="B41" s="146"/>
      <c r="C41" s="146"/>
      <c r="D41" s="146"/>
      <c r="E41" s="146"/>
      <c r="F41" s="217"/>
      <c r="G41" s="146"/>
      <c r="H41" s="146"/>
      <c r="I41" s="159" t="s">
        <v>70</v>
      </c>
      <c r="J41" s="160">
        <f>SUM(J39:J40)</f>
        <v>0</v>
      </c>
      <c r="K41" s="144"/>
    </row>
    <row r="42" spans="1:11" ht="10.5" customHeight="1" thickBot="1" x14ac:dyDescent="0.25">
      <c r="A42" s="142"/>
      <c r="B42" s="146"/>
      <c r="C42" s="146"/>
      <c r="D42" s="146"/>
      <c r="E42" s="146"/>
      <c r="F42" s="146"/>
      <c r="G42" s="146"/>
      <c r="H42" s="146"/>
      <c r="I42" s="200"/>
      <c r="J42" s="147"/>
      <c r="K42" s="144"/>
    </row>
    <row r="43" spans="1:11" ht="10.5" customHeight="1" thickBot="1" x14ac:dyDescent="0.25">
      <c r="A43" s="142"/>
      <c r="C43" s="148"/>
      <c r="D43" s="148"/>
      <c r="E43" s="148"/>
      <c r="F43" s="148"/>
      <c r="G43" s="363" t="s">
        <v>89</v>
      </c>
      <c r="H43" s="363"/>
      <c r="I43" s="364"/>
      <c r="J43" s="152">
        <f>SUM(J41,J35,J26,J17)</f>
        <v>11200.9991336409</v>
      </c>
      <c r="K43" s="144"/>
    </row>
    <row r="44" spans="1:11" ht="10.5" customHeight="1" thickBot="1" x14ac:dyDescent="0.25">
      <c r="A44" s="142"/>
      <c r="J44" s="201"/>
      <c r="K44" s="144"/>
    </row>
    <row r="45" spans="1:11" ht="10.5" customHeight="1" thickBot="1" x14ac:dyDescent="0.25">
      <c r="A45" s="142"/>
      <c r="B45" s="327" t="s">
        <v>90</v>
      </c>
      <c r="C45" s="328"/>
      <c r="D45" s="328"/>
      <c r="E45" s="328"/>
      <c r="F45" s="328"/>
      <c r="G45" s="328"/>
      <c r="H45" s="328"/>
      <c r="I45" s="328"/>
      <c r="J45" s="329"/>
      <c r="K45" s="144"/>
    </row>
    <row r="46" spans="1:11" ht="10.5" customHeight="1" thickBot="1" x14ac:dyDescent="0.25">
      <c r="A46" s="142"/>
      <c r="J46" s="201"/>
      <c r="K46" s="144"/>
    </row>
    <row r="47" spans="1:11" ht="10.5" customHeight="1" thickBot="1" x14ac:dyDescent="0.25">
      <c r="A47" s="142"/>
      <c r="B47" s="202" t="s">
        <v>91</v>
      </c>
      <c r="C47" s="365" t="s">
        <v>92</v>
      </c>
      <c r="D47" s="366"/>
      <c r="E47" s="365" t="s">
        <v>93</v>
      </c>
      <c r="F47" s="366"/>
      <c r="G47" s="367" t="s">
        <v>94</v>
      </c>
      <c r="H47" s="368"/>
      <c r="I47" s="203" t="s">
        <v>95</v>
      </c>
      <c r="J47" s="204" t="s">
        <v>96</v>
      </c>
      <c r="K47" s="144"/>
    </row>
    <row r="48" spans="1:11" ht="10.5" customHeight="1" thickBot="1" x14ac:dyDescent="0.25">
      <c r="A48" s="142"/>
      <c r="B48" s="205"/>
      <c r="C48" s="205"/>
      <c r="D48" s="205"/>
      <c r="E48" s="205"/>
      <c r="F48" s="205"/>
      <c r="J48" s="201"/>
      <c r="K48" s="144"/>
    </row>
    <row r="49" spans="1:11" ht="10.5" customHeight="1" thickBot="1" x14ac:dyDescent="0.25">
      <c r="A49" s="142"/>
      <c r="B49" s="206"/>
      <c r="C49" s="369"/>
      <c r="D49" s="368"/>
      <c r="E49" s="369"/>
      <c r="F49" s="368"/>
      <c r="G49" s="367" t="s">
        <v>97</v>
      </c>
      <c r="H49" s="368"/>
      <c r="I49" s="207"/>
      <c r="J49" s="208">
        <f>+I49*J43</f>
        <v>0</v>
      </c>
      <c r="K49" s="144"/>
    </row>
    <row r="50" spans="1:11" ht="10.5" customHeight="1" thickBot="1" x14ac:dyDescent="0.25">
      <c r="A50" s="142"/>
      <c r="B50" s="205"/>
      <c r="C50" s="205"/>
      <c r="D50" s="205"/>
      <c r="E50" s="205"/>
      <c r="F50" s="205"/>
      <c r="I50" s="209"/>
      <c r="J50" s="201"/>
      <c r="K50" s="144"/>
    </row>
    <row r="51" spans="1:11" ht="10.5" customHeight="1" thickBot="1" x14ac:dyDescent="0.25">
      <c r="A51" s="142"/>
      <c r="B51" s="370" t="s">
        <v>98</v>
      </c>
      <c r="C51" s="371"/>
      <c r="D51" s="371"/>
      <c r="E51" s="371"/>
      <c r="F51" s="372"/>
      <c r="G51" s="367" t="s">
        <v>99</v>
      </c>
      <c r="H51" s="368"/>
      <c r="I51" s="207"/>
      <c r="J51" s="208">
        <f>+I51*J43</f>
        <v>0</v>
      </c>
      <c r="K51" s="144"/>
    </row>
    <row r="52" spans="1:11" ht="10.8" thickBot="1" x14ac:dyDescent="0.25">
      <c r="A52" s="142"/>
      <c r="B52" s="373"/>
      <c r="C52" s="374"/>
      <c r="D52" s="374"/>
      <c r="E52" s="374"/>
      <c r="F52" s="375"/>
      <c r="I52" s="209"/>
      <c r="J52" s="201"/>
      <c r="K52" s="144"/>
    </row>
    <row r="53" spans="1:11" ht="10.8" thickBot="1" x14ac:dyDescent="0.25">
      <c r="A53" s="142"/>
      <c r="B53" s="373"/>
      <c r="C53" s="374"/>
      <c r="D53" s="374"/>
      <c r="E53" s="374"/>
      <c r="F53" s="375"/>
      <c r="G53" s="367" t="s">
        <v>100</v>
      </c>
      <c r="H53" s="368"/>
      <c r="I53" s="207"/>
      <c r="J53" s="208">
        <f>+I53*J43</f>
        <v>0</v>
      </c>
      <c r="K53" s="144"/>
    </row>
    <row r="54" spans="1:11" ht="10.5" customHeight="1" thickBot="1" x14ac:dyDescent="0.25">
      <c r="A54" s="142"/>
      <c r="B54" s="373"/>
      <c r="C54" s="374"/>
      <c r="D54" s="374"/>
      <c r="E54" s="374"/>
      <c r="F54" s="375"/>
      <c r="J54" s="201"/>
      <c r="K54" s="144"/>
    </row>
    <row r="55" spans="1:11" ht="10.5" customHeight="1" thickBot="1" x14ac:dyDescent="0.25">
      <c r="A55" s="142"/>
      <c r="B55" s="373"/>
      <c r="C55" s="374"/>
      <c r="D55" s="374"/>
      <c r="E55" s="374"/>
      <c r="F55" s="375"/>
      <c r="G55" s="367" t="s">
        <v>101</v>
      </c>
      <c r="H55" s="367"/>
      <c r="I55" s="368"/>
      <c r="J55" s="211">
        <f>SUM(J49,J51,J53)</f>
        <v>0</v>
      </c>
      <c r="K55" s="144"/>
    </row>
    <row r="56" spans="1:11" ht="10.5" customHeight="1" thickBot="1" x14ac:dyDescent="0.25">
      <c r="A56" s="142"/>
      <c r="B56" s="373"/>
      <c r="C56" s="374"/>
      <c r="D56" s="374"/>
      <c r="E56" s="374"/>
      <c r="F56" s="375"/>
      <c r="J56" s="201"/>
      <c r="K56" s="144"/>
    </row>
    <row r="57" spans="1:11" ht="10.5" customHeight="1" thickBot="1" x14ac:dyDescent="0.25">
      <c r="A57" s="142"/>
      <c r="B57" s="376"/>
      <c r="C57" s="377"/>
      <c r="D57" s="377"/>
      <c r="E57" s="377"/>
      <c r="F57" s="378"/>
      <c r="G57" s="379" t="s">
        <v>54</v>
      </c>
      <c r="H57" s="379"/>
      <c r="I57" s="380"/>
      <c r="J57" s="212">
        <f>+J55+J43</f>
        <v>11200.9991336409</v>
      </c>
      <c r="K57" s="144"/>
    </row>
    <row r="58" spans="1:11" ht="10.5" customHeight="1" thickBot="1" x14ac:dyDescent="0.25">
      <c r="A58" s="213"/>
      <c r="B58" s="214"/>
      <c r="C58" s="214"/>
      <c r="D58" s="214"/>
      <c r="E58" s="214"/>
      <c r="F58" s="214"/>
      <c r="G58" s="214"/>
      <c r="H58" s="214"/>
      <c r="I58" s="214"/>
      <c r="J58" s="215"/>
      <c r="K58" s="216"/>
    </row>
  </sheetData>
  <mergeCells count="48">
    <mergeCell ref="B51:F57"/>
    <mergeCell ref="G51:H51"/>
    <mergeCell ref="G53:H53"/>
    <mergeCell ref="G55:I55"/>
    <mergeCell ref="G57:I57"/>
    <mergeCell ref="C47:D47"/>
    <mergeCell ref="E47:F47"/>
    <mergeCell ref="G47:H47"/>
    <mergeCell ref="C49:D49"/>
    <mergeCell ref="E49:F49"/>
    <mergeCell ref="G49:H49"/>
    <mergeCell ref="B45:J45"/>
    <mergeCell ref="G31:H31"/>
    <mergeCell ref="G32:H32"/>
    <mergeCell ref="G33:H33"/>
    <mergeCell ref="G34:H34"/>
    <mergeCell ref="B37:J37"/>
    <mergeCell ref="B38:C38"/>
    <mergeCell ref="G38:H38"/>
    <mergeCell ref="B39:C39"/>
    <mergeCell ref="G39:H39"/>
    <mergeCell ref="B40:C40"/>
    <mergeCell ref="G40:H40"/>
    <mergeCell ref="G43:I43"/>
    <mergeCell ref="G30:H30"/>
    <mergeCell ref="B16:D16"/>
    <mergeCell ref="G16:H16"/>
    <mergeCell ref="B19:J19"/>
    <mergeCell ref="B20:D20"/>
    <mergeCell ref="B21:D21"/>
    <mergeCell ref="B22:D22"/>
    <mergeCell ref="B23:D23"/>
    <mergeCell ref="B24:D24"/>
    <mergeCell ref="B25:D25"/>
    <mergeCell ref="B28:J28"/>
    <mergeCell ref="G29:H29"/>
    <mergeCell ref="B11:J11"/>
    <mergeCell ref="B13:J13"/>
    <mergeCell ref="B14:D14"/>
    <mergeCell ref="G14:H14"/>
    <mergeCell ref="B15:D15"/>
    <mergeCell ref="G15:H15"/>
    <mergeCell ref="B3:D5"/>
    <mergeCell ref="E3:J5"/>
    <mergeCell ref="B7:J7"/>
    <mergeCell ref="B8:J8"/>
    <mergeCell ref="B9:E9"/>
    <mergeCell ref="F9:J9"/>
  </mergeCells>
  <pageMargins left="0.7" right="0.7" top="0.5" bottom="0.75" header="0.3" footer="0.3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1E767-9D4F-DA41-A406-F32741B5B201}">
  <sheetPr>
    <tabColor rgb="FFFFFF00"/>
  </sheetPr>
  <dimension ref="A1:H48"/>
  <sheetViews>
    <sheetView topLeftCell="A31" zoomScaleNormal="100" workbookViewId="0">
      <selection activeCell="E6" sqref="E6"/>
    </sheetView>
  </sheetViews>
  <sheetFormatPr baseColWidth="10" defaultRowHeight="14.4" x14ac:dyDescent="0.3"/>
  <sheetData>
    <row r="1" spans="1:8" ht="15" thickBot="1" x14ac:dyDescent="0.35"/>
    <row r="2" spans="1:8" x14ac:dyDescent="0.3">
      <c r="A2" s="261"/>
      <c r="B2" s="3"/>
      <c r="C2" s="4"/>
      <c r="D2" s="1"/>
      <c r="E2" s="5"/>
      <c r="F2" s="1"/>
      <c r="G2" s="1"/>
      <c r="H2" s="2"/>
    </row>
    <row r="3" spans="1:8" x14ac:dyDescent="0.3">
      <c r="A3" s="6" t="s">
        <v>164</v>
      </c>
      <c r="B3" s="7"/>
      <c r="C3" s="8"/>
      <c r="D3" s="9"/>
      <c r="E3" s="10" t="s">
        <v>165</v>
      </c>
      <c r="F3" s="9"/>
      <c r="G3" s="9"/>
      <c r="H3" s="11"/>
    </row>
    <row r="4" spans="1:8" ht="15" thickBot="1" x14ac:dyDescent="0.35">
      <c r="A4" s="12"/>
      <c r="B4" s="13"/>
      <c r="C4" s="14"/>
      <c r="D4" s="15"/>
      <c r="E4" s="16"/>
      <c r="F4" s="16"/>
      <c r="G4" s="16"/>
      <c r="H4" s="17"/>
    </row>
    <row r="5" spans="1:8" x14ac:dyDescent="0.3">
      <c r="A5" s="18"/>
      <c r="B5" s="9"/>
      <c r="C5" s="9"/>
      <c r="D5" s="9"/>
      <c r="E5" s="9"/>
      <c r="F5" s="9"/>
      <c r="G5" s="9"/>
      <c r="H5" s="9"/>
    </row>
    <row r="6" spans="1:8" x14ac:dyDescent="0.3">
      <c r="A6" s="18"/>
      <c r="B6" s="19"/>
      <c r="C6" s="9"/>
      <c r="E6" s="19"/>
      <c r="G6" s="19"/>
      <c r="H6" s="9"/>
    </row>
    <row r="7" spans="1:8" x14ac:dyDescent="0.3">
      <c r="A7" s="20" t="s">
        <v>215</v>
      </c>
      <c r="B7" s="19"/>
      <c r="C7" s="9"/>
      <c r="D7" s="19"/>
      <c r="E7" s="19"/>
      <c r="F7" s="19"/>
      <c r="G7" s="19" t="s">
        <v>166</v>
      </c>
      <c r="H7" s="9"/>
    </row>
    <row r="8" spans="1:8" x14ac:dyDescent="0.3">
      <c r="A8" s="19"/>
      <c r="B8" s="19"/>
      <c r="C8" s="9"/>
      <c r="D8" s="19"/>
      <c r="E8" s="19"/>
      <c r="F8" s="19"/>
      <c r="G8" s="19"/>
      <c r="H8" s="9"/>
    </row>
    <row r="9" spans="1:8" ht="15" thickBot="1" x14ac:dyDescent="0.35">
      <c r="A9" s="10" t="s">
        <v>62</v>
      </c>
      <c r="B9" s="10"/>
      <c r="C9" s="9"/>
      <c r="D9" s="9"/>
      <c r="E9" s="9"/>
      <c r="F9" s="9"/>
      <c r="G9" s="9"/>
      <c r="H9" s="9"/>
    </row>
    <row r="10" spans="1:8" x14ac:dyDescent="0.3">
      <c r="A10" s="21" t="s">
        <v>63</v>
      </c>
      <c r="B10" s="22"/>
      <c r="C10" s="23"/>
      <c r="D10" s="23" t="s">
        <v>64</v>
      </c>
      <c r="E10" s="24" t="s">
        <v>167</v>
      </c>
      <c r="F10" s="23" t="s">
        <v>66</v>
      </c>
      <c r="G10" s="22" t="s">
        <v>67</v>
      </c>
      <c r="H10" s="25"/>
    </row>
    <row r="11" spans="1:8" x14ac:dyDescent="0.3">
      <c r="A11" s="26" t="s">
        <v>168</v>
      </c>
      <c r="B11" s="27"/>
      <c r="C11" s="28"/>
      <c r="D11" s="29" t="s">
        <v>169</v>
      </c>
      <c r="E11" s="29"/>
      <c r="F11" s="30"/>
      <c r="G11" s="31">
        <v>600000</v>
      </c>
      <c r="H11" s="32"/>
    </row>
    <row r="12" spans="1:8" x14ac:dyDescent="0.3">
      <c r="A12" s="26" t="s">
        <v>170</v>
      </c>
      <c r="B12" s="27"/>
      <c r="C12" s="28"/>
      <c r="D12" s="33" t="s">
        <v>169</v>
      </c>
      <c r="E12" s="34"/>
      <c r="F12" s="30"/>
      <c r="G12" s="30">
        <v>500000</v>
      </c>
      <c r="H12" s="35"/>
    </row>
    <row r="13" spans="1:8" x14ac:dyDescent="0.3">
      <c r="A13" s="36" t="s">
        <v>171</v>
      </c>
      <c r="B13" s="37"/>
      <c r="C13" s="38"/>
      <c r="D13" s="39" t="s">
        <v>169</v>
      </c>
      <c r="E13" s="40"/>
      <c r="F13" s="41"/>
      <c r="G13" s="30">
        <v>200000</v>
      </c>
      <c r="H13" s="35"/>
    </row>
    <row r="14" spans="1:8" ht="15" thickBot="1" x14ac:dyDescent="0.35">
      <c r="A14" s="42"/>
      <c r="B14" s="42"/>
      <c r="C14" s="42"/>
      <c r="D14" s="43"/>
      <c r="E14" s="44"/>
      <c r="F14" s="45"/>
      <c r="G14" s="45"/>
      <c r="H14" s="46"/>
    </row>
    <row r="15" spans="1:8" ht="15" thickBot="1" x14ac:dyDescent="0.35">
      <c r="A15" s="9"/>
      <c r="B15" s="9"/>
      <c r="C15" s="9"/>
      <c r="D15" s="9"/>
      <c r="E15" s="9"/>
      <c r="F15" s="9"/>
      <c r="G15" s="47" t="s">
        <v>70</v>
      </c>
      <c r="H15" s="48">
        <f>SUM(G11:G13,)</f>
        <v>1300000</v>
      </c>
    </row>
    <row r="16" spans="1:8" ht="15" thickBot="1" x14ac:dyDescent="0.35">
      <c r="A16" s="10" t="s">
        <v>71</v>
      </c>
      <c r="B16" s="10"/>
      <c r="C16" s="9"/>
      <c r="D16" s="9"/>
      <c r="E16" s="9"/>
      <c r="F16" s="9"/>
      <c r="G16" s="9"/>
      <c r="H16" s="9"/>
    </row>
    <row r="17" spans="1:8" x14ac:dyDescent="0.3">
      <c r="A17" s="49" t="s">
        <v>63</v>
      </c>
      <c r="B17" s="50"/>
      <c r="C17" s="51"/>
      <c r="D17" s="23" t="s">
        <v>1</v>
      </c>
      <c r="E17" s="23" t="s">
        <v>73</v>
      </c>
      <c r="F17" s="23" t="s">
        <v>72</v>
      </c>
      <c r="G17" s="22" t="s">
        <v>67</v>
      </c>
      <c r="H17" s="25"/>
    </row>
    <row r="18" spans="1:8" x14ac:dyDescent="0.3">
      <c r="A18" s="52" t="s">
        <v>172</v>
      </c>
      <c r="B18" s="53"/>
      <c r="C18" s="54"/>
      <c r="D18" s="33" t="s">
        <v>159</v>
      </c>
      <c r="E18" s="34">
        <v>2600000</v>
      </c>
      <c r="F18" s="55">
        <v>1.5</v>
      </c>
      <c r="G18" s="30">
        <f>F18*E18</f>
        <v>3900000</v>
      </c>
      <c r="H18" s="11"/>
    </row>
    <row r="19" spans="1:8" x14ac:dyDescent="0.3">
      <c r="A19" s="52" t="s">
        <v>173</v>
      </c>
      <c r="B19" s="53"/>
      <c r="C19" s="54"/>
      <c r="D19" s="33" t="s">
        <v>159</v>
      </c>
      <c r="E19" s="34">
        <v>370000</v>
      </c>
      <c r="F19" s="55">
        <v>12</v>
      </c>
      <c r="G19" s="30">
        <f t="shared" ref="G19:G27" si="0">F19*E19</f>
        <v>4440000</v>
      </c>
      <c r="H19" s="11"/>
    </row>
    <row r="20" spans="1:8" x14ac:dyDescent="0.3">
      <c r="A20" s="52" t="s">
        <v>174</v>
      </c>
      <c r="B20" s="53"/>
      <c r="C20" s="54"/>
      <c r="D20" s="33" t="s">
        <v>159</v>
      </c>
      <c r="E20" s="34">
        <v>7000</v>
      </c>
      <c r="F20" s="55">
        <v>12</v>
      </c>
      <c r="G20" s="30">
        <f t="shared" si="0"/>
        <v>84000</v>
      </c>
      <c r="H20" s="11"/>
    </row>
    <row r="21" spans="1:8" x14ac:dyDescent="0.3">
      <c r="A21" s="52" t="s">
        <v>175</v>
      </c>
      <c r="B21" s="53"/>
      <c r="C21" s="54"/>
      <c r="D21" s="33" t="s">
        <v>159</v>
      </c>
      <c r="E21" s="34">
        <v>270000</v>
      </c>
      <c r="F21" s="55">
        <v>1</v>
      </c>
      <c r="G21" s="30">
        <f t="shared" si="0"/>
        <v>270000</v>
      </c>
      <c r="H21" s="11"/>
    </row>
    <row r="22" spans="1:8" x14ac:dyDescent="0.3">
      <c r="A22" s="52" t="s">
        <v>176</v>
      </c>
      <c r="B22" s="53"/>
      <c r="C22" s="54"/>
      <c r="D22" s="33" t="s">
        <v>177</v>
      </c>
      <c r="E22" s="34">
        <v>14000</v>
      </c>
      <c r="F22" s="67">
        <v>15</v>
      </c>
      <c r="G22" s="30">
        <f t="shared" si="0"/>
        <v>210000</v>
      </c>
      <c r="H22" s="11"/>
    </row>
    <row r="23" spans="1:8" x14ac:dyDescent="0.3">
      <c r="A23" s="52" t="s">
        <v>178</v>
      </c>
      <c r="B23" s="53"/>
      <c r="C23" s="54"/>
      <c r="D23" s="33" t="s">
        <v>177</v>
      </c>
      <c r="E23" s="34">
        <v>15000</v>
      </c>
      <c r="F23" s="67">
        <v>10</v>
      </c>
      <c r="G23" s="30">
        <f t="shared" si="0"/>
        <v>150000</v>
      </c>
      <c r="H23" s="11"/>
    </row>
    <row r="24" spans="1:8" x14ac:dyDescent="0.3">
      <c r="A24" s="52" t="s">
        <v>179</v>
      </c>
      <c r="B24" s="53"/>
      <c r="C24" s="54"/>
      <c r="D24" s="33" t="s">
        <v>159</v>
      </c>
      <c r="E24" s="34">
        <v>2200</v>
      </c>
      <c r="F24" s="67">
        <v>150</v>
      </c>
      <c r="G24" s="30">
        <f t="shared" si="0"/>
        <v>330000</v>
      </c>
      <c r="H24" s="11"/>
    </row>
    <row r="25" spans="1:8" x14ac:dyDescent="0.3">
      <c r="A25" s="56" t="s">
        <v>180</v>
      </c>
      <c r="B25" s="57"/>
      <c r="C25" s="58"/>
      <c r="D25" s="33" t="s">
        <v>181</v>
      </c>
      <c r="E25" s="34">
        <v>250000</v>
      </c>
      <c r="F25" s="55">
        <v>1</v>
      </c>
      <c r="G25" s="30">
        <f t="shared" si="0"/>
        <v>250000</v>
      </c>
      <c r="H25" s="11"/>
    </row>
    <row r="26" spans="1:8" ht="15" thickBot="1" x14ac:dyDescent="0.35">
      <c r="A26" s="56" t="s">
        <v>182</v>
      </c>
      <c r="B26" s="57"/>
      <c r="C26" s="58"/>
      <c r="D26" s="33" t="s">
        <v>159</v>
      </c>
      <c r="E26" s="34">
        <v>8000</v>
      </c>
      <c r="F26" s="30">
        <v>10</v>
      </c>
      <c r="G26" s="30">
        <f t="shared" si="0"/>
        <v>80000</v>
      </c>
      <c r="H26" s="59"/>
    </row>
    <row r="27" spans="1:8" ht="15" thickBot="1" x14ac:dyDescent="0.35">
      <c r="A27" s="56" t="s">
        <v>183</v>
      </c>
      <c r="B27" s="57"/>
      <c r="C27" s="58"/>
      <c r="D27" s="33" t="s">
        <v>159</v>
      </c>
      <c r="E27" s="34">
        <v>16000</v>
      </c>
      <c r="F27" s="30">
        <v>5</v>
      </c>
      <c r="G27" s="30">
        <f t="shared" si="0"/>
        <v>80000</v>
      </c>
      <c r="H27" s="59"/>
    </row>
    <row r="28" spans="1:8" ht="15" thickBot="1" x14ac:dyDescent="0.35">
      <c r="A28" s="9"/>
      <c r="B28" s="9"/>
      <c r="C28" s="9"/>
      <c r="D28" s="43"/>
      <c r="E28" s="44"/>
      <c r="F28" s="45"/>
      <c r="G28" s="60"/>
      <c r="H28" s="46"/>
    </row>
    <row r="29" spans="1:8" ht="15" thickBot="1" x14ac:dyDescent="0.35">
      <c r="A29" s="9"/>
      <c r="B29" s="9"/>
      <c r="C29" s="9"/>
      <c r="D29" s="9"/>
      <c r="E29" s="9"/>
      <c r="F29" s="9"/>
      <c r="G29" s="47" t="s">
        <v>70</v>
      </c>
      <c r="H29" s="48">
        <f>SUM(G18:G28)</f>
        <v>9794000</v>
      </c>
    </row>
    <row r="30" spans="1:8" ht="15" thickBot="1" x14ac:dyDescent="0.35">
      <c r="A30" s="10" t="s">
        <v>75</v>
      </c>
      <c r="B30" s="10"/>
      <c r="C30" s="9"/>
      <c r="D30" s="9"/>
      <c r="E30" s="9"/>
      <c r="F30" s="9"/>
      <c r="G30" s="9"/>
      <c r="H30" s="9"/>
    </row>
    <row r="31" spans="1:8" x14ac:dyDescent="0.3">
      <c r="A31" s="61" t="s">
        <v>184</v>
      </c>
      <c r="B31" s="23"/>
      <c r="C31" s="23" t="s">
        <v>185</v>
      </c>
      <c r="D31" s="23" t="s">
        <v>186</v>
      </c>
      <c r="E31" s="23" t="s">
        <v>187</v>
      </c>
      <c r="F31" s="23" t="s">
        <v>188</v>
      </c>
      <c r="G31" s="62" t="s">
        <v>67</v>
      </c>
      <c r="H31" s="25"/>
    </row>
    <row r="32" spans="1:8" x14ac:dyDescent="0.3">
      <c r="A32" s="63"/>
      <c r="B32" s="54"/>
      <c r="C32" s="64"/>
      <c r="D32" s="64"/>
      <c r="E32" s="64"/>
      <c r="F32" s="31"/>
      <c r="G32" s="65"/>
      <c r="H32" s="32"/>
    </row>
    <row r="33" spans="1:8" x14ac:dyDescent="0.3">
      <c r="A33" s="63"/>
      <c r="B33" s="54"/>
      <c r="C33" s="66"/>
      <c r="D33" s="33"/>
      <c r="E33" s="67"/>
      <c r="F33" s="30"/>
      <c r="G33" s="30"/>
      <c r="H33" s="32"/>
    </row>
    <row r="34" spans="1:8" x14ac:dyDescent="0.3">
      <c r="A34" s="63"/>
      <c r="B34" s="54"/>
      <c r="C34" s="66"/>
      <c r="D34" s="33"/>
      <c r="E34" s="67"/>
      <c r="F34" s="30"/>
      <c r="G34" s="30"/>
      <c r="H34" s="32"/>
    </row>
    <row r="35" spans="1:8" ht="15" thickBot="1" x14ac:dyDescent="0.35">
      <c r="A35" s="68"/>
      <c r="B35" s="69"/>
      <c r="C35" s="70"/>
      <c r="D35" s="70"/>
      <c r="E35" s="70"/>
      <c r="F35" s="70"/>
      <c r="G35" s="71"/>
      <c r="H35" s="32"/>
    </row>
    <row r="36" spans="1:8" ht="15" thickBot="1" x14ac:dyDescent="0.35">
      <c r="A36" s="9"/>
      <c r="B36" s="9"/>
      <c r="C36" s="9"/>
      <c r="D36" s="9"/>
      <c r="E36" s="9"/>
      <c r="F36" s="9"/>
      <c r="G36" s="47" t="s">
        <v>70</v>
      </c>
      <c r="H36" s="48">
        <f>SUM(G32:G35)</f>
        <v>0</v>
      </c>
    </row>
    <row r="37" spans="1:8" ht="15" thickBot="1" x14ac:dyDescent="0.35">
      <c r="A37" s="10" t="s">
        <v>82</v>
      </c>
      <c r="B37" s="10"/>
      <c r="C37" s="9"/>
      <c r="D37" s="9"/>
      <c r="E37" s="9"/>
      <c r="F37" s="9"/>
      <c r="G37" s="9"/>
      <c r="H37" s="9"/>
    </row>
    <row r="38" spans="1:8" ht="15" thickBot="1" x14ac:dyDescent="0.35">
      <c r="A38" s="72" t="s">
        <v>83</v>
      </c>
      <c r="B38" s="23"/>
      <c r="C38" s="23" t="s">
        <v>84</v>
      </c>
      <c r="D38" s="23" t="s">
        <v>85</v>
      </c>
      <c r="E38" s="24" t="s">
        <v>86</v>
      </c>
      <c r="F38" s="73" t="s">
        <v>66</v>
      </c>
      <c r="G38" s="22" t="s">
        <v>67</v>
      </c>
      <c r="H38" s="25"/>
    </row>
    <row r="39" spans="1:8" ht="15" thickBot="1" x14ac:dyDescent="0.35">
      <c r="A39" s="63" t="s">
        <v>191</v>
      </c>
      <c r="B39" s="54"/>
      <c r="C39" s="79">
        <f>110000*2</f>
        <v>220000</v>
      </c>
      <c r="D39" s="80">
        <v>0.25</v>
      </c>
      <c r="E39" s="81">
        <f>+(C39*D39)+C39</f>
        <v>275000</v>
      </c>
      <c r="F39" s="30">
        <v>0.03</v>
      </c>
      <c r="G39" s="76">
        <f>+E39/F39</f>
        <v>9166666.6666666679</v>
      </c>
      <c r="H39" s="32"/>
    </row>
    <row r="40" spans="1:8" x14ac:dyDescent="0.3">
      <c r="A40" s="63" t="s">
        <v>192</v>
      </c>
      <c r="B40" s="54"/>
      <c r="C40" s="79">
        <f>60000*2</f>
        <v>120000</v>
      </c>
      <c r="D40" s="80">
        <v>0.25</v>
      </c>
      <c r="E40" s="81">
        <f>+(C40*D40)+C40</f>
        <v>150000</v>
      </c>
      <c r="F40" s="30">
        <v>3.1650021127316033E-2</v>
      </c>
      <c r="G40" s="76">
        <f>+E40/F40</f>
        <v>4739333.3292450858</v>
      </c>
      <c r="H40" s="32"/>
    </row>
    <row r="41" spans="1:8" x14ac:dyDescent="0.3">
      <c r="A41" s="63"/>
      <c r="B41" s="54"/>
      <c r="C41" s="74"/>
      <c r="D41" s="75"/>
      <c r="E41" s="34"/>
      <c r="F41" s="30"/>
      <c r="G41" s="31"/>
      <c r="H41" s="32"/>
    </row>
    <row r="42" spans="1:8" x14ac:dyDescent="0.3">
      <c r="A42" s="63"/>
      <c r="B42" s="54"/>
      <c r="C42" s="34"/>
      <c r="D42" s="33"/>
      <c r="E42" s="34"/>
      <c r="F42" s="30"/>
      <c r="G42" s="31"/>
      <c r="H42" s="32"/>
    </row>
    <row r="43" spans="1:8" x14ac:dyDescent="0.3">
      <c r="A43" s="63"/>
      <c r="B43" s="54"/>
      <c r="C43" s="34"/>
      <c r="D43" s="33"/>
      <c r="E43" s="34"/>
      <c r="F43" s="30"/>
      <c r="G43" s="31"/>
      <c r="H43" s="32"/>
    </row>
    <row r="44" spans="1:8" ht="15" thickBot="1" x14ac:dyDescent="0.35">
      <c r="A44" s="68"/>
      <c r="B44" s="69"/>
      <c r="C44" s="69"/>
      <c r="D44" s="69"/>
      <c r="E44" s="69"/>
      <c r="F44" s="69"/>
      <c r="G44" s="9"/>
      <c r="H44" s="32"/>
    </row>
    <row r="45" spans="1:8" x14ac:dyDescent="0.3">
      <c r="A45" s="9"/>
      <c r="B45" s="9"/>
      <c r="C45" s="9"/>
      <c r="D45" s="9"/>
      <c r="E45" s="9"/>
      <c r="F45" s="9"/>
      <c r="G45" s="82" t="s">
        <v>70</v>
      </c>
      <c r="H45" s="83">
        <f>G39+G40</f>
        <v>13905999.995911755</v>
      </c>
    </row>
    <row r="46" spans="1:8" ht="15" thickBot="1" x14ac:dyDescent="0.35">
      <c r="A46" s="9"/>
      <c r="B46" s="9"/>
      <c r="C46" s="9"/>
      <c r="D46" s="9"/>
      <c r="E46" s="9"/>
      <c r="F46" s="9"/>
      <c r="G46" s="77"/>
      <c r="H46" s="9"/>
    </row>
    <row r="47" spans="1:8" ht="15" thickBot="1" x14ac:dyDescent="0.35">
      <c r="A47" s="9"/>
      <c r="B47" s="9"/>
      <c r="C47" s="9"/>
      <c r="D47" s="9"/>
      <c r="E47" s="7" t="s">
        <v>189</v>
      </c>
      <c r="F47" s="78"/>
      <c r="G47" s="78"/>
      <c r="H47" s="48">
        <f>H15+H29+H36+H45</f>
        <v>24999999.995911755</v>
      </c>
    </row>
    <row r="48" spans="1:8" ht="15" thickBot="1" x14ac:dyDescent="0.35">
      <c r="E48" s="389" t="s">
        <v>190</v>
      </c>
      <c r="F48" s="389"/>
      <c r="G48" s="389"/>
      <c r="H48" s="48">
        <f>ROUND(H47,0)</f>
        <v>25000000</v>
      </c>
    </row>
  </sheetData>
  <mergeCells count="1">
    <mergeCell ref="E48:G48"/>
  </mergeCells>
  <pageMargins left="0.7" right="0.7" top="0.75" bottom="0.75" header="0.3" footer="0.3"/>
  <pageSetup paperSize="9"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91254-1D52-43CE-B6C8-958A45524022}">
  <sheetPr>
    <tabColor rgb="FFFFFF00"/>
  </sheetPr>
  <dimension ref="A1:F15"/>
  <sheetViews>
    <sheetView topLeftCell="B1" zoomScale="110" zoomScaleNormal="110" workbookViewId="0">
      <selection activeCell="D12" sqref="D12"/>
    </sheetView>
  </sheetViews>
  <sheetFormatPr baseColWidth="10" defaultColWidth="11.44140625" defaultRowHeight="10.199999999999999" x14ac:dyDescent="0.2"/>
  <cols>
    <col min="1" max="1" width="5.44140625" style="123" customWidth="1"/>
    <col min="2" max="2" width="30.44140625" style="84" customWidth="1"/>
    <col min="3" max="4" width="11.44140625" style="84"/>
    <col min="5" max="5" width="14.6640625" style="137" bestFit="1" customWidth="1"/>
    <col min="6" max="6" width="19.33203125" style="137" bestFit="1" customWidth="1"/>
    <col min="7" max="16384" width="11.44140625" style="84"/>
  </cols>
  <sheetData>
    <row r="1" spans="1:6" ht="10.8" thickBot="1" x14ac:dyDescent="0.25"/>
    <row r="2" spans="1:6" x14ac:dyDescent="0.2">
      <c r="A2" s="392" t="s">
        <v>200</v>
      </c>
      <c r="B2" s="393"/>
      <c r="C2" s="393"/>
      <c r="D2" s="393"/>
      <c r="E2" s="393"/>
      <c r="F2" s="394"/>
    </row>
    <row r="3" spans="1:6" ht="10.8" thickBot="1" x14ac:dyDescent="0.25">
      <c r="A3" s="395" t="s">
        <v>118</v>
      </c>
      <c r="B3" s="396"/>
      <c r="C3" s="396"/>
      <c r="D3" s="396"/>
      <c r="E3" s="396"/>
      <c r="F3" s="397"/>
    </row>
    <row r="4" spans="1:6" ht="14.25" customHeight="1" thickBot="1" x14ac:dyDescent="0.25">
      <c r="A4" s="285"/>
      <c r="B4" s="285"/>
      <c r="C4" s="285"/>
      <c r="D4" s="285"/>
      <c r="E4" s="285"/>
      <c r="F4" s="285"/>
    </row>
    <row r="5" spans="1:6" ht="18" customHeight="1" thickBot="1" x14ac:dyDescent="0.25">
      <c r="A5" s="369" t="s">
        <v>51</v>
      </c>
      <c r="B5" s="367"/>
      <c r="C5" s="367"/>
      <c r="D5" s="367"/>
      <c r="E5" s="367"/>
      <c r="F5" s="368"/>
    </row>
    <row r="6" spans="1:6" ht="12" customHeight="1" thickBot="1" x14ac:dyDescent="0.25">
      <c r="A6" s="210"/>
      <c r="B6" s="210"/>
      <c r="C6" s="210"/>
      <c r="D6" s="210"/>
      <c r="E6" s="210"/>
      <c r="F6" s="210"/>
    </row>
    <row r="7" spans="1:6" ht="10.8" thickBot="1" x14ac:dyDescent="0.25">
      <c r="A7" s="218" t="s">
        <v>53</v>
      </c>
      <c r="B7" s="219" t="s">
        <v>52</v>
      </c>
      <c r="C7" s="219" t="s">
        <v>55</v>
      </c>
      <c r="D7" s="219" t="s">
        <v>56</v>
      </c>
      <c r="E7" s="220" t="s">
        <v>119</v>
      </c>
      <c r="F7" s="221" t="s">
        <v>68</v>
      </c>
    </row>
    <row r="8" spans="1:6" ht="24.75" customHeight="1" x14ac:dyDescent="0.2">
      <c r="A8" s="222">
        <v>1</v>
      </c>
      <c r="B8" s="223" t="s">
        <v>120</v>
      </c>
      <c r="C8" s="224" t="s">
        <v>121</v>
      </c>
      <c r="D8" s="225">
        <v>2</v>
      </c>
      <c r="E8" s="226">
        <f>'EXCAVACION MANUAL'!J57</f>
        <v>48214.288831168837</v>
      </c>
      <c r="F8" s="227">
        <f>+E8*D8</f>
        <v>96428.577662337673</v>
      </c>
    </row>
    <row r="9" spans="1:6" ht="19.5" customHeight="1" x14ac:dyDescent="0.2">
      <c r="A9" s="228">
        <v>2</v>
      </c>
      <c r="B9" s="229" t="s">
        <v>122</v>
      </c>
      <c r="C9" s="115" t="s">
        <v>55</v>
      </c>
      <c r="D9" s="115">
        <v>2</v>
      </c>
      <c r="E9" s="230">
        <f>'BASE EN CONCRETO'!J57</f>
        <v>199184.72866666666</v>
      </c>
      <c r="F9" s="231">
        <f>+E9*D9</f>
        <v>398369.45733333332</v>
      </c>
    </row>
    <row r="10" spans="1:6" ht="22.5" customHeight="1" x14ac:dyDescent="0.2">
      <c r="A10" s="228">
        <v>3</v>
      </c>
      <c r="B10" s="229" t="s">
        <v>123</v>
      </c>
      <c r="C10" s="115" t="s">
        <v>103</v>
      </c>
      <c r="D10" s="115">
        <v>7</v>
      </c>
      <c r="E10" s="230">
        <f>'tablero en concreto 3000 psi'!J58</f>
        <v>760579.78793999995</v>
      </c>
      <c r="F10" s="231">
        <f>+E10*D10</f>
        <v>5324058.5155799994</v>
      </c>
    </row>
    <row r="11" spans="1:6" ht="19.5" customHeight="1" x14ac:dyDescent="0.2">
      <c r="A11" s="228">
        <v>4</v>
      </c>
      <c r="B11" s="229" t="s">
        <v>124</v>
      </c>
      <c r="C11" s="115" t="s">
        <v>103</v>
      </c>
      <c r="D11" s="115">
        <v>14</v>
      </c>
      <c r="E11" s="230">
        <f>bordillo!J58</f>
        <v>136955.95156466667</v>
      </c>
      <c r="F11" s="231">
        <f>+E11*D11</f>
        <v>1917383.3219053333</v>
      </c>
    </row>
    <row r="12" spans="1:6" ht="18.75" customHeight="1" thickBot="1" x14ac:dyDescent="0.25">
      <c r="A12" s="232">
        <v>5</v>
      </c>
      <c r="B12" s="233" t="s">
        <v>125</v>
      </c>
      <c r="C12" s="234" t="s">
        <v>55</v>
      </c>
      <c r="D12" s="234">
        <v>1</v>
      </c>
      <c r="E12" s="235">
        <v>2000000</v>
      </c>
      <c r="F12" s="236">
        <f>+E12*D12</f>
        <v>2000000</v>
      </c>
    </row>
    <row r="13" spans="1:6" ht="10.8" thickBot="1" x14ac:dyDescent="0.25">
      <c r="C13" s="123"/>
      <c r="D13" s="398" t="s">
        <v>27</v>
      </c>
      <c r="E13" s="399"/>
      <c r="F13" s="237">
        <f>SUM(F8:F12,)</f>
        <v>9736239.8724810034</v>
      </c>
    </row>
    <row r="14" spans="1:6" ht="6" customHeight="1" thickBot="1" x14ac:dyDescent="0.25"/>
    <row r="15" spans="1:6" ht="10.8" thickBot="1" x14ac:dyDescent="0.25">
      <c r="D15" s="390" t="s">
        <v>216</v>
      </c>
      <c r="E15" s="391"/>
      <c r="F15" s="238">
        <f>+F13/6</f>
        <v>1622706.6454135005</v>
      </c>
    </row>
  </sheetData>
  <mergeCells count="6">
    <mergeCell ref="D15:E15"/>
    <mergeCell ref="A2:F2"/>
    <mergeCell ref="A3:F3"/>
    <mergeCell ref="A4:F4"/>
    <mergeCell ref="A5:F5"/>
    <mergeCell ref="D13:E1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D0029-D7B1-4BD1-BD72-E669C41EA8F0}">
  <dimension ref="A1:L58"/>
  <sheetViews>
    <sheetView zoomScale="90" zoomScaleNormal="90" workbookViewId="0">
      <selection activeCell="G63" sqref="G62:G63"/>
    </sheetView>
  </sheetViews>
  <sheetFormatPr baseColWidth="10" defaultColWidth="11.44140625" defaultRowHeight="10.199999999999999" x14ac:dyDescent="0.2"/>
  <cols>
    <col min="1" max="1" width="1.44140625" style="84" customWidth="1"/>
    <col min="2" max="3" width="11.44140625" style="84"/>
    <col min="4" max="4" width="14.33203125" style="84" bestFit="1" customWidth="1"/>
    <col min="5" max="5" width="13.44140625" style="84" bestFit="1" customWidth="1"/>
    <col min="6" max="7" width="12.109375" style="84" customWidth="1"/>
    <col min="8" max="8" width="7.6640625" style="84" customWidth="1"/>
    <col min="9" max="9" width="12.109375" style="84" customWidth="1"/>
    <col min="10" max="10" width="14.6640625" style="137" bestFit="1" customWidth="1"/>
    <col min="11" max="11" width="1.44140625" style="84" customWidth="1"/>
    <col min="12" max="12" width="12" style="84" bestFit="1" customWidth="1"/>
    <col min="13" max="16384" width="11.44140625" style="84"/>
  </cols>
  <sheetData>
    <row r="1" spans="1:11" ht="10.8" thickBot="1" x14ac:dyDescent="0.25"/>
    <row r="2" spans="1:11" ht="6.75" customHeight="1" thickBot="1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40"/>
      <c r="K2" s="141"/>
    </row>
    <row r="3" spans="1:11" x14ac:dyDescent="0.2">
      <c r="A3" s="142"/>
      <c r="B3" s="296"/>
      <c r="C3" s="297"/>
      <c r="D3" s="298"/>
      <c r="E3" s="305" t="s">
        <v>59</v>
      </c>
      <c r="F3" s="306"/>
      <c r="G3" s="306"/>
      <c r="H3" s="306"/>
      <c r="I3" s="306"/>
      <c r="J3" s="307"/>
      <c r="K3" s="144"/>
    </row>
    <row r="4" spans="1:11" x14ac:dyDescent="0.2">
      <c r="A4" s="142"/>
      <c r="B4" s="299"/>
      <c r="C4" s="300"/>
      <c r="D4" s="301"/>
      <c r="E4" s="308"/>
      <c r="F4" s="309"/>
      <c r="G4" s="309"/>
      <c r="H4" s="309"/>
      <c r="I4" s="309"/>
      <c r="J4" s="310"/>
      <c r="K4" s="144"/>
    </row>
    <row r="5" spans="1:11" ht="10.8" thickBot="1" x14ac:dyDescent="0.25">
      <c r="A5" s="142"/>
      <c r="B5" s="302"/>
      <c r="C5" s="303"/>
      <c r="D5" s="304"/>
      <c r="E5" s="311"/>
      <c r="F5" s="312"/>
      <c r="G5" s="312"/>
      <c r="H5" s="312"/>
      <c r="I5" s="312"/>
      <c r="J5" s="313"/>
      <c r="K5" s="144"/>
    </row>
    <row r="6" spans="1:11" ht="6" customHeight="1" thickBot="1" x14ac:dyDescent="0.25">
      <c r="A6" s="142"/>
      <c r="B6" s="145"/>
      <c r="C6" s="146"/>
      <c r="D6" s="9"/>
      <c r="E6" s="146"/>
      <c r="F6" s="146"/>
      <c r="G6" s="146"/>
      <c r="H6" s="146"/>
      <c r="I6" s="146"/>
      <c r="J6" s="147"/>
      <c r="K6" s="144"/>
    </row>
    <row r="7" spans="1:11" x14ac:dyDescent="0.2">
      <c r="A7" s="142"/>
      <c r="B7" s="400" t="s">
        <v>201</v>
      </c>
      <c r="C7" s="401"/>
      <c r="D7" s="401"/>
      <c r="E7" s="401"/>
      <c r="F7" s="401"/>
      <c r="G7" s="401"/>
      <c r="H7" s="401"/>
      <c r="I7" s="401"/>
      <c r="J7" s="402"/>
      <c r="K7" s="144"/>
    </row>
    <row r="8" spans="1:11" ht="10.8" thickBot="1" x14ac:dyDescent="0.25">
      <c r="A8" s="142"/>
      <c r="B8" s="317"/>
      <c r="C8" s="318"/>
      <c r="D8" s="318"/>
      <c r="E8" s="318"/>
      <c r="F8" s="318"/>
      <c r="G8" s="318"/>
      <c r="H8" s="318"/>
      <c r="I8" s="318"/>
      <c r="J8" s="319"/>
      <c r="K8" s="144"/>
    </row>
    <row r="9" spans="1:11" ht="26.25" customHeight="1" thickBot="1" x14ac:dyDescent="0.25">
      <c r="A9" s="142"/>
      <c r="B9" s="383" t="s">
        <v>217</v>
      </c>
      <c r="C9" s="384"/>
      <c r="D9" s="384"/>
      <c r="E9" s="385"/>
      <c r="F9" s="403" t="s">
        <v>60</v>
      </c>
      <c r="G9" s="404"/>
      <c r="H9" s="405"/>
      <c r="I9" s="405"/>
      <c r="J9" s="406"/>
      <c r="K9" s="144"/>
    </row>
    <row r="10" spans="1:11" ht="6" customHeight="1" thickBot="1" x14ac:dyDescent="0.25">
      <c r="A10" s="142"/>
      <c r="B10" s="148"/>
      <c r="C10" s="148"/>
      <c r="D10" s="146"/>
      <c r="E10" s="148"/>
      <c r="F10" s="148"/>
      <c r="G10" s="148"/>
      <c r="H10" s="148"/>
      <c r="I10" s="148"/>
      <c r="J10" s="147"/>
      <c r="K10" s="144"/>
    </row>
    <row r="11" spans="1:11" ht="16.5" customHeight="1" thickBot="1" x14ac:dyDescent="0.25">
      <c r="A11" s="142"/>
      <c r="B11" s="327" t="s">
        <v>61</v>
      </c>
      <c r="C11" s="328"/>
      <c r="D11" s="328"/>
      <c r="E11" s="328"/>
      <c r="F11" s="328"/>
      <c r="G11" s="328"/>
      <c r="H11" s="328"/>
      <c r="I11" s="328"/>
      <c r="J11" s="329"/>
      <c r="K11" s="144"/>
    </row>
    <row r="12" spans="1:11" ht="6" customHeight="1" thickBot="1" x14ac:dyDescent="0.25">
      <c r="A12" s="142"/>
      <c r="B12" s="148"/>
      <c r="C12" s="148"/>
      <c r="D12" s="146"/>
      <c r="E12" s="148"/>
      <c r="F12" s="148"/>
      <c r="G12" s="148"/>
      <c r="H12" s="148"/>
      <c r="I12" s="148"/>
      <c r="J12" s="147"/>
      <c r="K12" s="144"/>
    </row>
    <row r="13" spans="1:11" ht="10.8" thickBot="1" x14ac:dyDescent="0.25">
      <c r="A13" s="142"/>
      <c r="B13" s="327" t="s">
        <v>62</v>
      </c>
      <c r="C13" s="328"/>
      <c r="D13" s="328"/>
      <c r="E13" s="328"/>
      <c r="F13" s="328"/>
      <c r="G13" s="328"/>
      <c r="H13" s="328"/>
      <c r="I13" s="328"/>
      <c r="J13" s="329"/>
      <c r="K13" s="144"/>
    </row>
    <row r="14" spans="1:11" ht="10.8" thickBot="1" x14ac:dyDescent="0.25">
      <c r="A14" s="142"/>
      <c r="B14" s="330" t="s">
        <v>63</v>
      </c>
      <c r="C14" s="331"/>
      <c r="D14" s="332"/>
      <c r="E14" s="150" t="s">
        <v>64</v>
      </c>
      <c r="F14" s="151" t="s">
        <v>65</v>
      </c>
      <c r="G14" s="330" t="s">
        <v>66</v>
      </c>
      <c r="H14" s="332"/>
      <c r="I14" s="149" t="s">
        <v>67</v>
      </c>
      <c r="J14" s="152" t="s">
        <v>68</v>
      </c>
      <c r="K14" s="144"/>
    </row>
    <row r="15" spans="1:11" x14ac:dyDescent="0.2">
      <c r="A15" s="142"/>
      <c r="B15" s="333" t="s">
        <v>69</v>
      </c>
      <c r="C15" s="334"/>
      <c r="D15" s="335"/>
      <c r="E15" s="153"/>
      <c r="F15" s="153"/>
      <c r="G15" s="336"/>
      <c r="H15" s="337"/>
      <c r="I15" s="154">
        <v>4383.12</v>
      </c>
      <c r="J15" s="155">
        <f t="shared" ref="J15" si="0">+I15</f>
        <v>4383.12</v>
      </c>
      <c r="K15" s="144"/>
    </row>
    <row r="16" spans="1:11" ht="10.8" thickBot="1" x14ac:dyDescent="0.25">
      <c r="A16" s="142"/>
      <c r="B16" s="340"/>
      <c r="C16" s="341"/>
      <c r="D16" s="342"/>
      <c r="E16" s="156"/>
      <c r="F16" s="156"/>
      <c r="G16" s="381"/>
      <c r="H16" s="382"/>
      <c r="I16" s="239"/>
      <c r="J16" s="158"/>
      <c r="K16" s="144"/>
    </row>
    <row r="17" spans="1:12" ht="10.8" thickBot="1" x14ac:dyDescent="0.25">
      <c r="A17" s="142"/>
      <c r="B17" s="146"/>
      <c r="C17" s="146"/>
      <c r="D17" s="146"/>
      <c r="E17" s="146"/>
      <c r="F17" s="146"/>
      <c r="G17" s="146"/>
      <c r="H17" s="146"/>
      <c r="I17" s="159" t="s">
        <v>70</v>
      </c>
      <c r="J17" s="160">
        <f>SUM(J15:J16)</f>
        <v>4383.12</v>
      </c>
      <c r="K17" s="144"/>
    </row>
    <row r="18" spans="1:12" ht="6" customHeight="1" thickBot="1" x14ac:dyDescent="0.25">
      <c r="A18" s="142"/>
      <c r="B18" s="146"/>
      <c r="C18" s="146"/>
      <c r="D18" s="146"/>
      <c r="E18" s="146"/>
      <c r="F18" s="146"/>
      <c r="G18" s="146"/>
      <c r="H18" s="146"/>
      <c r="I18" s="159"/>
      <c r="J18" s="161"/>
      <c r="K18" s="144"/>
    </row>
    <row r="19" spans="1:12" ht="10.8" thickBot="1" x14ac:dyDescent="0.25">
      <c r="A19" s="142"/>
      <c r="B19" s="327" t="s">
        <v>71</v>
      </c>
      <c r="C19" s="328"/>
      <c r="D19" s="328"/>
      <c r="E19" s="328"/>
      <c r="F19" s="328"/>
      <c r="G19" s="328"/>
      <c r="H19" s="328"/>
      <c r="I19" s="328"/>
      <c r="J19" s="329"/>
      <c r="K19" s="144"/>
    </row>
    <row r="20" spans="1:12" ht="10.8" thickBot="1" x14ac:dyDescent="0.25">
      <c r="A20" s="142"/>
      <c r="B20" s="330" t="s">
        <v>63</v>
      </c>
      <c r="C20" s="331"/>
      <c r="D20" s="332"/>
      <c r="E20" s="150" t="s">
        <v>1</v>
      </c>
      <c r="F20" s="150" t="s">
        <v>72</v>
      </c>
      <c r="G20" s="150" t="s">
        <v>73</v>
      </c>
      <c r="H20" s="149" t="s">
        <v>74</v>
      </c>
      <c r="I20" s="149" t="s">
        <v>67</v>
      </c>
      <c r="J20" s="152" t="s">
        <v>68</v>
      </c>
      <c r="K20" s="144"/>
    </row>
    <row r="21" spans="1:12" x14ac:dyDescent="0.2">
      <c r="A21" s="142"/>
      <c r="B21" s="345"/>
      <c r="C21" s="346"/>
      <c r="D21" s="347"/>
      <c r="E21" s="162"/>
      <c r="F21" s="163"/>
      <c r="G21" s="164"/>
      <c r="H21" s="165"/>
      <c r="I21" s="164"/>
      <c r="J21" s="166"/>
      <c r="K21" s="144"/>
    </row>
    <row r="22" spans="1:12" x14ac:dyDescent="0.2">
      <c r="A22" s="142"/>
      <c r="B22" s="333"/>
      <c r="C22" s="334"/>
      <c r="D22" s="335"/>
      <c r="E22" s="153"/>
      <c r="F22" s="167"/>
      <c r="G22" s="168"/>
      <c r="H22" s="169"/>
      <c r="I22" s="170"/>
      <c r="J22" s="158">
        <f t="shared" ref="J22:J25" si="1">+I22</f>
        <v>0</v>
      </c>
      <c r="K22" s="144"/>
      <c r="L22" s="171"/>
    </row>
    <row r="23" spans="1:12" x14ac:dyDescent="0.2">
      <c r="A23" s="142"/>
      <c r="B23" s="333"/>
      <c r="C23" s="334"/>
      <c r="D23" s="335"/>
      <c r="E23" s="153"/>
      <c r="F23" s="167"/>
      <c r="G23" s="168"/>
      <c r="H23" s="169"/>
      <c r="I23" s="170"/>
      <c r="J23" s="155">
        <f t="shared" si="1"/>
        <v>0</v>
      </c>
      <c r="K23" s="144"/>
      <c r="L23" s="171"/>
    </row>
    <row r="24" spans="1:12" x14ac:dyDescent="0.2">
      <c r="A24" s="142"/>
      <c r="B24" s="333"/>
      <c r="C24" s="334"/>
      <c r="D24" s="335"/>
      <c r="E24" s="153"/>
      <c r="F24" s="167"/>
      <c r="G24" s="168"/>
      <c r="H24" s="169"/>
      <c r="I24" s="170"/>
      <c r="J24" s="155">
        <f t="shared" si="1"/>
        <v>0</v>
      </c>
      <c r="K24" s="144"/>
    </row>
    <row r="25" spans="1:12" ht="10.8" thickBot="1" x14ac:dyDescent="0.25">
      <c r="A25" s="142"/>
      <c r="B25" s="348"/>
      <c r="C25" s="349"/>
      <c r="D25" s="350"/>
      <c r="E25" s="172"/>
      <c r="F25" s="173"/>
      <c r="G25" s="174"/>
      <c r="H25" s="175"/>
      <c r="I25" s="176"/>
      <c r="J25" s="177">
        <f t="shared" si="1"/>
        <v>0</v>
      </c>
      <c r="K25" s="144"/>
    </row>
    <row r="26" spans="1:12" ht="10.8" thickBot="1" x14ac:dyDescent="0.25">
      <c r="A26" s="142"/>
      <c r="B26" s="146"/>
      <c r="C26" s="146"/>
      <c r="D26" s="146"/>
      <c r="E26" s="146"/>
      <c r="F26" s="146"/>
      <c r="G26" s="146"/>
      <c r="H26" s="146"/>
      <c r="I26" s="159" t="s">
        <v>70</v>
      </c>
      <c r="J26" s="178">
        <f>SUM(J21:J25)</f>
        <v>0</v>
      </c>
      <c r="K26" s="144"/>
    </row>
    <row r="27" spans="1:12" ht="6" customHeight="1" thickBot="1" x14ac:dyDescent="0.25">
      <c r="A27" s="142"/>
      <c r="B27" s="146"/>
      <c r="C27" s="146"/>
      <c r="D27" s="146"/>
      <c r="E27" s="146"/>
      <c r="F27" s="146"/>
      <c r="G27" s="146"/>
      <c r="H27" s="146"/>
      <c r="I27" s="159"/>
      <c r="J27" s="161"/>
      <c r="K27" s="144"/>
    </row>
    <row r="28" spans="1:12" ht="10.8" thickBot="1" x14ac:dyDescent="0.25">
      <c r="A28" s="142"/>
      <c r="B28" s="327" t="s">
        <v>75</v>
      </c>
      <c r="C28" s="328"/>
      <c r="D28" s="328"/>
      <c r="E28" s="328"/>
      <c r="F28" s="328"/>
      <c r="G28" s="328"/>
      <c r="H28" s="328"/>
      <c r="I28" s="328"/>
      <c r="J28" s="329"/>
      <c r="K28" s="144"/>
    </row>
    <row r="29" spans="1:12" ht="10.8" thickBot="1" x14ac:dyDescent="0.25">
      <c r="A29" s="142"/>
      <c r="B29" s="150" t="s">
        <v>76</v>
      </c>
      <c r="C29" s="150" t="s">
        <v>1</v>
      </c>
      <c r="D29" s="150" t="s">
        <v>77</v>
      </c>
      <c r="E29" s="150" t="s">
        <v>78</v>
      </c>
      <c r="F29" s="150" t="s">
        <v>79</v>
      </c>
      <c r="G29" s="330" t="s">
        <v>80</v>
      </c>
      <c r="H29" s="332"/>
      <c r="I29" s="143" t="s">
        <v>67</v>
      </c>
      <c r="J29" s="152" t="s">
        <v>68</v>
      </c>
      <c r="K29" s="144"/>
    </row>
    <row r="30" spans="1:12" x14ac:dyDescent="0.2">
      <c r="A30" s="142"/>
      <c r="B30" s="179"/>
      <c r="C30" s="180"/>
      <c r="D30" s="181"/>
      <c r="E30" s="181"/>
      <c r="F30" s="182"/>
      <c r="G30" s="338"/>
      <c r="H30" s="339"/>
      <c r="I30" s="182"/>
      <c r="J30" s="166"/>
      <c r="K30" s="144"/>
    </row>
    <row r="31" spans="1:12" x14ac:dyDescent="0.2">
      <c r="A31" s="142"/>
      <c r="B31" s="183"/>
      <c r="C31" s="184"/>
      <c r="D31" s="185"/>
      <c r="E31" s="185"/>
      <c r="F31" s="186"/>
      <c r="G31" s="351"/>
      <c r="H31" s="352"/>
      <c r="I31" s="186"/>
      <c r="J31" s="155"/>
      <c r="K31" s="144"/>
    </row>
    <row r="32" spans="1:12" x14ac:dyDescent="0.2">
      <c r="A32" s="142"/>
      <c r="B32" s="183"/>
      <c r="C32" s="184"/>
      <c r="D32" s="185"/>
      <c r="E32" s="185"/>
      <c r="F32" s="186"/>
      <c r="G32" s="351"/>
      <c r="H32" s="352"/>
      <c r="I32" s="186"/>
      <c r="J32" s="155"/>
      <c r="K32" s="144"/>
    </row>
    <row r="33" spans="1:11" x14ac:dyDescent="0.2">
      <c r="A33" s="142"/>
      <c r="B33" s="187"/>
      <c r="C33" s="188"/>
      <c r="D33" s="189"/>
      <c r="E33" s="189"/>
      <c r="F33" s="186"/>
      <c r="G33" s="351"/>
      <c r="H33" s="352"/>
      <c r="I33" s="186"/>
      <c r="J33" s="155"/>
      <c r="K33" s="144"/>
    </row>
    <row r="34" spans="1:11" ht="10.8" thickBot="1" x14ac:dyDescent="0.25">
      <c r="A34" s="142"/>
      <c r="B34" s="190"/>
      <c r="C34" s="191"/>
      <c r="D34" s="192"/>
      <c r="E34" s="193"/>
      <c r="F34" s="194" t="s">
        <v>81</v>
      </c>
      <c r="G34" s="353" t="s">
        <v>81</v>
      </c>
      <c r="H34" s="354"/>
      <c r="I34" s="194" t="s">
        <v>81</v>
      </c>
      <c r="J34" s="177"/>
      <c r="K34" s="144"/>
    </row>
    <row r="35" spans="1:11" ht="10.8" thickBot="1" x14ac:dyDescent="0.25">
      <c r="A35" s="142"/>
      <c r="B35" s="146"/>
      <c r="C35" s="146"/>
      <c r="D35" s="146"/>
      <c r="E35" s="146"/>
      <c r="F35" s="146"/>
      <c r="G35" s="146"/>
      <c r="H35" s="146"/>
      <c r="I35" s="159" t="s">
        <v>70</v>
      </c>
      <c r="J35" s="160">
        <f>SUM(J30:J34)</f>
        <v>0</v>
      </c>
      <c r="K35" s="144"/>
    </row>
    <row r="36" spans="1:11" ht="6" customHeight="1" thickBot="1" x14ac:dyDescent="0.25">
      <c r="A36" s="142"/>
      <c r="B36" s="146"/>
      <c r="C36" s="146"/>
      <c r="D36" s="146"/>
      <c r="E36" s="146"/>
      <c r="F36" s="146"/>
      <c r="G36" s="146"/>
      <c r="H36" s="146"/>
      <c r="I36" s="159"/>
      <c r="J36" s="161"/>
      <c r="K36" s="144"/>
    </row>
    <row r="37" spans="1:11" ht="10.8" thickBot="1" x14ac:dyDescent="0.25">
      <c r="A37" s="142"/>
      <c r="B37" s="327" t="s">
        <v>82</v>
      </c>
      <c r="C37" s="328"/>
      <c r="D37" s="328"/>
      <c r="E37" s="328"/>
      <c r="F37" s="328"/>
      <c r="G37" s="328"/>
      <c r="H37" s="328"/>
      <c r="I37" s="328"/>
      <c r="J37" s="329"/>
      <c r="K37" s="144"/>
    </row>
    <row r="38" spans="1:11" ht="10.8" thickBot="1" x14ac:dyDescent="0.25">
      <c r="A38" s="142"/>
      <c r="B38" s="330" t="s">
        <v>83</v>
      </c>
      <c r="C38" s="332"/>
      <c r="D38" s="150" t="s">
        <v>84</v>
      </c>
      <c r="E38" s="150" t="s">
        <v>85</v>
      </c>
      <c r="F38" s="151" t="s">
        <v>86</v>
      </c>
      <c r="G38" s="330" t="s">
        <v>66</v>
      </c>
      <c r="H38" s="332"/>
      <c r="I38" s="150" t="s">
        <v>67</v>
      </c>
      <c r="J38" s="152" t="s">
        <v>68</v>
      </c>
      <c r="K38" s="144"/>
    </row>
    <row r="39" spans="1:11" x14ac:dyDescent="0.2">
      <c r="A39" s="142"/>
      <c r="B39" s="355" t="s">
        <v>87</v>
      </c>
      <c r="C39" s="356"/>
      <c r="D39" s="195">
        <v>65000</v>
      </c>
      <c r="E39" s="165">
        <v>0.25</v>
      </c>
      <c r="F39" s="196">
        <f>+(D39*E39)+D39</f>
        <v>81250</v>
      </c>
      <c r="G39" s="357">
        <v>3.85</v>
      </c>
      <c r="H39" s="358"/>
      <c r="I39" s="196">
        <f>+F39/G39</f>
        <v>21103.896103896102</v>
      </c>
      <c r="J39" s="158">
        <f>+I39</f>
        <v>21103.896103896102</v>
      </c>
      <c r="K39" s="144"/>
    </row>
    <row r="40" spans="1:11" ht="10.8" thickBot="1" x14ac:dyDescent="0.25">
      <c r="A40" s="142"/>
      <c r="B40" s="359" t="s">
        <v>88</v>
      </c>
      <c r="C40" s="360"/>
      <c r="D40" s="197">
        <v>70000</v>
      </c>
      <c r="E40" s="198">
        <v>0.25</v>
      </c>
      <c r="F40" s="199">
        <f>+(D40*E40)+D40</f>
        <v>87500</v>
      </c>
      <c r="G40" s="361">
        <v>3.85</v>
      </c>
      <c r="H40" s="362"/>
      <c r="I40" s="199">
        <f>+F40/G40</f>
        <v>22727.272727272728</v>
      </c>
      <c r="J40" s="177">
        <f>+I40</f>
        <v>22727.272727272728</v>
      </c>
      <c r="K40" s="144"/>
    </row>
    <row r="41" spans="1:11" ht="10.8" thickBot="1" x14ac:dyDescent="0.25">
      <c r="A41" s="142"/>
      <c r="B41" s="146"/>
      <c r="C41" s="146"/>
      <c r="D41" s="146"/>
      <c r="E41" s="146"/>
      <c r="F41" s="146"/>
      <c r="G41" s="146"/>
      <c r="H41" s="146"/>
      <c r="I41" s="159" t="s">
        <v>70</v>
      </c>
      <c r="J41" s="160">
        <f>SUM(J39:J40)</f>
        <v>43831.168831168834</v>
      </c>
      <c r="K41" s="144"/>
    </row>
    <row r="42" spans="1:11" ht="6" customHeight="1" thickBot="1" x14ac:dyDescent="0.25">
      <c r="A42" s="142"/>
      <c r="B42" s="146"/>
      <c r="C42" s="146"/>
      <c r="D42" s="146"/>
      <c r="E42" s="146"/>
      <c r="F42" s="146"/>
      <c r="G42" s="146"/>
      <c r="H42" s="146"/>
      <c r="I42" s="200"/>
      <c r="J42" s="147"/>
      <c r="K42" s="144"/>
    </row>
    <row r="43" spans="1:11" ht="10.8" thickBot="1" x14ac:dyDescent="0.25">
      <c r="A43" s="142"/>
      <c r="C43" s="148"/>
      <c r="D43" s="148"/>
      <c r="E43" s="148"/>
      <c r="F43" s="148"/>
      <c r="G43" s="363" t="s">
        <v>89</v>
      </c>
      <c r="H43" s="363"/>
      <c r="I43" s="364"/>
      <c r="J43" s="152">
        <f>SUM(J41,J35,J26,J17)</f>
        <v>48214.288831168837</v>
      </c>
      <c r="K43" s="144"/>
    </row>
    <row r="44" spans="1:11" ht="6" customHeight="1" thickBot="1" x14ac:dyDescent="0.25">
      <c r="A44" s="142"/>
      <c r="J44" s="201"/>
      <c r="K44" s="144"/>
    </row>
    <row r="45" spans="1:11" ht="10.8" thickBot="1" x14ac:dyDescent="0.25">
      <c r="A45" s="142"/>
      <c r="B45" s="327" t="s">
        <v>90</v>
      </c>
      <c r="C45" s="328"/>
      <c r="D45" s="328"/>
      <c r="E45" s="328"/>
      <c r="F45" s="328"/>
      <c r="G45" s="328"/>
      <c r="H45" s="328"/>
      <c r="I45" s="328"/>
      <c r="J45" s="329"/>
      <c r="K45" s="144"/>
    </row>
    <row r="46" spans="1:11" ht="6" customHeight="1" thickBot="1" x14ac:dyDescent="0.25">
      <c r="A46" s="142"/>
      <c r="J46" s="201"/>
      <c r="K46" s="144"/>
    </row>
    <row r="47" spans="1:11" ht="10.8" thickBot="1" x14ac:dyDescent="0.25">
      <c r="A47" s="142"/>
      <c r="B47" s="202" t="s">
        <v>91</v>
      </c>
      <c r="C47" s="365" t="s">
        <v>92</v>
      </c>
      <c r="D47" s="366"/>
      <c r="E47" s="365" t="s">
        <v>93</v>
      </c>
      <c r="F47" s="366"/>
      <c r="G47" s="367" t="s">
        <v>94</v>
      </c>
      <c r="H47" s="368"/>
      <c r="I47" s="203" t="s">
        <v>95</v>
      </c>
      <c r="J47" s="204" t="s">
        <v>96</v>
      </c>
      <c r="K47" s="144"/>
    </row>
    <row r="48" spans="1:11" ht="6" customHeight="1" thickBot="1" x14ac:dyDescent="0.25">
      <c r="A48" s="142"/>
      <c r="B48" s="205"/>
      <c r="C48" s="205"/>
      <c r="D48" s="205"/>
      <c r="E48" s="205"/>
      <c r="F48" s="205"/>
      <c r="J48" s="201"/>
      <c r="K48" s="144"/>
    </row>
    <row r="49" spans="1:11" ht="10.8" thickBot="1" x14ac:dyDescent="0.25">
      <c r="A49" s="142"/>
      <c r="B49" s="206"/>
      <c r="C49" s="369"/>
      <c r="D49" s="368"/>
      <c r="E49" s="369"/>
      <c r="F49" s="368"/>
      <c r="G49" s="367" t="s">
        <v>97</v>
      </c>
      <c r="H49" s="368"/>
      <c r="I49" s="207"/>
      <c r="J49" s="208">
        <f>+I49*J43</f>
        <v>0</v>
      </c>
      <c r="K49" s="144"/>
    </row>
    <row r="50" spans="1:11" ht="10.8" thickBot="1" x14ac:dyDescent="0.25">
      <c r="A50" s="142"/>
      <c r="B50" s="205"/>
      <c r="C50" s="205"/>
      <c r="D50" s="205"/>
      <c r="E50" s="205"/>
      <c r="F50" s="205"/>
      <c r="I50" s="209"/>
      <c r="J50" s="201"/>
      <c r="K50" s="144"/>
    </row>
    <row r="51" spans="1:11" ht="10.8" thickBot="1" x14ac:dyDescent="0.25">
      <c r="A51" s="142"/>
      <c r="B51" s="370" t="s">
        <v>98</v>
      </c>
      <c r="C51" s="371"/>
      <c r="D51" s="371"/>
      <c r="E51" s="371"/>
      <c r="F51" s="372"/>
      <c r="G51" s="367" t="s">
        <v>99</v>
      </c>
      <c r="H51" s="368"/>
      <c r="I51" s="207"/>
      <c r="J51" s="208">
        <f>+I51*J43</f>
        <v>0</v>
      </c>
      <c r="K51" s="144"/>
    </row>
    <row r="52" spans="1:11" ht="10.8" thickBot="1" x14ac:dyDescent="0.25">
      <c r="A52" s="142"/>
      <c r="B52" s="373"/>
      <c r="C52" s="374"/>
      <c r="D52" s="374"/>
      <c r="E52" s="374"/>
      <c r="F52" s="375"/>
      <c r="I52" s="209"/>
      <c r="J52" s="201"/>
      <c r="K52" s="144"/>
    </row>
    <row r="53" spans="1:11" ht="10.8" thickBot="1" x14ac:dyDescent="0.25">
      <c r="A53" s="142"/>
      <c r="B53" s="373"/>
      <c r="C53" s="374"/>
      <c r="D53" s="374"/>
      <c r="E53" s="374"/>
      <c r="F53" s="375"/>
      <c r="G53" s="367" t="s">
        <v>100</v>
      </c>
      <c r="H53" s="368"/>
      <c r="I53" s="207"/>
      <c r="J53" s="208">
        <f>+I53*J43</f>
        <v>0</v>
      </c>
      <c r="K53" s="144"/>
    </row>
    <row r="54" spans="1:11" ht="6" customHeight="1" thickBot="1" x14ac:dyDescent="0.25">
      <c r="A54" s="142"/>
      <c r="B54" s="373"/>
      <c r="C54" s="374"/>
      <c r="D54" s="374"/>
      <c r="E54" s="374"/>
      <c r="F54" s="375"/>
      <c r="J54" s="201"/>
      <c r="K54" s="144"/>
    </row>
    <row r="55" spans="1:11" ht="10.8" thickBot="1" x14ac:dyDescent="0.25">
      <c r="A55" s="142"/>
      <c r="B55" s="373"/>
      <c r="C55" s="374"/>
      <c r="D55" s="374"/>
      <c r="E55" s="374"/>
      <c r="F55" s="375"/>
      <c r="G55" s="367" t="s">
        <v>101</v>
      </c>
      <c r="H55" s="367"/>
      <c r="I55" s="368"/>
      <c r="J55" s="211">
        <f>SUM(J49,J51,J53)</f>
        <v>0</v>
      </c>
      <c r="K55" s="144"/>
    </row>
    <row r="56" spans="1:11" ht="6" customHeight="1" thickBot="1" x14ac:dyDescent="0.25">
      <c r="A56" s="142"/>
      <c r="B56" s="373"/>
      <c r="C56" s="374"/>
      <c r="D56" s="374"/>
      <c r="E56" s="374"/>
      <c r="F56" s="375"/>
      <c r="J56" s="201"/>
      <c r="K56" s="144"/>
    </row>
    <row r="57" spans="1:11" ht="18.75" customHeight="1" thickBot="1" x14ac:dyDescent="0.25">
      <c r="A57" s="142"/>
      <c r="B57" s="376"/>
      <c r="C57" s="377"/>
      <c r="D57" s="377"/>
      <c r="E57" s="377"/>
      <c r="F57" s="378"/>
      <c r="G57" s="379" t="s">
        <v>54</v>
      </c>
      <c r="H57" s="379"/>
      <c r="I57" s="380"/>
      <c r="J57" s="212">
        <f>+J55+J43</f>
        <v>48214.288831168837</v>
      </c>
      <c r="K57" s="144"/>
    </row>
    <row r="58" spans="1:11" ht="6" customHeight="1" thickBot="1" x14ac:dyDescent="0.25">
      <c r="A58" s="213"/>
      <c r="B58" s="214"/>
      <c r="C58" s="214"/>
      <c r="D58" s="214"/>
      <c r="E58" s="214"/>
      <c r="F58" s="214"/>
      <c r="G58" s="214"/>
      <c r="H58" s="214"/>
      <c r="I58" s="214"/>
      <c r="J58" s="215"/>
      <c r="K58" s="216"/>
    </row>
  </sheetData>
  <mergeCells count="48">
    <mergeCell ref="B51:F57"/>
    <mergeCell ref="G51:H51"/>
    <mergeCell ref="G53:H53"/>
    <mergeCell ref="G55:I55"/>
    <mergeCell ref="G57:I57"/>
    <mergeCell ref="C47:D47"/>
    <mergeCell ref="E47:F47"/>
    <mergeCell ref="G47:H47"/>
    <mergeCell ref="C49:D49"/>
    <mergeCell ref="E49:F49"/>
    <mergeCell ref="G49:H49"/>
    <mergeCell ref="B45:J45"/>
    <mergeCell ref="G31:H31"/>
    <mergeCell ref="G32:H32"/>
    <mergeCell ref="G33:H33"/>
    <mergeCell ref="G34:H34"/>
    <mergeCell ref="B37:J37"/>
    <mergeCell ref="B38:C38"/>
    <mergeCell ref="G38:H38"/>
    <mergeCell ref="B39:C39"/>
    <mergeCell ref="G39:H39"/>
    <mergeCell ref="B40:C40"/>
    <mergeCell ref="G40:H40"/>
    <mergeCell ref="G43:I43"/>
    <mergeCell ref="G30:H30"/>
    <mergeCell ref="B16:D16"/>
    <mergeCell ref="G16:H16"/>
    <mergeCell ref="B19:J19"/>
    <mergeCell ref="B20:D20"/>
    <mergeCell ref="B21:D21"/>
    <mergeCell ref="B22:D22"/>
    <mergeCell ref="B23:D23"/>
    <mergeCell ref="B24:D24"/>
    <mergeCell ref="B25:D25"/>
    <mergeCell ref="B28:J28"/>
    <mergeCell ref="G29:H29"/>
    <mergeCell ref="B11:J11"/>
    <mergeCell ref="B13:J13"/>
    <mergeCell ref="B14:D14"/>
    <mergeCell ref="G14:H14"/>
    <mergeCell ref="B15:D15"/>
    <mergeCell ref="G15:H15"/>
    <mergeCell ref="B3:D5"/>
    <mergeCell ref="E3:J5"/>
    <mergeCell ref="B7:J7"/>
    <mergeCell ref="B8:J8"/>
    <mergeCell ref="B9:E9"/>
    <mergeCell ref="F9:J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5DF75-367B-499A-8634-631D0C184120}">
  <dimension ref="A1:L58"/>
  <sheetViews>
    <sheetView topLeftCell="D40" workbookViewId="0">
      <selection activeCell="G16" sqref="G16:H16"/>
    </sheetView>
  </sheetViews>
  <sheetFormatPr baseColWidth="10" defaultColWidth="11.44140625" defaultRowHeight="10.199999999999999" x14ac:dyDescent="0.2"/>
  <cols>
    <col min="1" max="1" width="1.44140625" style="84" customWidth="1"/>
    <col min="2" max="3" width="11.44140625" style="84"/>
    <col min="4" max="4" width="14.44140625" style="84" bestFit="1" customWidth="1"/>
    <col min="5" max="5" width="13.5546875" style="84" bestFit="1" customWidth="1"/>
    <col min="6" max="7" width="12.109375" style="84" customWidth="1"/>
    <col min="8" max="8" width="7.6640625" style="84" customWidth="1"/>
    <col min="9" max="9" width="12.109375" style="84" customWidth="1"/>
    <col min="10" max="10" width="19.44140625" style="137" bestFit="1" customWidth="1"/>
    <col min="11" max="11" width="1.44140625" style="84" customWidth="1"/>
    <col min="12" max="12" width="12" style="84" bestFit="1" customWidth="1"/>
    <col min="13" max="16384" width="11.44140625" style="84"/>
  </cols>
  <sheetData>
    <row r="1" spans="1:11" ht="10.8" thickBot="1" x14ac:dyDescent="0.25"/>
    <row r="2" spans="1:11" ht="6.75" customHeight="1" thickBot="1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40"/>
      <c r="K2" s="141"/>
    </row>
    <row r="3" spans="1:11" x14ac:dyDescent="0.2">
      <c r="A3" s="142"/>
      <c r="B3" s="296"/>
      <c r="C3" s="297"/>
      <c r="D3" s="298"/>
      <c r="E3" s="305" t="s">
        <v>59</v>
      </c>
      <c r="F3" s="306"/>
      <c r="G3" s="306"/>
      <c r="H3" s="306"/>
      <c r="I3" s="306"/>
      <c r="J3" s="307"/>
      <c r="K3" s="144"/>
    </row>
    <row r="4" spans="1:11" x14ac:dyDescent="0.2">
      <c r="A4" s="142"/>
      <c r="B4" s="299"/>
      <c r="C4" s="300"/>
      <c r="D4" s="301"/>
      <c r="E4" s="308"/>
      <c r="F4" s="309"/>
      <c r="G4" s="309"/>
      <c r="H4" s="309"/>
      <c r="I4" s="309"/>
      <c r="J4" s="310"/>
      <c r="K4" s="144"/>
    </row>
    <row r="5" spans="1:11" ht="10.8" thickBot="1" x14ac:dyDescent="0.25">
      <c r="A5" s="142"/>
      <c r="B5" s="302"/>
      <c r="C5" s="303"/>
      <c r="D5" s="304"/>
      <c r="E5" s="311"/>
      <c r="F5" s="312"/>
      <c r="G5" s="312"/>
      <c r="H5" s="312"/>
      <c r="I5" s="312"/>
      <c r="J5" s="313"/>
      <c r="K5" s="144"/>
    </row>
    <row r="6" spans="1:11" ht="6" customHeight="1" thickBot="1" x14ac:dyDescent="0.25">
      <c r="A6" s="142"/>
      <c r="B6" s="145"/>
      <c r="C6" s="146"/>
      <c r="D6" s="9"/>
      <c r="E6" s="146"/>
      <c r="F6" s="146"/>
      <c r="G6" s="146"/>
      <c r="H6" s="146"/>
      <c r="I6" s="146"/>
      <c r="J6" s="147"/>
      <c r="K6" s="144"/>
    </row>
    <row r="7" spans="1:11" x14ac:dyDescent="0.2">
      <c r="A7" s="142"/>
      <c r="B7" s="400" t="s">
        <v>201</v>
      </c>
      <c r="C7" s="401"/>
      <c r="D7" s="401"/>
      <c r="E7" s="401"/>
      <c r="F7" s="401"/>
      <c r="G7" s="401"/>
      <c r="H7" s="401"/>
      <c r="I7" s="401"/>
      <c r="J7" s="402"/>
      <c r="K7" s="144"/>
    </row>
    <row r="8" spans="1:11" ht="10.8" thickBot="1" x14ac:dyDescent="0.25">
      <c r="A8" s="142"/>
      <c r="B8" s="317"/>
      <c r="C8" s="318"/>
      <c r="D8" s="318"/>
      <c r="E8" s="318"/>
      <c r="F8" s="318"/>
      <c r="G8" s="318"/>
      <c r="H8" s="318"/>
      <c r="I8" s="318"/>
      <c r="J8" s="319"/>
      <c r="K8" s="144"/>
    </row>
    <row r="9" spans="1:11" ht="26.25" customHeight="1" thickBot="1" x14ac:dyDescent="0.25">
      <c r="A9" s="142"/>
      <c r="B9" s="383" t="s">
        <v>205</v>
      </c>
      <c r="C9" s="384"/>
      <c r="D9" s="384"/>
      <c r="E9" s="385"/>
      <c r="F9" s="403" t="s">
        <v>126</v>
      </c>
      <c r="G9" s="404"/>
      <c r="H9" s="405"/>
      <c r="I9" s="405"/>
      <c r="J9" s="406"/>
      <c r="K9" s="144"/>
    </row>
    <row r="10" spans="1:11" ht="6" customHeight="1" thickBot="1" x14ac:dyDescent="0.25">
      <c r="A10" s="142"/>
      <c r="B10" s="148"/>
      <c r="C10" s="148"/>
      <c r="D10" s="146"/>
      <c r="E10" s="148"/>
      <c r="F10" s="148"/>
      <c r="G10" s="148"/>
      <c r="H10" s="148"/>
      <c r="I10" s="148"/>
      <c r="J10" s="147"/>
      <c r="K10" s="144"/>
    </row>
    <row r="11" spans="1:11" ht="16.5" customHeight="1" thickBot="1" x14ac:dyDescent="0.25">
      <c r="A11" s="142"/>
      <c r="B11" s="327" t="s">
        <v>61</v>
      </c>
      <c r="C11" s="328"/>
      <c r="D11" s="328"/>
      <c r="E11" s="328"/>
      <c r="F11" s="328"/>
      <c r="G11" s="328"/>
      <c r="H11" s="328"/>
      <c r="I11" s="328"/>
      <c r="J11" s="329"/>
      <c r="K11" s="144"/>
    </row>
    <row r="12" spans="1:11" ht="6" customHeight="1" thickBot="1" x14ac:dyDescent="0.25">
      <c r="A12" s="142"/>
      <c r="B12" s="148"/>
      <c r="C12" s="148"/>
      <c r="D12" s="146"/>
      <c r="E12" s="148"/>
      <c r="F12" s="148"/>
      <c r="G12" s="148"/>
      <c r="H12" s="148"/>
      <c r="I12" s="148"/>
      <c r="J12" s="147"/>
      <c r="K12" s="144"/>
    </row>
    <row r="13" spans="1:11" ht="10.8" thickBot="1" x14ac:dyDescent="0.25">
      <c r="A13" s="142"/>
      <c r="B13" s="327" t="s">
        <v>62</v>
      </c>
      <c r="C13" s="328"/>
      <c r="D13" s="328"/>
      <c r="E13" s="328"/>
      <c r="F13" s="328"/>
      <c r="G13" s="328"/>
      <c r="H13" s="328"/>
      <c r="I13" s="328"/>
      <c r="J13" s="329"/>
      <c r="K13" s="144"/>
    </row>
    <row r="14" spans="1:11" ht="10.8" thickBot="1" x14ac:dyDescent="0.25">
      <c r="A14" s="142"/>
      <c r="B14" s="330" t="s">
        <v>63</v>
      </c>
      <c r="C14" s="331"/>
      <c r="D14" s="332"/>
      <c r="E14" s="150" t="s">
        <v>64</v>
      </c>
      <c r="F14" s="151" t="s">
        <v>65</v>
      </c>
      <c r="G14" s="330" t="s">
        <v>66</v>
      </c>
      <c r="H14" s="332"/>
      <c r="I14" s="149" t="s">
        <v>67</v>
      </c>
      <c r="J14" s="152" t="s">
        <v>68</v>
      </c>
      <c r="K14" s="144"/>
    </row>
    <row r="15" spans="1:11" ht="10.8" thickBot="1" x14ac:dyDescent="0.25">
      <c r="A15" s="142"/>
      <c r="B15" s="407" t="s">
        <v>127</v>
      </c>
      <c r="C15" s="408"/>
      <c r="D15" s="409"/>
      <c r="E15" s="240"/>
      <c r="F15" s="240">
        <v>120000</v>
      </c>
      <c r="G15" s="410">
        <v>4.5</v>
      </c>
      <c r="H15" s="411"/>
      <c r="I15" s="241">
        <f>+F15/G15</f>
        <v>26666.666666666668</v>
      </c>
      <c r="J15" s="166">
        <f t="shared" ref="J15:J16" si="0">+I15</f>
        <v>26666.666666666668</v>
      </c>
      <c r="K15" s="144"/>
    </row>
    <row r="16" spans="1:11" ht="10.8" thickBot="1" x14ac:dyDescent="0.25">
      <c r="A16" s="142"/>
      <c r="B16" s="412" t="s">
        <v>69</v>
      </c>
      <c r="C16" s="413"/>
      <c r="D16" s="414"/>
      <c r="E16" s="242"/>
      <c r="F16" s="242"/>
      <c r="G16" s="415"/>
      <c r="H16" s="416"/>
      <c r="I16" s="243">
        <v>3750</v>
      </c>
      <c r="J16" s="166">
        <f t="shared" si="0"/>
        <v>3750</v>
      </c>
      <c r="K16" s="144"/>
    </row>
    <row r="17" spans="1:12" ht="10.8" thickBot="1" x14ac:dyDescent="0.25">
      <c r="A17" s="142"/>
      <c r="B17" s="146"/>
      <c r="C17" s="146"/>
      <c r="D17" s="146"/>
      <c r="E17" s="146"/>
      <c r="F17" s="146"/>
      <c r="G17" s="146"/>
      <c r="H17" s="146"/>
      <c r="I17" s="159" t="s">
        <v>70</v>
      </c>
      <c r="J17" s="160">
        <f>SUM(J15:J16)</f>
        <v>30416.666666666668</v>
      </c>
      <c r="K17" s="144"/>
    </row>
    <row r="18" spans="1:12" ht="6" customHeight="1" thickBot="1" x14ac:dyDescent="0.25">
      <c r="A18" s="142"/>
      <c r="B18" s="146"/>
      <c r="C18" s="146"/>
      <c r="D18" s="146"/>
      <c r="E18" s="146"/>
      <c r="F18" s="146"/>
      <c r="G18" s="146"/>
      <c r="H18" s="146"/>
      <c r="I18" s="159"/>
      <c r="J18" s="161"/>
      <c r="K18" s="144"/>
    </row>
    <row r="19" spans="1:12" ht="10.8" thickBot="1" x14ac:dyDescent="0.25">
      <c r="A19" s="142"/>
      <c r="B19" s="327" t="s">
        <v>71</v>
      </c>
      <c r="C19" s="328"/>
      <c r="D19" s="328"/>
      <c r="E19" s="328"/>
      <c r="F19" s="328"/>
      <c r="G19" s="328"/>
      <c r="H19" s="328"/>
      <c r="I19" s="328"/>
      <c r="J19" s="329"/>
      <c r="K19" s="144"/>
    </row>
    <row r="20" spans="1:12" ht="10.8" thickBot="1" x14ac:dyDescent="0.25">
      <c r="A20" s="142"/>
      <c r="B20" s="330" t="s">
        <v>63</v>
      </c>
      <c r="C20" s="331"/>
      <c r="D20" s="332"/>
      <c r="E20" s="150" t="s">
        <v>1</v>
      </c>
      <c r="F20" s="150" t="s">
        <v>72</v>
      </c>
      <c r="G20" s="150" t="s">
        <v>73</v>
      </c>
      <c r="H20" s="149" t="s">
        <v>74</v>
      </c>
      <c r="I20" s="149" t="s">
        <v>67</v>
      </c>
      <c r="J20" s="152" t="s">
        <v>68</v>
      </c>
      <c r="K20" s="144"/>
    </row>
    <row r="21" spans="1:12" ht="10.8" thickBot="1" x14ac:dyDescent="0.25">
      <c r="A21" s="142"/>
      <c r="B21" s="345" t="s">
        <v>128</v>
      </c>
      <c r="C21" s="346"/>
      <c r="D21" s="347"/>
      <c r="E21" s="162"/>
      <c r="F21" s="244">
        <f>0.4*0.4*1.5</f>
        <v>0.24000000000000005</v>
      </c>
      <c r="G21" s="164">
        <v>335672.5</v>
      </c>
      <c r="H21" s="165">
        <v>0.03</v>
      </c>
      <c r="I21" s="164">
        <f>+((F21*H21)+F21)*G21</f>
        <v>82978.242000000013</v>
      </c>
      <c r="J21" s="166">
        <f>+I21</f>
        <v>82978.242000000013</v>
      </c>
      <c r="K21" s="144"/>
    </row>
    <row r="22" spans="1:12" x14ac:dyDescent="0.2">
      <c r="A22" s="142"/>
      <c r="B22" s="333" t="s">
        <v>129</v>
      </c>
      <c r="C22" s="334"/>
      <c r="D22" s="335"/>
      <c r="E22" s="153"/>
      <c r="F22" s="245">
        <f>19.12/2</f>
        <v>9.56</v>
      </c>
      <c r="G22" s="168">
        <f>'acero de refuerzo'!J43</f>
        <v>4904.1133999999993</v>
      </c>
      <c r="H22" s="169">
        <v>0.03</v>
      </c>
      <c r="I22" s="164">
        <v>48289.82</v>
      </c>
      <c r="J22" s="158">
        <f t="shared" ref="J22:J25" si="1">+I22</f>
        <v>48289.82</v>
      </c>
      <c r="K22" s="144"/>
      <c r="L22" s="171"/>
    </row>
    <row r="23" spans="1:12" x14ac:dyDescent="0.2">
      <c r="A23" s="142"/>
      <c r="B23" s="333"/>
      <c r="C23" s="334"/>
      <c r="D23" s="335"/>
      <c r="E23" s="153"/>
      <c r="F23" s="245"/>
      <c r="G23" s="168"/>
      <c r="H23" s="169"/>
      <c r="I23" s="170"/>
      <c r="J23" s="155">
        <f t="shared" si="1"/>
        <v>0</v>
      </c>
      <c r="K23" s="144"/>
      <c r="L23" s="171"/>
    </row>
    <row r="24" spans="1:12" x14ac:dyDescent="0.2">
      <c r="A24" s="142"/>
      <c r="B24" s="333"/>
      <c r="C24" s="334"/>
      <c r="D24" s="335"/>
      <c r="E24" s="153"/>
      <c r="F24" s="245"/>
      <c r="G24" s="168"/>
      <c r="H24" s="169"/>
      <c r="I24" s="170"/>
      <c r="J24" s="155">
        <f t="shared" si="1"/>
        <v>0</v>
      </c>
      <c r="K24" s="144"/>
    </row>
    <row r="25" spans="1:12" ht="10.8" thickBot="1" x14ac:dyDescent="0.25">
      <c r="A25" s="142"/>
      <c r="B25" s="348"/>
      <c r="C25" s="349"/>
      <c r="D25" s="350"/>
      <c r="E25" s="172"/>
      <c r="F25" s="246"/>
      <c r="G25" s="174"/>
      <c r="H25" s="175"/>
      <c r="I25" s="176"/>
      <c r="J25" s="177">
        <f t="shared" si="1"/>
        <v>0</v>
      </c>
      <c r="K25" s="144"/>
    </row>
    <row r="26" spans="1:12" ht="10.8" thickBot="1" x14ac:dyDescent="0.25">
      <c r="A26" s="142"/>
      <c r="B26" s="146"/>
      <c r="C26" s="146"/>
      <c r="D26" s="146"/>
      <c r="E26" s="146"/>
      <c r="F26" s="146"/>
      <c r="G26" s="146"/>
      <c r="H26" s="146"/>
      <c r="I26" s="159" t="s">
        <v>70</v>
      </c>
      <c r="J26" s="178">
        <f>SUM(J21:J25)</f>
        <v>131268.06200000001</v>
      </c>
      <c r="K26" s="144"/>
    </row>
    <row r="27" spans="1:12" ht="6" customHeight="1" thickBot="1" x14ac:dyDescent="0.25">
      <c r="A27" s="142"/>
      <c r="B27" s="146"/>
      <c r="C27" s="146"/>
      <c r="D27" s="146"/>
      <c r="E27" s="146"/>
      <c r="F27" s="146"/>
      <c r="G27" s="146"/>
      <c r="H27" s="146"/>
      <c r="I27" s="159"/>
      <c r="J27" s="161"/>
      <c r="K27" s="144"/>
    </row>
    <row r="28" spans="1:12" ht="10.8" thickBot="1" x14ac:dyDescent="0.25">
      <c r="A28" s="142"/>
      <c r="B28" s="327" t="s">
        <v>75</v>
      </c>
      <c r="C28" s="328"/>
      <c r="D28" s="328"/>
      <c r="E28" s="328"/>
      <c r="F28" s="328"/>
      <c r="G28" s="328"/>
      <c r="H28" s="328"/>
      <c r="I28" s="328"/>
      <c r="J28" s="329"/>
      <c r="K28" s="144"/>
    </row>
    <row r="29" spans="1:12" ht="10.8" thickBot="1" x14ac:dyDescent="0.25">
      <c r="A29" s="142"/>
      <c r="B29" s="150" t="s">
        <v>76</v>
      </c>
      <c r="C29" s="150" t="s">
        <v>1</v>
      </c>
      <c r="D29" s="150" t="s">
        <v>77</v>
      </c>
      <c r="E29" s="150" t="s">
        <v>78</v>
      </c>
      <c r="F29" s="150" t="s">
        <v>79</v>
      </c>
      <c r="G29" s="330" t="s">
        <v>80</v>
      </c>
      <c r="H29" s="332"/>
      <c r="I29" s="143" t="s">
        <v>67</v>
      </c>
      <c r="J29" s="152" t="s">
        <v>68</v>
      </c>
      <c r="K29" s="144"/>
    </row>
    <row r="30" spans="1:12" x14ac:dyDescent="0.2">
      <c r="A30" s="142"/>
      <c r="B30" s="179"/>
      <c r="C30" s="180"/>
      <c r="D30" s="181"/>
      <c r="E30" s="181"/>
      <c r="F30" s="182"/>
      <c r="G30" s="338"/>
      <c r="H30" s="339"/>
      <c r="I30" s="182"/>
      <c r="J30" s="166"/>
      <c r="K30" s="144"/>
    </row>
    <row r="31" spans="1:12" x14ac:dyDescent="0.2">
      <c r="A31" s="142"/>
      <c r="B31" s="183"/>
      <c r="C31" s="184"/>
      <c r="D31" s="185"/>
      <c r="E31" s="185"/>
      <c r="F31" s="186"/>
      <c r="G31" s="351"/>
      <c r="H31" s="352"/>
      <c r="I31" s="186"/>
      <c r="J31" s="155"/>
      <c r="K31" s="144"/>
    </row>
    <row r="32" spans="1:12" x14ac:dyDescent="0.2">
      <c r="A32" s="142"/>
      <c r="B32" s="183"/>
      <c r="C32" s="184"/>
      <c r="D32" s="185"/>
      <c r="E32" s="185"/>
      <c r="F32" s="186"/>
      <c r="G32" s="351"/>
      <c r="H32" s="352"/>
      <c r="I32" s="186"/>
      <c r="J32" s="155"/>
      <c r="K32" s="144"/>
    </row>
    <row r="33" spans="1:11" x14ac:dyDescent="0.2">
      <c r="A33" s="142"/>
      <c r="B33" s="187"/>
      <c r="C33" s="188"/>
      <c r="D33" s="189"/>
      <c r="E33" s="189"/>
      <c r="F33" s="186"/>
      <c r="G33" s="351"/>
      <c r="H33" s="352"/>
      <c r="I33" s="186"/>
      <c r="J33" s="155"/>
      <c r="K33" s="144"/>
    </row>
    <row r="34" spans="1:11" ht="10.8" thickBot="1" x14ac:dyDescent="0.25">
      <c r="A34" s="142"/>
      <c r="B34" s="190"/>
      <c r="C34" s="191"/>
      <c r="D34" s="192"/>
      <c r="E34" s="193"/>
      <c r="F34" s="194" t="s">
        <v>81</v>
      </c>
      <c r="G34" s="353" t="s">
        <v>81</v>
      </c>
      <c r="H34" s="354"/>
      <c r="I34" s="194" t="s">
        <v>81</v>
      </c>
      <c r="J34" s="177"/>
      <c r="K34" s="144"/>
    </row>
    <row r="35" spans="1:11" ht="10.8" thickBot="1" x14ac:dyDescent="0.25">
      <c r="A35" s="142"/>
      <c r="B35" s="146"/>
      <c r="C35" s="146"/>
      <c r="D35" s="146"/>
      <c r="E35" s="146"/>
      <c r="F35" s="146"/>
      <c r="G35" s="146"/>
      <c r="H35" s="146"/>
      <c r="I35" s="159" t="s">
        <v>70</v>
      </c>
      <c r="J35" s="160">
        <f>SUM(J30:J34)</f>
        <v>0</v>
      </c>
      <c r="K35" s="144"/>
    </row>
    <row r="36" spans="1:11" ht="6" customHeight="1" thickBot="1" x14ac:dyDescent="0.25">
      <c r="A36" s="142"/>
      <c r="B36" s="146"/>
      <c r="C36" s="146"/>
      <c r="D36" s="146"/>
      <c r="E36" s="146"/>
      <c r="F36" s="146"/>
      <c r="G36" s="146"/>
      <c r="H36" s="146"/>
      <c r="I36" s="159"/>
      <c r="J36" s="161"/>
      <c r="K36" s="144"/>
    </row>
    <row r="37" spans="1:11" ht="10.8" thickBot="1" x14ac:dyDescent="0.25">
      <c r="A37" s="142"/>
      <c r="B37" s="327" t="s">
        <v>82</v>
      </c>
      <c r="C37" s="328"/>
      <c r="D37" s="328"/>
      <c r="E37" s="328"/>
      <c r="F37" s="328"/>
      <c r="G37" s="328"/>
      <c r="H37" s="328"/>
      <c r="I37" s="328"/>
      <c r="J37" s="329"/>
      <c r="K37" s="144"/>
    </row>
    <row r="38" spans="1:11" ht="10.8" thickBot="1" x14ac:dyDescent="0.25">
      <c r="A38" s="142"/>
      <c r="B38" s="330" t="s">
        <v>83</v>
      </c>
      <c r="C38" s="332"/>
      <c r="D38" s="150" t="s">
        <v>84</v>
      </c>
      <c r="E38" s="150" t="s">
        <v>85</v>
      </c>
      <c r="F38" s="151" t="s">
        <v>86</v>
      </c>
      <c r="G38" s="330" t="s">
        <v>66</v>
      </c>
      <c r="H38" s="332"/>
      <c r="I38" s="150" t="s">
        <v>67</v>
      </c>
      <c r="J38" s="152" t="s">
        <v>68</v>
      </c>
      <c r="K38" s="144"/>
    </row>
    <row r="39" spans="1:11" x14ac:dyDescent="0.2">
      <c r="A39" s="142"/>
      <c r="B39" s="417" t="s">
        <v>87</v>
      </c>
      <c r="C39" s="418"/>
      <c r="D39" s="195">
        <v>65000</v>
      </c>
      <c r="E39" s="165">
        <v>0.25</v>
      </c>
      <c r="F39" s="196">
        <f>+(D39*E39)+D39</f>
        <v>81250</v>
      </c>
      <c r="G39" s="357">
        <v>4.5</v>
      </c>
      <c r="H39" s="358"/>
      <c r="I39" s="196">
        <f>+F39/G39</f>
        <v>18055.555555555555</v>
      </c>
      <c r="J39" s="158">
        <f>+I39</f>
        <v>18055.555555555555</v>
      </c>
      <c r="K39" s="144"/>
    </row>
    <row r="40" spans="1:11" ht="10.8" thickBot="1" x14ac:dyDescent="0.25">
      <c r="A40" s="142"/>
      <c r="B40" s="359" t="s">
        <v>88</v>
      </c>
      <c r="C40" s="360"/>
      <c r="D40" s="197">
        <v>70000</v>
      </c>
      <c r="E40" s="198">
        <v>0.25</v>
      </c>
      <c r="F40" s="199">
        <f>+(D40*E40)+D40</f>
        <v>87500</v>
      </c>
      <c r="G40" s="361">
        <v>4.5</v>
      </c>
      <c r="H40" s="362"/>
      <c r="I40" s="199">
        <f>+F40/G40</f>
        <v>19444.444444444445</v>
      </c>
      <c r="J40" s="177">
        <f>+I40</f>
        <v>19444.444444444445</v>
      </c>
      <c r="K40" s="144"/>
    </row>
    <row r="41" spans="1:11" ht="10.8" thickBot="1" x14ac:dyDescent="0.25">
      <c r="A41" s="142"/>
      <c r="B41" s="146"/>
      <c r="C41" s="146"/>
      <c r="D41" s="146"/>
      <c r="E41" s="146"/>
      <c r="F41" s="146"/>
      <c r="G41" s="146"/>
      <c r="H41" s="146"/>
      <c r="I41" s="159" t="s">
        <v>70</v>
      </c>
      <c r="J41" s="160">
        <f>SUM(J39:J40)</f>
        <v>37500</v>
      </c>
      <c r="K41" s="144"/>
    </row>
    <row r="42" spans="1:11" ht="6" customHeight="1" thickBot="1" x14ac:dyDescent="0.25">
      <c r="A42" s="142"/>
      <c r="B42" s="146"/>
      <c r="C42" s="146"/>
      <c r="D42" s="146"/>
      <c r="E42" s="146"/>
      <c r="F42" s="146"/>
      <c r="G42" s="146"/>
      <c r="H42" s="146"/>
      <c r="I42" s="200"/>
      <c r="J42" s="147"/>
      <c r="K42" s="144"/>
    </row>
    <row r="43" spans="1:11" ht="10.8" thickBot="1" x14ac:dyDescent="0.25">
      <c r="A43" s="142"/>
      <c r="C43" s="148"/>
      <c r="D43" s="148"/>
      <c r="E43" s="148"/>
      <c r="F43" s="148"/>
      <c r="G43" s="363" t="s">
        <v>89</v>
      </c>
      <c r="H43" s="363"/>
      <c r="I43" s="364"/>
      <c r="J43" s="152">
        <f>SUM(J41,J35,J26,J17)</f>
        <v>199184.72866666666</v>
      </c>
      <c r="K43" s="144"/>
    </row>
    <row r="44" spans="1:11" ht="6" customHeight="1" thickBot="1" x14ac:dyDescent="0.25">
      <c r="A44" s="142"/>
      <c r="J44" s="201"/>
      <c r="K44" s="144"/>
    </row>
    <row r="45" spans="1:11" ht="10.8" thickBot="1" x14ac:dyDescent="0.25">
      <c r="A45" s="142"/>
      <c r="B45" s="327" t="s">
        <v>90</v>
      </c>
      <c r="C45" s="328"/>
      <c r="D45" s="328"/>
      <c r="E45" s="328"/>
      <c r="F45" s="328"/>
      <c r="G45" s="328"/>
      <c r="H45" s="328"/>
      <c r="I45" s="328"/>
      <c r="J45" s="329"/>
      <c r="K45" s="144"/>
    </row>
    <row r="46" spans="1:11" ht="6" customHeight="1" thickBot="1" x14ac:dyDescent="0.25">
      <c r="A46" s="142"/>
      <c r="J46" s="201"/>
      <c r="K46" s="144"/>
    </row>
    <row r="47" spans="1:11" ht="10.8" thickBot="1" x14ac:dyDescent="0.25">
      <c r="A47" s="142"/>
      <c r="B47" s="202" t="s">
        <v>91</v>
      </c>
      <c r="C47" s="365" t="s">
        <v>92</v>
      </c>
      <c r="D47" s="366"/>
      <c r="E47" s="365" t="s">
        <v>93</v>
      </c>
      <c r="F47" s="366"/>
      <c r="G47" s="367" t="s">
        <v>94</v>
      </c>
      <c r="H47" s="368"/>
      <c r="I47" s="203" t="s">
        <v>95</v>
      </c>
      <c r="J47" s="204" t="s">
        <v>96</v>
      </c>
      <c r="K47" s="144"/>
    </row>
    <row r="48" spans="1:11" ht="6" customHeight="1" thickBot="1" x14ac:dyDescent="0.25">
      <c r="A48" s="142"/>
      <c r="B48" s="205"/>
      <c r="C48" s="205"/>
      <c r="D48" s="205"/>
      <c r="E48" s="205"/>
      <c r="F48" s="205"/>
      <c r="J48" s="201"/>
      <c r="K48" s="144"/>
    </row>
    <row r="49" spans="1:11" ht="10.8" thickBot="1" x14ac:dyDescent="0.25">
      <c r="A49" s="142"/>
      <c r="B49" s="206"/>
      <c r="C49" s="369"/>
      <c r="D49" s="368"/>
      <c r="E49" s="369"/>
      <c r="F49" s="368"/>
      <c r="G49" s="367" t="s">
        <v>97</v>
      </c>
      <c r="H49" s="368"/>
      <c r="I49" s="207"/>
      <c r="J49" s="208">
        <f>+I49*J43</f>
        <v>0</v>
      </c>
      <c r="K49" s="144"/>
    </row>
    <row r="50" spans="1:11" ht="10.8" thickBot="1" x14ac:dyDescent="0.25">
      <c r="A50" s="142"/>
      <c r="B50" s="205"/>
      <c r="C50" s="205"/>
      <c r="D50" s="205"/>
      <c r="E50" s="205"/>
      <c r="F50" s="205"/>
      <c r="I50" s="209"/>
      <c r="J50" s="201"/>
      <c r="K50" s="144"/>
    </row>
    <row r="51" spans="1:11" ht="10.8" thickBot="1" x14ac:dyDescent="0.25">
      <c r="A51" s="142"/>
      <c r="B51" s="370" t="s">
        <v>98</v>
      </c>
      <c r="C51" s="371"/>
      <c r="D51" s="371"/>
      <c r="E51" s="371"/>
      <c r="F51" s="372"/>
      <c r="G51" s="367" t="s">
        <v>99</v>
      </c>
      <c r="H51" s="368"/>
      <c r="I51" s="207"/>
      <c r="J51" s="208">
        <f>+I51*J43</f>
        <v>0</v>
      </c>
      <c r="K51" s="144"/>
    </row>
    <row r="52" spans="1:11" ht="10.8" thickBot="1" x14ac:dyDescent="0.25">
      <c r="A52" s="142"/>
      <c r="B52" s="373"/>
      <c r="C52" s="374"/>
      <c r="D52" s="374"/>
      <c r="E52" s="374"/>
      <c r="F52" s="375"/>
      <c r="I52" s="209"/>
      <c r="J52" s="201"/>
      <c r="K52" s="144"/>
    </row>
    <row r="53" spans="1:11" ht="10.8" thickBot="1" x14ac:dyDescent="0.25">
      <c r="A53" s="142"/>
      <c r="B53" s="373"/>
      <c r="C53" s="374"/>
      <c r="D53" s="374"/>
      <c r="E53" s="374"/>
      <c r="F53" s="375"/>
      <c r="G53" s="367" t="s">
        <v>100</v>
      </c>
      <c r="H53" s="368"/>
      <c r="I53" s="207"/>
      <c r="J53" s="208">
        <f>+I53*J43</f>
        <v>0</v>
      </c>
      <c r="K53" s="144"/>
    </row>
    <row r="54" spans="1:11" ht="6" customHeight="1" thickBot="1" x14ac:dyDescent="0.25">
      <c r="A54" s="142"/>
      <c r="B54" s="373"/>
      <c r="C54" s="374"/>
      <c r="D54" s="374"/>
      <c r="E54" s="374"/>
      <c r="F54" s="375"/>
      <c r="J54" s="201"/>
      <c r="K54" s="144"/>
    </row>
    <row r="55" spans="1:11" ht="10.8" thickBot="1" x14ac:dyDescent="0.25">
      <c r="A55" s="142"/>
      <c r="B55" s="373"/>
      <c r="C55" s="374"/>
      <c r="D55" s="374"/>
      <c r="E55" s="374"/>
      <c r="F55" s="375"/>
      <c r="G55" s="367" t="s">
        <v>101</v>
      </c>
      <c r="H55" s="367"/>
      <c r="I55" s="368"/>
      <c r="J55" s="211">
        <f>SUM(J49,J51,J53)</f>
        <v>0</v>
      </c>
      <c r="K55" s="144"/>
    </row>
    <row r="56" spans="1:11" ht="6" customHeight="1" thickBot="1" x14ac:dyDescent="0.25">
      <c r="A56" s="142"/>
      <c r="B56" s="373"/>
      <c r="C56" s="374"/>
      <c r="D56" s="374"/>
      <c r="E56" s="374"/>
      <c r="F56" s="375"/>
      <c r="J56" s="201"/>
      <c r="K56" s="144"/>
    </row>
    <row r="57" spans="1:11" ht="18.75" customHeight="1" thickBot="1" x14ac:dyDescent="0.25">
      <c r="A57" s="142"/>
      <c r="B57" s="376"/>
      <c r="C57" s="377"/>
      <c r="D57" s="377"/>
      <c r="E57" s="377"/>
      <c r="F57" s="378"/>
      <c r="G57" s="379" t="s">
        <v>54</v>
      </c>
      <c r="H57" s="379"/>
      <c r="I57" s="380"/>
      <c r="J57" s="212">
        <f>+J55+J43</f>
        <v>199184.72866666666</v>
      </c>
      <c r="K57" s="144"/>
    </row>
    <row r="58" spans="1:11" ht="6" customHeight="1" thickBot="1" x14ac:dyDescent="0.25">
      <c r="A58" s="213"/>
      <c r="B58" s="214"/>
      <c r="C58" s="214"/>
      <c r="D58" s="214"/>
      <c r="E58" s="214"/>
      <c r="F58" s="214"/>
      <c r="G58" s="214"/>
      <c r="H58" s="214"/>
      <c r="I58" s="214"/>
      <c r="J58" s="215"/>
      <c r="K58" s="216"/>
    </row>
  </sheetData>
  <mergeCells count="48">
    <mergeCell ref="B51:F57"/>
    <mergeCell ref="G51:H51"/>
    <mergeCell ref="G53:H53"/>
    <mergeCell ref="G55:I55"/>
    <mergeCell ref="G57:I57"/>
    <mergeCell ref="C47:D47"/>
    <mergeCell ref="E47:F47"/>
    <mergeCell ref="G47:H47"/>
    <mergeCell ref="C49:D49"/>
    <mergeCell ref="E49:F49"/>
    <mergeCell ref="G49:H49"/>
    <mergeCell ref="B45:J45"/>
    <mergeCell ref="G31:H31"/>
    <mergeCell ref="G32:H32"/>
    <mergeCell ref="G33:H33"/>
    <mergeCell ref="G34:H34"/>
    <mergeCell ref="B37:J37"/>
    <mergeCell ref="B38:C38"/>
    <mergeCell ref="G38:H38"/>
    <mergeCell ref="B39:C39"/>
    <mergeCell ref="G39:H39"/>
    <mergeCell ref="B40:C40"/>
    <mergeCell ref="G40:H40"/>
    <mergeCell ref="G43:I43"/>
    <mergeCell ref="G30:H30"/>
    <mergeCell ref="B16:D16"/>
    <mergeCell ref="G16:H16"/>
    <mergeCell ref="B19:J19"/>
    <mergeCell ref="B20:D20"/>
    <mergeCell ref="B21:D21"/>
    <mergeCell ref="B22:D22"/>
    <mergeCell ref="B23:D23"/>
    <mergeCell ref="B24:D24"/>
    <mergeCell ref="B25:D25"/>
    <mergeCell ref="B28:J28"/>
    <mergeCell ref="G29:H29"/>
    <mergeCell ref="B11:J11"/>
    <mergeCell ref="B13:J13"/>
    <mergeCell ref="B14:D14"/>
    <mergeCell ref="G14:H14"/>
    <mergeCell ref="B15:D15"/>
    <mergeCell ref="G15:H15"/>
    <mergeCell ref="B3:D5"/>
    <mergeCell ref="E3:J5"/>
    <mergeCell ref="B7:J7"/>
    <mergeCell ref="B8:J8"/>
    <mergeCell ref="B9:E9"/>
    <mergeCell ref="F9:J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BBE15-4D48-4401-9378-F9BC9866F4F2}">
  <dimension ref="A1:L59"/>
  <sheetViews>
    <sheetView topLeftCell="D33" workbookViewId="0">
      <selection activeCell="G42" sqref="G42"/>
    </sheetView>
  </sheetViews>
  <sheetFormatPr baseColWidth="10" defaultColWidth="11.44140625" defaultRowHeight="10.199999999999999" x14ac:dyDescent="0.2"/>
  <cols>
    <col min="1" max="1" width="1.44140625" style="84" customWidth="1"/>
    <col min="2" max="3" width="11.44140625" style="84"/>
    <col min="4" max="4" width="14.33203125" style="84" bestFit="1" customWidth="1"/>
    <col min="5" max="5" width="13.44140625" style="84" bestFit="1" customWidth="1"/>
    <col min="6" max="7" width="12.109375" style="84" customWidth="1"/>
    <col min="8" max="8" width="7.6640625" style="84" customWidth="1"/>
    <col min="9" max="9" width="13.44140625" style="84" bestFit="1" customWidth="1"/>
    <col min="10" max="10" width="18" style="137" bestFit="1" customWidth="1"/>
    <col min="11" max="11" width="1.44140625" style="84" customWidth="1"/>
    <col min="12" max="12" width="12" style="84" bestFit="1" customWidth="1"/>
    <col min="13" max="16384" width="11.44140625" style="84"/>
  </cols>
  <sheetData>
    <row r="1" spans="1:11" ht="10.8" thickBot="1" x14ac:dyDescent="0.25"/>
    <row r="2" spans="1:11" ht="6.75" customHeight="1" thickBot="1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40"/>
      <c r="K2" s="141"/>
    </row>
    <row r="3" spans="1:11" x14ac:dyDescent="0.2">
      <c r="A3" s="142"/>
      <c r="B3" s="296"/>
      <c r="C3" s="297"/>
      <c r="D3" s="298"/>
      <c r="E3" s="305" t="s">
        <v>59</v>
      </c>
      <c r="F3" s="306"/>
      <c r="G3" s="306"/>
      <c r="H3" s="306"/>
      <c r="I3" s="306"/>
      <c r="J3" s="307"/>
      <c r="K3" s="144"/>
    </row>
    <row r="4" spans="1:11" x14ac:dyDescent="0.2">
      <c r="A4" s="142"/>
      <c r="B4" s="299"/>
      <c r="C4" s="300"/>
      <c r="D4" s="301"/>
      <c r="E4" s="308"/>
      <c r="F4" s="309"/>
      <c r="G4" s="309"/>
      <c r="H4" s="309"/>
      <c r="I4" s="309"/>
      <c r="J4" s="310"/>
      <c r="K4" s="144"/>
    </row>
    <row r="5" spans="1:11" ht="10.8" thickBot="1" x14ac:dyDescent="0.25">
      <c r="A5" s="142"/>
      <c r="B5" s="302"/>
      <c r="C5" s="303"/>
      <c r="D5" s="304"/>
      <c r="E5" s="311"/>
      <c r="F5" s="312"/>
      <c r="G5" s="312"/>
      <c r="H5" s="312"/>
      <c r="I5" s="312"/>
      <c r="J5" s="313"/>
      <c r="K5" s="144"/>
    </row>
    <row r="6" spans="1:11" ht="6" customHeight="1" thickBot="1" x14ac:dyDescent="0.25">
      <c r="A6" s="142"/>
      <c r="B6" s="145"/>
      <c r="C6" s="146"/>
      <c r="D6" s="9"/>
      <c r="E6" s="146"/>
      <c r="F6" s="146"/>
      <c r="G6" s="146"/>
      <c r="H6" s="146"/>
      <c r="I6" s="146"/>
      <c r="J6" s="147"/>
      <c r="K6" s="144"/>
    </row>
    <row r="7" spans="1:11" x14ac:dyDescent="0.2">
      <c r="A7" s="142"/>
      <c r="B7" s="400" t="s">
        <v>206</v>
      </c>
      <c r="C7" s="401"/>
      <c r="D7" s="401"/>
      <c r="E7" s="401"/>
      <c r="F7" s="401"/>
      <c r="G7" s="401"/>
      <c r="H7" s="401"/>
      <c r="I7" s="401"/>
      <c r="J7" s="402"/>
      <c r="K7" s="144"/>
    </row>
    <row r="8" spans="1:11" ht="10.8" thickBot="1" x14ac:dyDescent="0.25">
      <c r="A8" s="142"/>
      <c r="B8" s="317"/>
      <c r="C8" s="318"/>
      <c r="D8" s="318"/>
      <c r="E8" s="318"/>
      <c r="F8" s="318"/>
      <c r="G8" s="318"/>
      <c r="H8" s="318"/>
      <c r="I8" s="318"/>
      <c r="J8" s="319"/>
      <c r="K8" s="144"/>
    </row>
    <row r="9" spans="1:11" ht="26.25" customHeight="1" thickBot="1" x14ac:dyDescent="0.25">
      <c r="A9" s="142"/>
      <c r="B9" s="383" t="s">
        <v>207</v>
      </c>
      <c r="C9" s="384"/>
      <c r="D9" s="384"/>
      <c r="E9" s="385"/>
      <c r="F9" s="403" t="s">
        <v>130</v>
      </c>
      <c r="G9" s="404"/>
      <c r="H9" s="405"/>
      <c r="I9" s="405"/>
      <c r="J9" s="406"/>
      <c r="K9" s="144"/>
    </row>
    <row r="10" spans="1:11" ht="6" customHeight="1" thickBot="1" x14ac:dyDescent="0.25">
      <c r="A10" s="142"/>
      <c r="B10" s="148"/>
      <c r="C10" s="148"/>
      <c r="D10" s="146"/>
      <c r="E10" s="148"/>
      <c r="F10" s="148"/>
      <c r="G10" s="148"/>
      <c r="H10" s="148"/>
      <c r="I10" s="148"/>
      <c r="J10" s="147"/>
      <c r="K10" s="144"/>
    </row>
    <row r="11" spans="1:11" ht="16.5" customHeight="1" thickBot="1" x14ac:dyDescent="0.25">
      <c r="A11" s="142"/>
      <c r="B11" s="327" t="s">
        <v>61</v>
      </c>
      <c r="C11" s="328"/>
      <c r="D11" s="328"/>
      <c r="E11" s="328"/>
      <c r="F11" s="328"/>
      <c r="G11" s="328"/>
      <c r="H11" s="328"/>
      <c r="I11" s="328"/>
      <c r="J11" s="329"/>
      <c r="K11" s="144"/>
    </row>
    <row r="12" spans="1:11" ht="6" customHeight="1" thickBot="1" x14ac:dyDescent="0.25">
      <c r="A12" s="142"/>
      <c r="B12" s="148"/>
      <c r="C12" s="148"/>
      <c r="D12" s="146"/>
      <c r="E12" s="148"/>
      <c r="F12" s="148"/>
      <c r="G12" s="148"/>
      <c r="H12" s="148"/>
      <c r="I12" s="148"/>
      <c r="J12" s="147"/>
      <c r="K12" s="144"/>
    </row>
    <row r="13" spans="1:11" ht="10.8" thickBot="1" x14ac:dyDescent="0.25">
      <c r="A13" s="142"/>
      <c r="B13" s="327" t="s">
        <v>62</v>
      </c>
      <c r="C13" s="328"/>
      <c r="D13" s="328"/>
      <c r="E13" s="328"/>
      <c r="F13" s="328"/>
      <c r="G13" s="328"/>
      <c r="H13" s="328"/>
      <c r="I13" s="328"/>
      <c r="J13" s="329"/>
      <c r="K13" s="144"/>
    </row>
    <row r="14" spans="1:11" ht="10.8" thickBot="1" x14ac:dyDescent="0.25">
      <c r="A14" s="142"/>
      <c r="B14" s="330" t="s">
        <v>63</v>
      </c>
      <c r="C14" s="331"/>
      <c r="D14" s="332"/>
      <c r="E14" s="150" t="s">
        <v>64</v>
      </c>
      <c r="F14" s="151" t="s">
        <v>65</v>
      </c>
      <c r="G14" s="330" t="s">
        <v>66</v>
      </c>
      <c r="H14" s="332"/>
      <c r="I14" s="149" t="s">
        <v>67</v>
      </c>
      <c r="J14" s="152" t="s">
        <v>68</v>
      </c>
      <c r="K14" s="144"/>
    </row>
    <row r="15" spans="1:11" x14ac:dyDescent="0.2">
      <c r="A15" s="142"/>
      <c r="B15" s="419" t="s">
        <v>131</v>
      </c>
      <c r="C15" s="420"/>
      <c r="D15" s="421"/>
      <c r="E15" s="247"/>
      <c r="F15" s="248">
        <v>120000</v>
      </c>
      <c r="G15" s="422">
        <v>5</v>
      </c>
      <c r="H15" s="423"/>
      <c r="I15" s="249">
        <f>+F15/G15</f>
        <v>24000</v>
      </c>
      <c r="J15" s="250">
        <f>+I15</f>
        <v>24000</v>
      </c>
      <c r="K15" s="144"/>
    </row>
    <row r="16" spans="1:11" x14ac:dyDescent="0.2">
      <c r="A16" s="142"/>
      <c r="B16" s="333" t="s">
        <v>69</v>
      </c>
      <c r="C16" s="334"/>
      <c r="D16" s="335"/>
      <c r="E16" s="153"/>
      <c r="F16" s="153"/>
      <c r="G16" s="424"/>
      <c r="H16" s="425"/>
      <c r="I16" s="154">
        <v>5125</v>
      </c>
      <c r="J16" s="155">
        <f t="shared" ref="J16" si="0">+I16</f>
        <v>5125</v>
      </c>
      <c r="K16" s="144"/>
    </row>
    <row r="17" spans="1:12" ht="10.8" thickBot="1" x14ac:dyDescent="0.25">
      <c r="A17" s="142"/>
      <c r="B17" s="340"/>
      <c r="C17" s="341"/>
      <c r="D17" s="342"/>
      <c r="E17" s="156"/>
      <c r="F17" s="156"/>
      <c r="G17" s="426"/>
      <c r="H17" s="427"/>
      <c r="I17" s="239"/>
      <c r="J17" s="158"/>
      <c r="K17" s="144"/>
    </row>
    <row r="18" spans="1:12" ht="10.8" thickBot="1" x14ac:dyDescent="0.25">
      <c r="A18" s="142"/>
      <c r="B18" s="146"/>
      <c r="C18" s="146"/>
      <c r="D18" s="146"/>
      <c r="E18" s="146"/>
      <c r="F18" s="146"/>
      <c r="G18" s="146"/>
      <c r="H18" s="146"/>
      <c r="I18" s="159" t="s">
        <v>70</v>
      </c>
      <c r="J18" s="160">
        <f>SUM(J15:J17)</f>
        <v>29125</v>
      </c>
      <c r="K18" s="144"/>
    </row>
    <row r="19" spans="1:12" ht="6" customHeight="1" thickBot="1" x14ac:dyDescent="0.25">
      <c r="A19" s="142"/>
      <c r="B19" s="146"/>
      <c r="C19" s="146"/>
      <c r="D19" s="146"/>
      <c r="E19" s="146"/>
      <c r="F19" s="146"/>
      <c r="G19" s="146"/>
      <c r="H19" s="146"/>
      <c r="I19" s="159"/>
      <c r="J19" s="161"/>
      <c r="K19" s="144"/>
    </row>
    <row r="20" spans="1:12" ht="10.8" thickBot="1" x14ac:dyDescent="0.25">
      <c r="A20" s="142"/>
      <c r="B20" s="327" t="s">
        <v>71</v>
      </c>
      <c r="C20" s="328"/>
      <c r="D20" s="328"/>
      <c r="E20" s="328"/>
      <c r="F20" s="328"/>
      <c r="G20" s="328"/>
      <c r="H20" s="328"/>
      <c r="I20" s="328"/>
      <c r="J20" s="329"/>
      <c r="K20" s="144"/>
    </row>
    <row r="21" spans="1:12" ht="10.8" thickBot="1" x14ac:dyDescent="0.25">
      <c r="A21" s="142"/>
      <c r="B21" s="330" t="s">
        <v>63</v>
      </c>
      <c r="C21" s="331"/>
      <c r="D21" s="332"/>
      <c r="E21" s="150" t="s">
        <v>1</v>
      </c>
      <c r="F21" s="150" t="s">
        <v>72</v>
      </c>
      <c r="G21" s="150" t="s">
        <v>73</v>
      </c>
      <c r="H21" s="143" t="s">
        <v>74</v>
      </c>
      <c r="I21" s="149" t="s">
        <v>67</v>
      </c>
      <c r="J21" s="152" t="s">
        <v>68</v>
      </c>
      <c r="K21" s="144"/>
    </row>
    <row r="22" spans="1:12" x14ac:dyDescent="0.2">
      <c r="A22" s="142"/>
      <c r="B22" s="345" t="s">
        <v>128</v>
      </c>
      <c r="C22" s="346"/>
      <c r="D22" s="347"/>
      <c r="E22" s="162" t="s">
        <v>121</v>
      </c>
      <c r="F22" s="163">
        <f>0.2*1.5*1</f>
        <v>0.30000000000000004</v>
      </c>
      <c r="G22" s="164">
        <v>335672.5</v>
      </c>
      <c r="H22" s="169">
        <v>0.03</v>
      </c>
      <c r="I22" s="164">
        <f>+((F22*H22)+F22)*G22</f>
        <v>103722.80250000002</v>
      </c>
      <c r="J22" s="166">
        <f>+I22</f>
        <v>103722.80250000002</v>
      </c>
      <c r="K22" s="144"/>
      <c r="L22" s="164"/>
    </row>
    <row r="23" spans="1:12" x14ac:dyDescent="0.2">
      <c r="A23" s="142"/>
      <c r="B23" s="333" t="s">
        <v>132</v>
      </c>
      <c r="C23" s="334"/>
      <c r="D23" s="335"/>
      <c r="E23" s="153" t="s">
        <v>103</v>
      </c>
      <c r="F23" s="167">
        <v>1</v>
      </c>
      <c r="G23" s="168">
        <v>134014.5</v>
      </c>
      <c r="H23" s="169">
        <v>0.03</v>
      </c>
      <c r="I23" s="251">
        <f>+((F23*H23)+F23)*G23</f>
        <v>138034.935</v>
      </c>
      <c r="J23" s="158">
        <f>+I23</f>
        <v>138034.935</v>
      </c>
      <c r="K23" s="144"/>
      <c r="L23" s="171"/>
    </row>
    <row r="24" spans="1:12" x14ac:dyDescent="0.2">
      <c r="A24" s="142"/>
      <c r="B24" s="333" t="s">
        <v>129</v>
      </c>
      <c r="C24" s="334"/>
      <c r="D24" s="335"/>
      <c r="E24" s="153" t="s">
        <v>133</v>
      </c>
      <c r="F24" s="167">
        <v>86.8</v>
      </c>
      <c r="G24" s="168">
        <v>4904.1099999999997</v>
      </c>
      <c r="H24" s="252">
        <v>0.03</v>
      </c>
      <c r="I24" s="170">
        <f>+((F24*H24)+F24)*G24</f>
        <v>438447.05043999996</v>
      </c>
      <c r="J24" s="155">
        <f>+I24</f>
        <v>438447.05043999996</v>
      </c>
      <c r="K24" s="144"/>
      <c r="L24" s="171"/>
    </row>
    <row r="25" spans="1:12" x14ac:dyDescent="0.2">
      <c r="A25" s="142"/>
      <c r="B25" s="333"/>
      <c r="C25" s="334"/>
      <c r="D25" s="335"/>
      <c r="E25" s="153"/>
      <c r="F25" s="167"/>
      <c r="G25" s="168"/>
      <c r="H25" s="169"/>
      <c r="I25" s="170"/>
      <c r="J25" s="155">
        <f t="shared" ref="J25:J26" si="1">+I25</f>
        <v>0</v>
      </c>
      <c r="K25" s="144"/>
    </row>
    <row r="26" spans="1:12" ht="10.8" thickBot="1" x14ac:dyDescent="0.25">
      <c r="A26" s="142"/>
      <c r="B26" s="348"/>
      <c r="C26" s="349"/>
      <c r="D26" s="350"/>
      <c r="E26" s="172"/>
      <c r="F26" s="173"/>
      <c r="G26" s="174"/>
      <c r="H26" s="175"/>
      <c r="I26" s="176"/>
      <c r="J26" s="177">
        <f t="shared" si="1"/>
        <v>0</v>
      </c>
      <c r="K26" s="144"/>
    </row>
    <row r="27" spans="1:12" ht="10.8" thickBot="1" x14ac:dyDescent="0.25">
      <c r="A27" s="142"/>
      <c r="B27" s="146"/>
      <c r="C27" s="146"/>
      <c r="D27" s="146"/>
      <c r="E27" s="146"/>
      <c r="F27" s="146"/>
      <c r="G27" s="146"/>
      <c r="H27" s="146"/>
      <c r="I27" s="159" t="s">
        <v>70</v>
      </c>
      <c r="J27" s="178">
        <f>SUM(J22:J26)</f>
        <v>680204.78793999995</v>
      </c>
      <c r="K27" s="144"/>
    </row>
    <row r="28" spans="1:12" ht="6" customHeight="1" thickBot="1" x14ac:dyDescent="0.25">
      <c r="A28" s="142"/>
      <c r="B28" s="146"/>
      <c r="C28" s="146"/>
      <c r="D28" s="146"/>
      <c r="E28" s="146"/>
      <c r="F28" s="146"/>
      <c r="G28" s="146"/>
      <c r="H28" s="146"/>
      <c r="I28" s="159"/>
      <c r="J28" s="161"/>
      <c r="K28" s="144"/>
    </row>
    <row r="29" spans="1:12" ht="10.8" thickBot="1" x14ac:dyDescent="0.25">
      <c r="A29" s="142"/>
      <c r="B29" s="327" t="s">
        <v>75</v>
      </c>
      <c r="C29" s="328"/>
      <c r="D29" s="328"/>
      <c r="E29" s="328"/>
      <c r="F29" s="328"/>
      <c r="G29" s="328"/>
      <c r="H29" s="328"/>
      <c r="I29" s="328"/>
      <c r="J29" s="329"/>
      <c r="K29" s="144"/>
    </row>
    <row r="30" spans="1:12" ht="10.8" thickBot="1" x14ac:dyDescent="0.25">
      <c r="A30" s="142"/>
      <c r="B30" s="150" t="s">
        <v>76</v>
      </c>
      <c r="C30" s="150" t="s">
        <v>1</v>
      </c>
      <c r="D30" s="150" t="s">
        <v>77</v>
      </c>
      <c r="E30" s="150" t="s">
        <v>78</v>
      </c>
      <c r="F30" s="150" t="s">
        <v>79</v>
      </c>
      <c r="G30" s="330" t="s">
        <v>80</v>
      </c>
      <c r="H30" s="332"/>
      <c r="I30" s="143" t="s">
        <v>67</v>
      </c>
      <c r="J30" s="152" t="s">
        <v>68</v>
      </c>
      <c r="K30" s="144"/>
    </row>
    <row r="31" spans="1:12" x14ac:dyDescent="0.2">
      <c r="A31" s="142"/>
      <c r="B31" s="179"/>
      <c r="C31" s="180"/>
      <c r="D31" s="181"/>
      <c r="E31" s="181"/>
      <c r="F31" s="182"/>
      <c r="G31" s="338"/>
      <c r="H31" s="339"/>
      <c r="I31" s="182"/>
      <c r="J31" s="166"/>
      <c r="K31" s="144"/>
    </row>
    <row r="32" spans="1:12" x14ac:dyDescent="0.2">
      <c r="A32" s="142"/>
      <c r="B32" s="183"/>
      <c r="C32" s="184"/>
      <c r="D32" s="185"/>
      <c r="E32" s="185"/>
      <c r="F32" s="186"/>
      <c r="G32" s="351"/>
      <c r="H32" s="352"/>
      <c r="I32" s="186"/>
      <c r="J32" s="155"/>
      <c r="K32" s="144"/>
    </row>
    <row r="33" spans="1:11" x14ac:dyDescent="0.2">
      <c r="A33" s="142"/>
      <c r="B33" s="183"/>
      <c r="C33" s="184"/>
      <c r="D33" s="185"/>
      <c r="E33" s="185"/>
      <c r="F33" s="186"/>
      <c r="G33" s="351"/>
      <c r="H33" s="352"/>
      <c r="I33" s="186"/>
      <c r="J33" s="155"/>
      <c r="K33" s="144"/>
    </row>
    <row r="34" spans="1:11" x14ac:dyDescent="0.2">
      <c r="A34" s="142"/>
      <c r="B34" s="187"/>
      <c r="C34" s="188"/>
      <c r="D34" s="189"/>
      <c r="E34" s="189"/>
      <c r="F34" s="186"/>
      <c r="G34" s="351"/>
      <c r="H34" s="352"/>
      <c r="I34" s="186"/>
      <c r="J34" s="155"/>
      <c r="K34" s="144"/>
    </row>
    <row r="35" spans="1:11" ht="10.8" thickBot="1" x14ac:dyDescent="0.25">
      <c r="A35" s="142"/>
      <c r="B35" s="190"/>
      <c r="C35" s="191"/>
      <c r="D35" s="192"/>
      <c r="E35" s="193"/>
      <c r="F35" s="194" t="s">
        <v>81</v>
      </c>
      <c r="G35" s="353" t="s">
        <v>81</v>
      </c>
      <c r="H35" s="354"/>
      <c r="I35" s="194" t="s">
        <v>81</v>
      </c>
      <c r="J35" s="177"/>
      <c r="K35" s="144"/>
    </row>
    <row r="36" spans="1:11" ht="10.8" thickBot="1" x14ac:dyDescent="0.25">
      <c r="A36" s="142"/>
      <c r="B36" s="146"/>
      <c r="C36" s="146"/>
      <c r="D36" s="146"/>
      <c r="E36" s="146"/>
      <c r="F36" s="146"/>
      <c r="G36" s="146"/>
      <c r="H36" s="146"/>
      <c r="I36" s="159" t="s">
        <v>70</v>
      </c>
      <c r="J36" s="160">
        <f>SUM(J31:J35)</f>
        <v>0</v>
      </c>
      <c r="K36" s="144"/>
    </row>
    <row r="37" spans="1:11" ht="6" customHeight="1" thickBot="1" x14ac:dyDescent="0.25">
      <c r="A37" s="142"/>
      <c r="B37" s="146"/>
      <c r="C37" s="146"/>
      <c r="D37" s="146"/>
      <c r="E37" s="146"/>
      <c r="F37" s="146"/>
      <c r="G37" s="146"/>
      <c r="H37" s="146"/>
      <c r="I37" s="159"/>
      <c r="J37" s="161"/>
      <c r="K37" s="144"/>
    </row>
    <row r="38" spans="1:11" ht="10.8" thickBot="1" x14ac:dyDescent="0.25">
      <c r="A38" s="142"/>
      <c r="B38" s="327" t="s">
        <v>82</v>
      </c>
      <c r="C38" s="328"/>
      <c r="D38" s="328"/>
      <c r="E38" s="328"/>
      <c r="F38" s="328"/>
      <c r="G38" s="328"/>
      <c r="H38" s="328"/>
      <c r="I38" s="328"/>
      <c r="J38" s="329"/>
      <c r="K38" s="144"/>
    </row>
    <row r="39" spans="1:11" ht="10.8" thickBot="1" x14ac:dyDescent="0.25">
      <c r="A39" s="142"/>
      <c r="B39" s="330" t="s">
        <v>83</v>
      </c>
      <c r="C39" s="332"/>
      <c r="D39" s="150" t="s">
        <v>84</v>
      </c>
      <c r="E39" s="150" t="s">
        <v>85</v>
      </c>
      <c r="F39" s="151" t="s">
        <v>86</v>
      </c>
      <c r="G39" s="330" t="s">
        <v>66</v>
      </c>
      <c r="H39" s="332"/>
      <c r="I39" s="150" t="s">
        <v>67</v>
      </c>
      <c r="J39" s="152" t="s">
        <v>68</v>
      </c>
      <c r="K39" s="144"/>
    </row>
    <row r="40" spans="1:11" x14ac:dyDescent="0.2">
      <c r="A40" s="142"/>
      <c r="B40" s="417" t="s">
        <v>87</v>
      </c>
      <c r="C40" s="418"/>
      <c r="D40" s="195">
        <v>65000</v>
      </c>
      <c r="E40" s="165">
        <v>0.25</v>
      </c>
      <c r="F40" s="196">
        <f>+(D40*E40)+D40</f>
        <v>81250</v>
      </c>
      <c r="G40" s="357">
        <v>5</v>
      </c>
      <c r="H40" s="358"/>
      <c r="I40" s="196">
        <f>+F40/G40</f>
        <v>16250</v>
      </c>
      <c r="J40" s="158">
        <f>+I40</f>
        <v>16250</v>
      </c>
      <c r="K40" s="144"/>
    </row>
    <row r="41" spans="1:11" ht="10.8" thickBot="1" x14ac:dyDescent="0.25">
      <c r="A41" s="142"/>
      <c r="B41" s="359" t="s">
        <v>88</v>
      </c>
      <c r="C41" s="360"/>
      <c r="D41" s="197">
        <v>140000</v>
      </c>
      <c r="E41" s="198">
        <v>0.25</v>
      </c>
      <c r="F41" s="199">
        <f>+(D41*E41)+D41</f>
        <v>175000</v>
      </c>
      <c r="G41" s="361">
        <v>5</v>
      </c>
      <c r="H41" s="362"/>
      <c r="I41" s="199">
        <f>+F41/G41</f>
        <v>35000</v>
      </c>
      <c r="J41" s="177">
        <f>+I41</f>
        <v>35000</v>
      </c>
      <c r="K41" s="144"/>
    </row>
    <row r="42" spans="1:11" ht="10.8" thickBot="1" x14ac:dyDescent="0.25">
      <c r="A42" s="142"/>
      <c r="B42" s="146"/>
      <c r="C42" s="146"/>
      <c r="D42" s="146"/>
      <c r="E42" s="146"/>
      <c r="F42" s="146"/>
      <c r="G42" s="146"/>
      <c r="H42" s="146"/>
      <c r="I42" s="159" t="s">
        <v>70</v>
      </c>
      <c r="J42" s="160">
        <f>SUM(J40:J41)</f>
        <v>51250</v>
      </c>
      <c r="K42" s="144"/>
    </row>
    <row r="43" spans="1:11" ht="6" customHeight="1" thickBot="1" x14ac:dyDescent="0.25">
      <c r="A43" s="142"/>
      <c r="B43" s="146"/>
      <c r="C43" s="146"/>
      <c r="D43" s="146"/>
      <c r="E43" s="146"/>
      <c r="F43" s="146"/>
      <c r="G43" s="146"/>
      <c r="H43" s="146"/>
      <c r="I43" s="200"/>
      <c r="J43" s="147"/>
      <c r="K43" s="144"/>
    </row>
    <row r="44" spans="1:11" ht="10.8" thickBot="1" x14ac:dyDescent="0.25">
      <c r="A44" s="142"/>
      <c r="C44" s="148"/>
      <c r="D44" s="148"/>
      <c r="E44" s="148"/>
      <c r="F44" s="148"/>
      <c r="G44" s="363" t="s">
        <v>89</v>
      </c>
      <c r="H44" s="363"/>
      <c r="I44" s="364"/>
      <c r="J44" s="152">
        <f>SUM(J42,J36,J27,J18)</f>
        <v>760579.78793999995</v>
      </c>
      <c r="K44" s="144"/>
    </row>
    <row r="45" spans="1:11" ht="6" customHeight="1" thickBot="1" x14ac:dyDescent="0.25">
      <c r="A45" s="142"/>
      <c r="J45" s="201"/>
      <c r="K45" s="144"/>
    </row>
    <row r="46" spans="1:11" ht="10.8" thickBot="1" x14ac:dyDescent="0.25">
      <c r="A46" s="142"/>
      <c r="B46" s="327" t="s">
        <v>90</v>
      </c>
      <c r="C46" s="328"/>
      <c r="D46" s="328"/>
      <c r="E46" s="328"/>
      <c r="F46" s="328"/>
      <c r="G46" s="328"/>
      <c r="H46" s="328"/>
      <c r="I46" s="328"/>
      <c r="J46" s="329"/>
      <c r="K46" s="144"/>
    </row>
    <row r="47" spans="1:11" ht="6" customHeight="1" thickBot="1" x14ac:dyDescent="0.25">
      <c r="A47" s="142"/>
      <c r="J47" s="201"/>
      <c r="K47" s="144"/>
    </row>
    <row r="48" spans="1:11" ht="10.8" thickBot="1" x14ac:dyDescent="0.25">
      <c r="A48" s="142"/>
      <c r="B48" s="202" t="s">
        <v>91</v>
      </c>
      <c r="C48" s="365" t="s">
        <v>92</v>
      </c>
      <c r="D48" s="366"/>
      <c r="E48" s="365" t="s">
        <v>93</v>
      </c>
      <c r="F48" s="366"/>
      <c r="G48" s="367" t="s">
        <v>94</v>
      </c>
      <c r="H48" s="368"/>
      <c r="I48" s="203" t="s">
        <v>95</v>
      </c>
      <c r="J48" s="204" t="s">
        <v>96</v>
      </c>
      <c r="K48" s="144"/>
    </row>
    <row r="49" spans="1:11" ht="6" customHeight="1" thickBot="1" x14ac:dyDescent="0.25">
      <c r="A49" s="142"/>
      <c r="B49" s="205"/>
      <c r="C49" s="205"/>
      <c r="D49" s="205"/>
      <c r="E49" s="205"/>
      <c r="F49" s="205"/>
      <c r="J49" s="201"/>
      <c r="K49" s="144"/>
    </row>
    <row r="50" spans="1:11" ht="10.8" thickBot="1" x14ac:dyDescent="0.25">
      <c r="A50" s="142"/>
      <c r="B50" s="206"/>
      <c r="C50" s="369"/>
      <c r="D50" s="368"/>
      <c r="E50" s="369"/>
      <c r="F50" s="368"/>
      <c r="G50" s="367" t="s">
        <v>97</v>
      </c>
      <c r="H50" s="368"/>
      <c r="I50" s="207"/>
      <c r="J50" s="208">
        <f>+I50*J44</f>
        <v>0</v>
      </c>
      <c r="K50" s="144"/>
    </row>
    <row r="51" spans="1:11" ht="10.8" thickBot="1" x14ac:dyDescent="0.25">
      <c r="A51" s="142"/>
      <c r="B51" s="205"/>
      <c r="C51" s="205"/>
      <c r="D51" s="205"/>
      <c r="E51" s="205"/>
      <c r="F51" s="205"/>
      <c r="I51" s="209"/>
      <c r="J51" s="201"/>
      <c r="K51" s="144"/>
    </row>
    <row r="52" spans="1:11" ht="10.8" thickBot="1" x14ac:dyDescent="0.25">
      <c r="A52" s="142"/>
      <c r="B52" s="370" t="s">
        <v>98</v>
      </c>
      <c r="C52" s="371"/>
      <c r="D52" s="371"/>
      <c r="E52" s="371"/>
      <c r="F52" s="372"/>
      <c r="G52" s="367" t="s">
        <v>99</v>
      </c>
      <c r="H52" s="368"/>
      <c r="I52" s="207"/>
      <c r="J52" s="208">
        <f>+I52*J44</f>
        <v>0</v>
      </c>
      <c r="K52" s="144"/>
    </row>
    <row r="53" spans="1:11" ht="10.8" thickBot="1" x14ac:dyDescent="0.25">
      <c r="A53" s="142"/>
      <c r="B53" s="373"/>
      <c r="C53" s="374"/>
      <c r="D53" s="374"/>
      <c r="E53" s="374"/>
      <c r="F53" s="375"/>
      <c r="I53" s="209"/>
      <c r="J53" s="201"/>
      <c r="K53" s="144"/>
    </row>
    <row r="54" spans="1:11" ht="10.8" thickBot="1" x14ac:dyDescent="0.25">
      <c r="A54" s="142"/>
      <c r="B54" s="373"/>
      <c r="C54" s="374"/>
      <c r="D54" s="374"/>
      <c r="E54" s="374"/>
      <c r="F54" s="375"/>
      <c r="G54" s="367" t="s">
        <v>100</v>
      </c>
      <c r="H54" s="368"/>
      <c r="I54" s="207"/>
      <c r="J54" s="208">
        <f>+I54*J44</f>
        <v>0</v>
      </c>
      <c r="K54" s="144"/>
    </row>
    <row r="55" spans="1:11" ht="6" customHeight="1" thickBot="1" x14ac:dyDescent="0.25">
      <c r="A55" s="142"/>
      <c r="B55" s="373"/>
      <c r="C55" s="374"/>
      <c r="D55" s="374"/>
      <c r="E55" s="374"/>
      <c r="F55" s="375"/>
      <c r="J55" s="201"/>
      <c r="K55" s="144"/>
    </row>
    <row r="56" spans="1:11" ht="10.8" thickBot="1" x14ac:dyDescent="0.25">
      <c r="A56" s="142"/>
      <c r="B56" s="373"/>
      <c r="C56" s="374"/>
      <c r="D56" s="374"/>
      <c r="E56" s="374"/>
      <c r="F56" s="375"/>
      <c r="G56" s="367" t="s">
        <v>101</v>
      </c>
      <c r="H56" s="367"/>
      <c r="I56" s="368"/>
      <c r="J56" s="211">
        <f>SUM(J50,J52,J54)</f>
        <v>0</v>
      </c>
      <c r="K56" s="144"/>
    </row>
    <row r="57" spans="1:11" ht="6" customHeight="1" thickBot="1" x14ac:dyDescent="0.25">
      <c r="A57" s="142"/>
      <c r="B57" s="373"/>
      <c r="C57" s="374"/>
      <c r="D57" s="374"/>
      <c r="E57" s="374"/>
      <c r="F57" s="375"/>
      <c r="J57" s="201"/>
      <c r="K57" s="144"/>
    </row>
    <row r="58" spans="1:11" ht="18.75" customHeight="1" thickBot="1" x14ac:dyDescent="0.25">
      <c r="A58" s="142"/>
      <c r="B58" s="376"/>
      <c r="C58" s="377"/>
      <c r="D58" s="377"/>
      <c r="E58" s="377"/>
      <c r="F58" s="378"/>
      <c r="G58" s="379" t="s">
        <v>54</v>
      </c>
      <c r="H58" s="379"/>
      <c r="I58" s="380"/>
      <c r="J58" s="212">
        <f>+J56+J44</f>
        <v>760579.78793999995</v>
      </c>
      <c r="K58" s="144"/>
    </row>
    <row r="59" spans="1:11" ht="6" customHeight="1" thickBot="1" x14ac:dyDescent="0.25">
      <c r="A59" s="213"/>
      <c r="B59" s="214"/>
      <c r="C59" s="214"/>
      <c r="D59" s="214"/>
      <c r="E59" s="214"/>
      <c r="F59" s="214"/>
      <c r="G59" s="214"/>
      <c r="H59" s="214"/>
      <c r="I59" s="214"/>
      <c r="J59" s="215"/>
      <c r="K59" s="216"/>
    </row>
  </sheetData>
  <mergeCells count="50">
    <mergeCell ref="B52:F58"/>
    <mergeCell ref="G52:H52"/>
    <mergeCell ref="G54:H54"/>
    <mergeCell ref="G56:I56"/>
    <mergeCell ref="G58:I58"/>
    <mergeCell ref="C50:D50"/>
    <mergeCell ref="E50:F50"/>
    <mergeCell ref="G50:H50"/>
    <mergeCell ref="B38:J38"/>
    <mergeCell ref="B39:C39"/>
    <mergeCell ref="G39:H39"/>
    <mergeCell ref="B40:C40"/>
    <mergeCell ref="G40:H40"/>
    <mergeCell ref="B41:C41"/>
    <mergeCell ref="G41:H41"/>
    <mergeCell ref="G44:I44"/>
    <mergeCell ref="B46:J46"/>
    <mergeCell ref="C48:D48"/>
    <mergeCell ref="E48:F48"/>
    <mergeCell ref="G48:H48"/>
    <mergeCell ref="G35:H35"/>
    <mergeCell ref="B22:D22"/>
    <mergeCell ref="B23:D23"/>
    <mergeCell ref="B24:D24"/>
    <mergeCell ref="B25:D25"/>
    <mergeCell ref="B26:D26"/>
    <mergeCell ref="B29:J29"/>
    <mergeCell ref="G30:H30"/>
    <mergeCell ref="G31:H31"/>
    <mergeCell ref="G32:H32"/>
    <mergeCell ref="G33:H33"/>
    <mergeCell ref="G34:H34"/>
    <mergeCell ref="B21:D21"/>
    <mergeCell ref="B11:J11"/>
    <mergeCell ref="B13:J13"/>
    <mergeCell ref="B14:D14"/>
    <mergeCell ref="G14:H14"/>
    <mergeCell ref="B15:D15"/>
    <mergeCell ref="G15:H15"/>
    <mergeCell ref="B16:D16"/>
    <mergeCell ref="G16:H16"/>
    <mergeCell ref="B17:D17"/>
    <mergeCell ref="G17:H17"/>
    <mergeCell ref="B20:J20"/>
    <mergeCell ref="B3:D5"/>
    <mergeCell ref="E3:J5"/>
    <mergeCell ref="B7:J7"/>
    <mergeCell ref="B8:J8"/>
    <mergeCell ref="B9:E9"/>
    <mergeCell ref="F9:J9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B86CB-E2DE-4D27-81FB-FEF5F4DEA3A2}">
  <dimension ref="A1:L59"/>
  <sheetViews>
    <sheetView topLeftCell="D33" workbookViewId="0">
      <selection activeCell="G43" sqref="G43"/>
    </sheetView>
  </sheetViews>
  <sheetFormatPr baseColWidth="10" defaultColWidth="11.44140625" defaultRowHeight="10.199999999999999" x14ac:dyDescent="0.2"/>
  <cols>
    <col min="1" max="1" width="1.44140625" style="84" customWidth="1"/>
    <col min="2" max="3" width="11.44140625" style="84"/>
    <col min="4" max="4" width="14.44140625" style="84" bestFit="1" customWidth="1"/>
    <col min="5" max="5" width="13.5546875" style="84" bestFit="1" customWidth="1"/>
    <col min="6" max="7" width="12.109375" style="84" customWidth="1"/>
    <col min="8" max="8" width="7.6640625" style="84" customWidth="1"/>
    <col min="9" max="9" width="13.5546875" style="84" bestFit="1" customWidth="1"/>
    <col min="10" max="10" width="19.44140625" style="137" bestFit="1" customWidth="1"/>
    <col min="11" max="11" width="1.44140625" style="84" customWidth="1"/>
    <col min="12" max="12" width="12" style="84" bestFit="1" customWidth="1"/>
    <col min="13" max="16384" width="11.44140625" style="84"/>
  </cols>
  <sheetData>
    <row r="1" spans="1:11" ht="10.8" thickBot="1" x14ac:dyDescent="0.25"/>
    <row r="2" spans="1:11" ht="6.75" customHeight="1" thickBot="1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40"/>
      <c r="K2" s="141"/>
    </row>
    <row r="3" spans="1:11" x14ac:dyDescent="0.2">
      <c r="A3" s="142"/>
      <c r="B3" s="296"/>
      <c r="C3" s="297"/>
      <c r="D3" s="298"/>
      <c r="E3" s="305" t="s">
        <v>59</v>
      </c>
      <c r="F3" s="306"/>
      <c r="G3" s="306"/>
      <c r="H3" s="306"/>
      <c r="I3" s="306"/>
      <c r="J3" s="307"/>
      <c r="K3" s="144"/>
    </row>
    <row r="4" spans="1:11" x14ac:dyDescent="0.2">
      <c r="A4" s="142"/>
      <c r="B4" s="299"/>
      <c r="C4" s="300"/>
      <c r="D4" s="301"/>
      <c r="E4" s="308"/>
      <c r="F4" s="309"/>
      <c r="G4" s="309"/>
      <c r="H4" s="309"/>
      <c r="I4" s="309"/>
      <c r="J4" s="310"/>
      <c r="K4" s="144"/>
    </row>
    <row r="5" spans="1:11" ht="10.8" thickBot="1" x14ac:dyDescent="0.25">
      <c r="A5" s="142"/>
      <c r="B5" s="302"/>
      <c r="C5" s="303"/>
      <c r="D5" s="304"/>
      <c r="E5" s="311"/>
      <c r="F5" s="312"/>
      <c r="G5" s="312"/>
      <c r="H5" s="312"/>
      <c r="I5" s="312"/>
      <c r="J5" s="313"/>
      <c r="K5" s="144"/>
    </row>
    <row r="6" spans="1:11" ht="6" customHeight="1" thickBot="1" x14ac:dyDescent="0.25">
      <c r="A6" s="142"/>
      <c r="B6" s="145"/>
      <c r="C6" s="146"/>
      <c r="D6" s="9"/>
      <c r="E6" s="146"/>
      <c r="F6" s="146"/>
      <c r="G6" s="146"/>
      <c r="H6" s="146"/>
      <c r="I6" s="146"/>
      <c r="J6" s="147"/>
      <c r="K6" s="144"/>
    </row>
    <row r="7" spans="1:11" x14ac:dyDescent="0.2">
      <c r="A7" s="142"/>
      <c r="B7" s="400" t="s">
        <v>201</v>
      </c>
      <c r="C7" s="401"/>
      <c r="D7" s="401"/>
      <c r="E7" s="401"/>
      <c r="F7" s="401"/>
      <c r="G7" s="401"/>
      <c r="H7" s="401"/>
      <c r="I7" s="401"/>
      <c r="J7" s="402"/>
      <c r="K7" s="144"/>
    </row>
    <row r="8" spans="1:11" ht="10.8" thickBot="1" x14ac:dyDescent="0.25">
      <c r="A8" s="142"/>
      <c r="B8" s="317"/>
      <c r="C8" s="318"/>
      <c r="D8" s="318"/>
      <c r="E8" s="318"/>
      <c r="F8" s="318"/>
      <c r="G8" s="318"/>
      <c r="H8" s="318"/>
      <c r="I8" s="318"/>
      <c r="J8" s="319"/>
      <c r="K8" s="144"/>
    </row>
    <row r="9" spans="1:11" ht="26.25" customHeight="1" thickBot="1" x14ac:dyDescent="0.25">
      <c r="A9" s="142"/>
      <c r="B9" s="383" t="s">
        <v>208</v>
      </c>
      <c r="C9" s="384"/>
      <c r="D9" s="384"/>
      <c r="E9" s="385"/>
      <c r="F9" s="403" t="s">
        <v>130</v>
      </c>
      <c r="G9" s="404"/>
      <c r="H9" s="405"/>
      <c r="I9" s="405"/>
      <c r="J9" s="406"/>
      <c r="K9" s="144"/>
    </row>
    <row r="10" spans="1:11" ht="6" customHeight="1" thickBot="1" x14ac:dyDescent="0.25">
      <c r="A10" s="142"/>
      <c r="B10" s="148"/>
      <c r="C10" s="148"/>
      <c r="D10" s="146"/>
      <c r="E10" s="148"/>
      <c r="F10" s="148"/>
      <c r="G10" s="148"/>
      <c r="H10" s="148"/>
      <c r="I10" s="148"/>
      <c r="J10" s="147"/>
      <c r="K10" s="144"/>
    </row>
    <row r="11" spans="1:11" ht="16.5" customHeight="1" thickBot="1" x14ac:dyDescent="0.25">
      <c r="A11" s="142"/>
      <c r="B11" s="327" t="s">
        <v>61</v>
      </c>
      <c r="C11" s="328"/>
      <c r="D11" s="328"/>
      <c r="E11" s="328"/>
      <c r="F11" s="328"/>
      <c r="G11" s="328"/>
      <c r="H11" s="328"/>
      <c r="I11" s="328"/>
      <c r="J11" s="329"/>
      <c r="K11" s="144"/>
    </row>
    <row r="12" spans="1:11" ht="6" customHeight="1" thickBot="1" x14ac:dyDescent="0.25">
      <c r="A12" s="142"/>
      <c r="B12" s="148"/>
      <c r="C12" s="148"/>
      <c r="D12" s="146"/>
      <c r="E12" s="148"/>
      <c r="F12" s="148"/>
      <c r="G12" s="148"/>
      <c r="H12" s="148"/>
      <c r="I12" s="148"/>
      <c r="J12" s="147"/>
      <c r="K12" s="144"/>
    </row>
    <row r="13" spans="1:11" ht="10.8" thickBot="1" x14ac:dyDescent="0.25">
      <c r="A13" s="142"/>
      <c r="B13" s="327" t="s">
        <v>62</v>
      </c>
      <c r="C13" s="328"/>
      <c r="D13" s="328"/>
      <c r="E13" s="328"/>
      <c r="F13" s="328"/>
      <c r="G13" s="328"/>
      <c r="H13" s="328"/>
      <c r="I13" s="328"/>
      <c r="J13" s="329"/>
      <c r="K13" s="144"/>
    </row>
    <row r="14" spans="1:11" ht="10.8" thickBot="1" x14ac:dyDescent="0.25">
      <c r="A14" s="142"/>
      <c r="B14" s="330" t="s">
        <v>63</v>
      </c>
      <c r="C14" s="331"/>
      <c r="D14" s="332"/>
      <c r="E14" s="150" t="s">
        <v>64</v>
      </c>
      <c r="F14" s="151" t="s">
        <v>65</v>
      </c>
      <c r="G14" s="330" t="s">
        <v>66</v>
      </c>
      <c r="H14" s="332"/>
      <c r="I14" s="149" t="s">
        <v>67</v>
      </c>
      <c r="J14" s="152" t="s">
        <v>68</v>
      </c>
      <c r="K14" s="144"/>
    </row>
    <row r="15" spans="1:11" x14ac:dyDescent="0.2">
      <c r="A15" s="142"/>
      <c r="B15" s="419" t="s">
        <v>131</v>
      </c>
      <c r="C15" s="420"/>
      <c r="D15" s="421"/>
      <c r="E15" s="247"/>
      <c r="F15" s="248">
        <v>120000</v>
      </c>
      <c r="G15" s="422">
        <v>30</v>
      </c>
      <c r="H15" s="423"/>
      <c r="I15" s="249">
        <f>+F15/G15</f>
        <v>4000</v>
      </c>
      <c r="J15" s="250">
        <f>+I15</f>
        <v>4000</v>
      </c>
      <c r="K15" s="144"/>
    </row>
    <row r="16" spans="1:11" x14ac:dyDescent="0.2">
      <c r="A16" s="142"/>
      <c r="B16" s="333" t="s">
        <v>69</v>
      </c>
      <c r="C16" s="334"/>
      <c r="D16" s="335"/>
      <c r="E16" s="153"/>
      <c r="F16" s="153"/>
      <c r="G16" s="424"/>
      <c r="H16" s="425"/>
      <c r="I16" s="154">
        <v>854.17</v>
      </c>
      <c r="J16" s="155">
        <f t="shared" ref="J16" si="0">+I16</f>
        <v>854.17</v>
      </c>
      <c r="K16" s="144"/>
    </row>
    <row r="17" spans="1:12" ht="10.8" thickBot="1" x14ac:dyDescent="0.25">
      <c r="A17" s="142"/>
      <c r="B17" s="340"/>
      <c r="C17" s="341"/>
      <c r="D17" s="342"/>
      <c r="E17" s="156"/>
      <c r="F17" s="156"/>
      <c r="G17" s="426"/>
      <c r="H17" s="427"/>
      <c r="I17" s="239"/>
      <c r="J17" s="158"/>
      <c r="K17" s="144"/>
    </row>
    <row r="18" spans="1:12" ht="10.8" thickBot="1" x14ac:dyDescent="0.25">
      <c r="A18" s="142"/>
      <c r="B18" s="146"/>
      <c r="C18" s="146"/>
      <c r="D18" s="146"/>
      <c r="E18" s="146"/>
      <c r="F18" s="146"/>
      <c r="G18" s="146"/>
      <c r="H18" s="146"/>
      <c r="I18" s="159" t="s">
        <v>70</v>
      </c>
      <c r="J18" s="160">
        <f>SUM(J15:J17)</f>
        <v>4854.17</v>
      </c>
      <c r="K18" s="144"/>
    </row>
    <row r="19" spans="1:12" ht="6" customHeight="1" thickBot="1" x14ac:dyDescent="0.25">
      <c r="A19" s="142"/>
      <c r="B19" s="146"/>
      <c r="C19" s="146"/>
      <c r="D19" s="146"/>
      <c r="E19" s="146"/>
      <c r="F19" s="146"/>
      <c r="G19" s="146"/>
      <c r="H19" s="146"/>
      <c r="I19" s="159"/>
      <c r="J19" s="161"/>
      <c r="K19" s="144"/>
    </row>
    <row r="20" spans="1:12" ht="10.8" thickBot="1" x14ac:dyDescent="0.25">
      <c r="A20" s="142"/>
      <c r="B20" s="327" t="s">
        <v>71</v>
      </c>
      <c r="C20" s="328"/>
      <c r="D20" s="328"/>
      <c r="E20" s="328"/>
      <c r="F20" s="328"/>
      <c r="G20" s="328"/>
      <c r="H20" s="328"/>
      <c r="I20" s="328"/>
      <c r="J20" s="329"/>
      <c r="K20" s="144"/>
    </row>
    <row r="21" spans="1:12" ht="10.8" thickBot="1" x14ac:dyDescent="0.25">
      <c r="A21" s="142"/>
      <c r="B21" s="330" t="s">
        <v>63</v>
      </c>
      <c r="C21" s="331"/>
      <c r="D21" s="332"/>
      <c r="E21" s="150" t="s">
        <v>1</v>
      </c>
      <c r="F21" s="150" t="s">
        <v>72</v>
      </c>
      <c r="G21" s="150" t="s">
        <v>73</v>
      </c>
      <c r="H21" s="143" t="s">
        <v>74</v>
      </c>
      <c r="I21" s="149" t="s">
        <v>67</v>
      </c>
      <c r="J21" s="152" t="s">
        <v>68</v>
      </c>
      <c r="K21" s="144"/>
    </row>
    <row r="22" spans="1:12" x14ac:dyDescent="0.2">
      <c r="A22" s="142"/>
      <c r="B22" s="345" t="s">
        <v>128</v>
      </c>
      <c r="C22" s="346"/>
      <c r="D22" s="347"/>
      <c r="E22" s="162" t="s">
        <v>121</v>
      </c>
      <c r="F22" s="163">
        <f>0.2*0.2*1</f>
        <v>4.0000000000000008E-2</v>
      </c>
      <c r="G22" s="164">
        <v>335672.5</v>
      </c>
      <c r="H22" s="169">
        <v>0.03</v>
      </c>
      <c r="I22" s="164">
        <f>+((F22*H22)+F22)*G22</f>
        <v>13829.707000000002</v>
      </c>
      <c r="J22" s="166">
        <f>+I22</f>
        <v>13829.707000000002</v>
      </c>
      <c r="K22" s="144"/>
      <c r="L22" s="164"/>
    </row>
    <row r="23" spans="1:12" x14ac:dyDescent="0.2">
      <c r="A23" s="142"/>
      <c r="B23" s="333" t="s">
        <v>132</v>
      </c>
      <c r="C23" s="334"/>
      <c r="D23" s="335"/>
      <c r="E23" s="153" t="s">
        <v>103</v>
      </c>
      <c r="F23" s="167">
        <v>0.5</v>
      </c>
      <c r="G23" s="168">
        <v>134014.5</v>
      </c>
      <c r="H23" s="169">
        <v>0.03</v>
      </c>
      <c r="I23" s="251">
        <f>+((F23*H23)+F23)*G23</f>
        <v>69017.467499999999</v>
      </c>
      <c r="J23" s="158">
        <f>+I23</f>
        <v>69017.467499999999</v>
      </c>
      <c r="K23" s="144"/>
      <c r="L23" s="171"/>
    </row>
    <row r="24" spans="1:12" x14ac:dyDescent="0.2">
      <c r="A24" s="142"/>
      <c r="B24" s="333" t="s">
        <v>129</v>
      </c>
      <c r="C24" s="334"/>
      <c r="D24" s="335"/>
      <c r="E24" s="153" t="s">
        <v>133</v>
      </c>
      <c r="F24" s="167">
        <v>8.06</v>
      </c>
      <c r="G24" s="168">
        <v>4904.1099999999997</v>
      </c>
      <c r="H24" s="252">
        <v>0.03</v>
      </c>
      <c r="I24" s="170">
        <f>+((F24*H24)+F24)*G24</f>
        <v>40712.940397999999</v>
      </c>
      <c r="J24" s="155">
        <f>+I24</f>
        <v>40712.940397999999</v>
      </c>
      <c r="K24" s="144"/>
      <c r="L24" s="171"/>
    </row>
    <row r="25" spans="1:12" x14ac:dyDescent="0.2">
      <c r="A25" s="142"/>
      <c r="B25" s="333"/>
      <c r="C25" s="334"/>
      <c r="D25" s="335"/>
      <c r="E25" s="153"/>
      <c r="F25" s="167"/>
      <c r="G25" s="168"/>
      <c r="H25" s="169"/>
      <c r="I25" s="170"/>
      <c r="J25" s="155">
        <f t="shared" ref="J25:J26" si="1">+I25</f>
        <v>0</v>
      </c>
      <c r="K25" s="144"/>
    </row>
    <row r="26" spans="1:12" ht="10.8" thickBot="1" x14ac:dyDescent="0.25">
      <c r="A26" s="142"/>
      <c r="B26" s="348"/>
      <c r="C26" s="349"/>
      <c r="D26" s="350"/>
      <c r="E26" s="172"/>
      <c r="F26" s="173"/>
      <c r="G26" s="174"/>
      <c r="H26" s="175"/>
      <c r="I26" s="176"/>
      <c r="J26" s="177">
        <f t="shared" si="1"/>
        <v>0</v>
      </c>
      <c r="K26" s="144"/>
    </row>
    <row r="27" spans="1:12" ht="10.8" thickBot="1" x14ac:dyDescent="0.25">
      <c r="A27" s="142"/>
      <c r="B27" s="146"/>
      <c r="C27" s="146"/>
      <c r="D27" s="146"/>
      <c r="E27" s="146"/>
      <c r="F27" s="146"/>
      <c r="G27" s="146"/>
      <c r="H27" s="146"/>
      <c r="I27" s="159" t="s">
        <v>70</v>
      </c>
      <c r="J27" s="178">
        <f>SUM(J22:J26)</f>
        <v>123560.114898</v>
      </c>
      <c r="K27" s="144"/>
    </row>
    <row r="28" spans="1:12" ht="6" customHeight="1" thickBot="1" x14ac:dyDescent="0.25">
      <c r="A28" s="142"/>
      <c r="B28" s="146"/>
      <c r="C28" s="146"/>
      <c r="D28" s="146"/>
      <c r="E28" s="146"/>
      <c r="F28" s="146"/>
      <c r="G28" s="146"/>
      <c r="H28" s="146"/>
      <c r="I28" s="159"/>
      <c r="J28" s="161"/>
      <c r="K28" s="144"/>
    </row>
    <row r="29" spans="1:12" ht="10.8" thickBot="1" x14ac:dyDescent="0.25">
      <c r="A29" s="142"/>
      <c r="B29" s="327" t="s">
        <v>75</v>
      </c>
      <c r="C29" s="328"/>
      <c r="D29" s="328"/>
      <c r="E29" s="328"/>
      <c r="F29" s="328"/>
      <c r="G29" s="328"/>
      <c r="H29" s="328"/>
      <c r="I29" s="328"/>
      <c r="J29" s="329"/>
      <c r="K29" s="144"/>
    </row>
    <row r="30" spans="1:12" ht="10.8" thickBot="1" x14ac:dyDescent="0.25">
      <c r="A30" s="142"/>
      <c r="B30" s="150" t="s">
        <v>76</v>
      </c>
      <c r="C30" s="150" t="s">
        <v>1</v>
      </c>
      <c r="D30" s="150" t="s">
        <v>77</v>
      </c>
      <c r="E30" s="150" t="s">
        <v>78</v>
      </c>
      <c r="F30" s="150" t="s">
        <v>79</v>
      </c>
      <c r="G30" s="330" t="s">
        <v>80</v>
      </c>
      <c r="H30" s="332"/>
      <c r="I30" s="143" t="s">
        <v>67</v>
      </c>
      <c r="J30" s="152" t="s">
        <v>68</v>
      </c>
      <c r="K30" s="144"/>
    </row>
    <row r="31" spans="1:12" x14ac:dyDescent="0.2">
      <c r="A31" s="142"/>
      <c r="B31" s="179"/>
      <c r="C31" s="180"/>
      <c r="D31" s="181"/>
      <c r="E31" s="181"/>
      <c r="F31" s="182"/>
      <c r="G31" s="338"/>
      <c r="H31" s="339"/>
      <c r="I31" s="182"/>
      <c r="J31" s="166"/>
      <c r="K31" s="144"/>
    </row>
    <row r="32" spans="1:12" x14ac:dyDescent="0.2">
      <c r="A32" s="142"/>
      <c r="B32" s="183"/>
      <c r="C32" s="184"/>
      <c r="D32" s="185"/>
      <c r="E32" s="185"/>
      <c r="F32" s="186"/>
      <c r="G32" s="351"/>
      <c r="H32" s="352"/>
      <c r="I32" s="186"/>
      <c r="J32" s="155"/>
      <c r="K32" s="144"/>
    </row>
    <row r="33" spans="1:11" x14ac:dyDescent="0.2">
      <c r="A33" s="142"/>
      <c r="B33" s="183"/>
      <c r="C33" s="184"/>
      <c r="D33" s="185"/>
      <c r="E33" s="185"/>
      <c r="F33" s="186"/>
      <c r="G33" s="351"/>
      <c r="H33" s="352"/>
      <c r="I33" s="186"/>
      <c r="J33" s="155"/>
      <c r="K33" s="144"/>
    </row>
    <row r="34" spans="1:11" x14ac:dyDescent="0.2">
      <c r="A34" s="142"/>
      <c r="B34" s="187"/>
      <c r="C34" s="188"/>
      <c r="D34" s="189"/>
      <c r="E34" s="189"/>
      <c r="F34" s="186"/>
      <c r="G34" s="351"/>
      <c r="H34" s="352"/>
      <c r="I34" s="186"/>
      <c r="J34" s="155"/>
      <c r="K34" s="144"/>
    </row>
    <row r="35" spans="1:11" ht="10.8" thickBot="1" x14ac:dyDescent="0.25">
      <c r="A35" s="142"/>
      <c r="B35" s="190"/>
      <c r="C35" s="191"/>
      <c r="D35" s="192"/>
      <c r="E35" s="193"/>
      <c r="F35" s="194" t="s">
        <v>81</v>
      </c>
      <c r="G35" s="353" t="s">
        <v>81</v>
      </c>
      <c r="H35" s="354"/>
      <c r="I35" s="194" t="s">
        <v>81</v>
      </c>
      <c r="J35" s="177"/>
      <c r="K35" s="144"/>
    </row>
    <row r="36" spans="1:11" ht="10.8" thickBot="1" x14ac:dyDescent="0.25">
      <c r="A36" s="142"/>
      <c r="B36" s="146"/>
      <c r="C36" s="146"/>
      <c r="D36" s="146"/>
      <c r="E36" s="146"/>
      <c r="F36" s="146"/>
      <c r="G36" s="146"/>
      <c r="H36" s="146"/>
      <c r="I36" s="159" t="s">
        <v>70</v>
      </c>
      <c r="J36" s="160">
        <f>SUM(J31:J35)</f>
        <v>0</v>
      </c>
      <c r="K36" s="144"/>
    </row>
    <row r="37" spans="1:11" ht="6" customHeight="1" thickBot="1" x14ac:dyDescent="0.25">
      <c r="A37" s="142"/>
      <c r="B37" s="146"/>
      <c r="C37" s="146"/>
      <c r="D37" s="146"/>
      <c r="E37" s="146"/>
      <c r="F37" s="146"/>
      <c r="G37" s="146"/>
      <c r="H37" s="146"/>
      <c r="I37" s="159"/>
      <c r="J37" s="161"/>
      <c r="K37" s="144"/>
    </row>
    <row r="38" spans="1:11" ht="10.8" thickBot="1" x14ac:dyDescent="0.25">
      <c r="A38" s="142"/>
      <c r="B38" s="327" t="s">
        <v>82</v>
      </c>
      <c r="C38" s="328"/>
      <c r="D38" s="328"/>
      <c r="E38" s="328"/>
      <c r="F38" s="328"/>
      <c r="G38" s="328"/>
      <c r="H38" s="328"/>
      <c r="I38" s="328"/>
      <c r="J38" s="329"/>
      <c r="K38" s="144"/>
    </row>
    <row r="39" spans="1:11" ht="10.8" thickBot="1" x14ac:dyDescent="0.25">
      <c r="A39" s="142"/>
      <c r="B39" s="330" t="s">
        <v>83</v>
      </c>
      <c r="C39" s="332"/>
      <c r="D39" s="150" t="s">
        <v>84</v>
      </c>
      <c r="E39" s="150" t="s">
        <v>85</v>
      </c>
      <c r="F39" s="151" t="s">
        <v>86</v>
      </c>
      <c r="G39" s="330" t="s">
        <v>66</v>
      </c>
      <c r="H39" s="332"/>
      <c r="I39" s="150" t="s">
        <v>67</v>
      </c>
      <c r="J39" s="152" t="s">
        <v>68</v>
      </c>
      <c r="K39" s="144"/>
    </row>
    <row r="40" spans="1:11" x14ac:dyDescent="0.2">
      <c r="A40" s="142"/>
      <c r="B40" s="417" t="s">
        <v>87</v>
      </c>
      <c r="C40" s="418"/>
      <c r="D40" s="195">
        <v>65000</v>
      </c>
      <c r="E40" s="165">
        <v>0.25</v>
      </c>
      <c r="F40" s="196">
        <f>+(D40*E40)+D40</f>
        <v>81250</v>
      </c>
      <c r="G40" s="357">
        <v>30</v>
      </c>
      <c r="H40" s="358"/>
      <c r="I40" s="196">
        <f>+F40/G40</f>
        <v>2708.3333333333335</v>
      </c>
      <c r="J40" s="158">
        <f>+I40</f>
        <v>2708.3333333333335</v>
      </c>
      <c r="K40" s="144"/>
    </row>
    <row r="41" spans="1:11" ht="10.8" thickBot="1" x14ac:dyDescent="0.25">
      <c r="A41" s="142"/>
      <c r="B41" s="359" t="s">
        <v>88</v>
      </c>
      <c r="C41" s="360"/>
      <c r="D41" s="197">
        <v>140000</v>
      </c>
      <c r="E41" s="198">
        <v>0.25</v>
      </c>
      <c r="F41" s="199">
        <f>+(D41*E41)+D41</f>
        <v>175000</v>
      </c>
      <c r="G41" s="361">
        <v>30</v>
      </c>
      <c r="H41" s="362"/>
      <c r="I41" s="199">
        <f>+F41/G41</f>
        <v>5833.333333333333</v>
      </c>
      <c r="J41" s="177">
        <f>+I41</f>
        <v>5833.333333333333</v>
      </c>
      <c r="K41" s="144"/>
    </row>
    <row r="42" spans="1:11" ht="10.8" thickBot="1" x14ac:dyDescent="0.25">
      <c r="A42" s="142"/>
      <c r="B42" s="146"/>
      <c r="C42" s="146"/>
      <c r="D42" s="146"/>
      <c r="E42" s="146"/>
      <c r="F42" s="146"/>
      <c r="G42" s="146"/>
      <c r="H42" s="146"/>
      <c r="I42" s="159" t="s">
        <v>70</v>
      </c>
      <c r="J42" s="160">
        <f>SUM(J40:J41)</f>
        <v>8541.6666666666661</v>
      </c>
      <c r="K42" s="144"/>
    </row>
    <row r="43" spans="1:11" ht="6" customHeight="1" thickBot="1" x14ac:dyDescent="0.25">
      <c r="A43" s="142"/>
      <c r="B43" s="146"/>
      <c r="C43" s="146"/>
      <c r="D43" s="146"/>
      <c r="E43" s="146"/>
      <c r="F43" s="146"/>
      <c r="G43" s="146"/>
      <c r="H43" s="146"/>
      <c r="I43" s="200"/>
      <c r="J43" s="147"/>
      <c r="K43" s="144"/>
    </row>
    <row r="44" spans="1:11" ht="10.8" thickBot="1" x14ac:dyDescent="0.25">
      <c r="A44" s="142"/>
      <c r="C44" s="148"/>
      <c r="D44" s="148"/>
      <c r="E44" s="148"/>
      <c r="F44" s="148"/>
      <c r="G44" s="363" t="s">
        <v>89</v>
      </c>
      <c r="H44" s="363"/>
      <c r="I44" s="364"/>
      <c r="J44" s="152">
        <f>SUM(J42,J36,J27,J18)</f>
        <v>136955.95156466667</v>
      </c>
      <c r="K44" s="144"/>
    </row>
    <row r="45" spans="1:11" ht="6" customHeight="1" thickBot="1" x14ac:dyDescent="0.25">
      <c r="A45" s="142"/>
      <c r="J45" s="201"/>
      <c r="K45" s="144"/>
    </row>
    <row r="46" spans="1:11" ht="10.8" thickBot="1" x14ac:dyDescent="0.25">
      <c r="A46" s="142"/>
      <c r="B46" s="327" t="s">
        <v>90</v>
      </c>
      <c r="C46" s="328"/>
      <c r="D46" s="328"/>
      <c r="E46" s="328"/>
      <c r="F46" s="328"/>
      <c r="G46" s="328"/>
      <c r="H46" s="328"/>
      <c r="I46" s="328"/>
      <c r="J46" s="329"/>
      <c r="K46" s="144"/>
    </row>
    <row r="47" spans="1:11" ht="6" customHeight="1" thickBot="1" x14ac:dyDescent="0.25">
      <c r="A47" s="142"/>
      <c r="J47" s="201"/>
      <c r="K47" s="144"/>
    </row>
    <row r="48" spans="1:11" ht="10.8" thickBot="1" x14ac:dyDescent="0.25">
      <c r="A48" s="142"/>
      <c r="B48" s="202" t="s">
        <v>91</v>
      </c>
      <c r="C48" s="365" t="s">
        <v>92</v>
      </c>
      <c r="D48" s="366"/>
      <c r="E48" s="365" t="s">
        <v>93</v>
      </c>
      <c r="F48" s="366"/>
      <c r="G48" s="367" t="s">
        <v>94</v>
      </c>
      <c r="H48" s="368"/>
      <c r="I48" s="203" t="s">
        <v>95</v>
      </c>
      <c r="J48" s="204" t="s">
        <v>96</v>
      </c>
      <c r="K48" s="144"/>
    </row>
    <row r="49" spans="1:11" ht="6" customHeight="1" thickBot="1" x14ac:dyDescent="0.25">
      <c r="A49" s="142"/>
      <c r="B49" s="205"/>
      <c r="C49" s="205"/>
      <c r="D49" s="205"/>
      <c r="E49" s="205"/>
      <c r="F49" s="205"/>
      <c r="J49" s="201"/>
      <c r="K49" s="144"/>
    </row>
    <row r="50" spans="1:11" ht="10.8" thickBot="1" x14ac:dyDescent="0.25">
      <c r="A50" s="142"/>
      <c r="B50" s="206"/>
      <c r="C50" s="369"/>
      <c r="D50" s="368"/>
      <c r="E50" s="369"/>
      <c r="F50" s="368"/>
      <c r="G50" s="367" t="s">
        <v>97</v>
      </c>
      <c r="H50" s="368"/>
      <c r="I50" s="207"/>
      <c r="J50" s="208">
        <f>+I50*J44</f>
        <v>0</v>
      </c>
      <c r="K50" s="144"/>
    </row>
    <row r="51" spans="1:11" ht="10.8" thickBot="1" x14ac:dyDescent="0.25">
      <c r="A51" s="142"/>
      <c r="B51" s="205"/>
      <c r="C51" s="205"/>
      <c r="D51" s="205"/>
      <c r="E51" s="205"/>
      <c r="F51" s="205"/>
      <c r="I51" s="209"/>
      <c r="J51" s="201"/>
      <c r="K51" s="144"/>
    </row>
    <row r="52" spans="1:11" ht="10.8" thickBot="1" x14ac:dyDescent="0.25">
      <c r="A52" s="142"/>
      <c r="B52" s="370" t="s">
        <v>98</v>
      </c>
      <c r="C52" s="371"/>
      <c r="D52" s="371"/>
      <c r="E52" s="371"/>
      <c r="F52" s="372"/>
      <c r="G52" s="367" t="s">
        <v>99</v>
      </c>
      <c r="H52" s="368"/>
      <c r="I52" s="207"/>
      <c r="J52" s="208">
        <f>+I52*J44</f>
        <v>0</v>
      </c>
      <c r="K52" s="144"/>
    </row>
    <row r="53" spans="1:11" ht="10.8" thickBot="1" x14ac:dyDescent="0.25">
      <c r="A53" s="142"/>
      <c r="B53" s="373"/>
      <c r="C53" s="374"/>
      <c r="D53" s="374"/>
      <c r="E53" s="374"/>
      <c r="F53" s="375"/>
      <c r="I53" s="209"/>
      <c r="J53" s="201"/>
      <c r="K53" s="144"/>
    </row>
    <row r="54" spans="1:11" ht="10.8" thickBot="1" x14ac:dyDescent="0.25">
      <c r="A54" s="142"/>
      <c r="B54" s="373"/>
      <c r="C54" s="374"/>
      <c r="D54" s="374"/>
      <c r="E54" s="374"/>
      <c r="F54" s="375"/>
      <c r="G54" s="367" t="s">
        <v>100</v>
      </c>
      <c r="H54" s="368"/>
      <c r="I54" s="207"/>
      <c r="J54" s="208">
        <f>+I54*J44</f>
        <v>0</v>
      </c>
      <c r="K54" s="144"/>
    </row>
    <row r="55" spans="1:11" ht="6" customHeight="1" thickBot="1" x14ac:dyDescent="0.25">
      <c r="A55" s="142"/>
      <c r="B55" s="373"/>
      <c r="C55" s="374"/>
      <c r="D55" s="374"/>
      <c r="E55" s="374"/>
      <c r="F55" s="375"/>
      <c r="J55" s="201"/>
      <c r="K55" s="144"/>
    </row>
    <row r="56" spans="1:11" ht="10.8" thickBot="1" x14ac:dyDescent="0.25">
      <c r="A56" s="142"/>
      <c r="B56" s="373"/>
      <c r="C56" s="374"/>
      <c r="D56" s="374"/>
      <c r="E56" s="374"/>
      <c r="F56" s="375"/>
      <c r="G56" s="367" t="s">
        <v>101</v>
      </c>
      <c r="H56" s="367"/>
      <c r="I56" s="368"/>
      <c r="J56" s="211">
        <f>SUM(J50,J52,J54)</f>
        <v>0</v>
      </c>
      <c r="K56" s="144"/>
    </row>
    <row r="57" spans="1:11" ht="6" customHeight="1" thickBot="1" x14ac:dyDescent="0.25">
      <c r="A57" s="142"/>
      <c r="B57" s="373"/>
      <c r="C57" s="374"/>
      <c r="D57" s="374"/>
      <c r="E57" s="374"/>
      <c r="F57" s="375"/>
      <c r="J57" s="201"/>
      <c r="K57" s="144"/>
    </row>
    <row r="58" spans="1:11" ht="18.75" customHeight="1" thickBot="1" x14ac:dyDescent="0.25">
      <c r="A58" s="142"/>
      <c r="B58" s="376"/>
      <c r="C58" s="377"/>
      <c r="D58" s="377"/>
      <c r="E58" s="377"/>
      <c r="F58" s="378"/>
      <c r="G58" s="379" t="s">
        <v>54</v>
      </c>
      <c r="H58" s="379"/>
      <c r="I58" s="380"/>
      <c r="J58" s="212">
        <f>+J56+J44</f>
        <v>136955.95156466667</v>
      </c>
      <c r="K58" s="144"/>
    </row>
    <row r="59" spans="1:11" ht="6" customHeight="1" thickBot="1" x14ac:dyDescent="0.25">
      <c r="A59" s="213"/>
      <c r="B59" s="214"/>
      <c r="C59" s="214"/>
      <c r="D59" s="214"/>
      <c r="E59" s="214"/>
      <c r="F59" s="214"/>
      <c r="G59" s="214"/>
      <c r="H59" s="214"/>
      <c r="I59" s="214"/>
      <c r="J59" s="215"/>
      <c r="K59" s="216"/>
    </row>
  </sheetData>
  <mergeCells count="50">
    <mergeCell ref="B52:F58"/>
    <mergeCell ref="G52:H52"/>
    <mergeCell ref="G54:H54"/>
    <mergeCell ref="G56:I56"/>
    <mergeCell ref="G58:I58"/>
    <mergeCell ref="C50:D50"/>
    <mergeCell ref="E50:F50"/>
    <mergeCell ref="G50:H50"/>
    <mergeCell ref="B38:J38"/>
    <mergeCell ref="B39:C39"/>
    <mergeCell ref="G39:H39"/>
    <mergeCell ref="B40:C40"/>
    <mergeCell ref="G40:H40"/>
    <mergeCell ref="B41:C41"/>
    <mergeCell ref="G41:H41"/>
    <mergeCell ref="G44:I44"/>
    <mergeCell ref="B46:J46"/>
    <mergeCell ref="C48:D48"/>
    <mergeCell ref="E48:F48"/>
    <mergeCell ref="G48:H48"/>
    <mergeCell ref="G35:H35"/>
    <mergeCell ref="B22:D22"/>
    <mergeCell ref="B23:D23"/>
    <mergeCell ref="B24:D24"/>
    <mergeCell ref="B25:D25"/>
    <mergeCell ref="B26:D26"/>
    <mergeCell ref="B29:J29"/>
    <mergeCell ref="G30:H30"/>
    <mergeCell ref="G31:H31"/>
    <mergeCell ref="G32:H32"/>
    <mergeCell ref="G33:H33"/>
    <mergeCell ref="G34:H34"/>
    <mergeCell ref="B21:D21"/>
    <mergeCell ref="B11:J11"/>
    <mergeCell ref="B13:J13"/>
    <mergeCell ref="B14:D14"/>
    <mergeCell ref="G14:H14"/>
    <mergeCell ref="B15:D15"/>
    <mergeCell ref="G15:H15"/>
    <mergeCell ref="B16:D16"/>
    <mergeCell ref="G16:H16"/>
    <mergeCell ref="B17:D17"/>
    <mergeCell ref="G17:H17"/>
    <mergeCell ref="B20:J20"/>
    <mergeCell ref="B3:D5"/>
    <mergeCell ref="E3:J5"/>
    <mergeCell ref="B7:J7"/>
    <mergeCell ref="B8:J8"/>
    <mergeCell ref="B9:E9"/>
    <mergeCell ref="F9:J9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65290-BE45-45E9-AED7-4BDFEFF3914F}">
  <dimension ref="A1:L59"/>
  <sheetViews>
    <sheetView workbookViewId="0">
      <selection activeCell="G25" sqref="G25"/>
    </sheetView>
  </sheetViews>
  <sheetFormatPr baseColWidth="10" defaultColWidth="11.44140625" defaultRowHeight="10.199999999999999" x14ac:dyDescent="0.2"/>
  <cols>
    <col min="1" max="1" width="1.44140625" style="84" customWidth="1"/>
    <col min="2" max="3" width="11.44140625" style="84"/>
    <col min="4" max="4" width="14.44140625" style="84" bestFit="1" customWidth="1"/>
    <col min="5" max="5" width="13.5546875" style="84" bestFit="1" customWidth="1"/>
    <col min="6" max="7" width="12.109375" style="84" customWidth="1"/>
    <col min="8" max="8" width="7.6640625" style="84" customWidth="1"/>
    <col min="9" max="9" width="13.88671875" style="84" bestFit="1" customWidth="1"/>
    <col min="10" max="10" width="19.44140625" style="137" bestFit="1" customWidth="1"/>
    <col min="11" max="11" width="1.44140625" style="84" customWidth="1"/>
    <col min="12" max="12" width="12" style="84" bestFit="1" customWidth="1"/>
    <col min="13" max="16384" width="11.44140625" style="84"/>
  </cols>
  <sheetData>
    <row r="1" spans="1:11" ht="10.8" thickBot="1" x14ac:dyDescent="0.25"/>
    <row r="2" spans="1:11" ht="6.75" customHeight="1" thickBot="1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40"/>
      <c r="K2" s="141"/>
    </row>
    <row r="3" spans="1:11" x14ac:dyDescent="0.2">
      <c r="A3" s="142"/>
      <c r="B3" s="296"/>
      <c r="C3" s="297"/>
      <c r="D3" s="298"/>
      <c r="E3" s="305" t="s">
        <v>59</v>
      </c>
      <c r="F3" s="306"/>
      <c r="G3" s="306"/>
      <c r="H3" s="306"/>
      <c r="I3" s="306"/>
      <c r="J3" s="307"/>
      <c r="K3" s="144"/>
    </row>
    <row r="4" spans="1:11" x14ac:dyDescent="0.2">
      <c r="A4" s="142"/>
      <c r="B4" s="299"/>
      <c r="C4" s="300"/>
      <c r="D4" s="301"/>
      <c r="E4" s="308"/>
      <c r="F4" s="309"/>
      <c r="G4" s="309"/>
      <c r="H4" s="309"/>
      <c r="I4" s="309"/>
      <c r="J4" s="310"/>
      <c r="K4" s="144"/>
    </row>
    <row r="5" spans="1:11" ht="10.8" thickBot="1" x14ac:dyDescent="0.25">
      <c r="A5" s="142"/>
      <c r="B5" s="302"/>
      <c r="C5" s="303"/>
      <c r="D5" s="304"/>
      <c r="E5" s="311"/>
      <c r="F5" s="312"/>
      <c r="G5" s="312"/>
      <c r="H5" s="312"/>
      <c r="I5" s="312"/>
      <c r="J5" s="313"/>
      <c r="K5" s="144"/>
    </row>
    <row r="6" spans="1:11" ht="6" customHeight="1" thickBot="1" x14ac:dyDescent="0.25">
      <c r="A6" s="142"/>
      <c r="B6" s="145"/>
      <c r="C6" s="146"/>
      <c r="D6" s="9"/>
      <c r="E6" s="146"/>
      <c r="F6" s="146"/>
      <c r="G6" s="146"/>
      <c r="H6" s="146"/>
      <c r="I6" s="146"/>
      <c r="J6" s="147"/>
      <c r="K6" s="144"/>
    </row>
    <row r="7" spans="1:11" x14ac:dyDescent="0.2">
      <c r="A7" s="142"/>
      <c r="B7" s="400" t="s">
        <v>201</v>
      </c>
      <c r="C7" s="401"/>
      <c r="D7" s="401"/>
      <c r="E7" s="401"/>
      <c r="F7" s="401"/>
      <c r="G7" s="401"/>
      <c r="H7" s="401"/>
      <c r="I7" s="401"/>
      <c r="J7" s="402"/>
      <c r="K7" s="144"/>
    </row>
    <row r="8" spans="1:11" ht="10.8" thickBot="1" x14ac:dyDescent="0.25">
      <c r="A8" s="142"/>
      <c r="B8" s="317"/>
      <c r="C8" s="318"/>
      <c r="D8" s="318"/>
      <c r="E8" s="318"/>
      <c r="F8" s="318"/>
      <c r="G8" s="318"/>
      <c r="H8" s="318"/>
      <c r="I8" s="318"/>
      <c r="J8" s="319"/>
      <c r="K8" s="144"/>
    </row>
    <row r="9" spans="1:11" ht="26.25" customHeight="1" thickBot="1" x14ac:dyDescent="0.25">
      <c r="A9" s="142"/>
      <c r="B9" s="383" t="s">
        <v>209</v>
      </c>
      <c r="C9" s="384"/>
      <c r="D9" s="384"/>
      <c r="E9" s="385"/>
      <c r="F9" s="403" t="s">
        <v>60</v>
      </c>
      <c r="G9" s="404"/>
      <c r="H9" s="405"/>
      <c r="I9" s="405"/>
      <c r="J9" s="406"/>
      <c r="K9" s="144"/>
    </row>
    <row r="10" spans="1:11" ht="6" customHeight="1" thickBot="1" x14ac:dyDescent="0.25">
      <c r="A10" s="142"/>
      <c r="B10" s="148"/>
      <c r="C10" s="148"/>
      <c r="D10" s="146"/>
      <c r="E10" s="148"/>
      <c r="F10" s="148"/>
      <c r="G10" s="148"/>
      <c r="H10" s="148"/>
      <c r="I10" s="148"/>
      <c r="J10" s="147"/>
      <c r="K10" s="144"/>
    </row>
    <row r="11" spans="1:11" ht="16.5" customHeight="1" thickBot="1" x14ac:dyDescent="0.25">
      <c r="A11" s="142"/>
      <c r="B11" s="327" t="s">
        <v>61</v>
      </c>
      <c r="C11" s="328"/>
      <c r="D11" s="328"/>
      <c r="E11" s="328"/>
      <c r="F11" s="328"/>
      <c r="G11" s="328"/>
      <c r="H11" s="328"/>
      <c r="I11" s="328"/>
      <c r="J11" s="329"/>
      <c r="K11" s="144"/>
    </row>
    <row r="12" spans="1:11" ht="6" customHeight="1" thickBot="1" x14ac:dyDescent="0.25">
      <c r="A12" s="142"/>
      <c r="B12" s="148"/>
      <c r="C12" s="148"/>
      <c r="D12" s="146"/>
      <c r="E12" s="148"/>
      <c r="F12" s="148"/>
      <c r="G12" s="148"/>
      <c r="H12" s="148"/>
      <c r="I12" s="148"/>
      <c r="J12" s="147"/>
      <c r="K12" s="144"/>
    </row>
    <row r="13" spans="1:11" ht="10.8" thickBot="1" x14ac:dyDescent="0.25">
      <c r="A13" s="142"/>
      <c r="B13" s="327" t="s">
        <v>62</v>
      </c>
      <c r="C13" s="328"/>
      <c r="D13" s="328"/>
      <c r="E13" s="328"/>
      <c r="F13" s="328"/>
      <c r="G13" s="328"/>
      <c r="H13" s="328"/>
      <c r="I13" s="328"/>
      <c r="J13" s="329"/>
      <c r="K13" s="144"/>
    </row>
    <row r="14" spans="1:11" ht="10.8" thickBot="1" x14ac:dyDescent="0.25">
      <c r="A14" s="142"/>
      <c r="B14" s="330" t="s">
        <v>63</v>
      </c>
      <c r="C14" s="331"/>
      <c r="D14" s="332"/>
      <c r="E14" s="150" t="s">
        <v>64</v>
      </c>
      <c r="F14" s="151" t="s">
        <v>65</v>
      </c>
      <c r="G14" s="330" t="s">
        <v>66</v>
      </c>
      <c r="H14" s="332"/>
      <c r="I14" s="149" t="s">
        <v>67</v>
      </c>
      <c r="J14" s="152" t="s">
        <v>68</v>
      </c>
      <c r="K14" s="144"/>
    </row>
    <row r="15" spans="1:11" x14ac:dyDescent="0.2">
      <c r="A15" s="142"/>
      <c r="B15" s="419" t="s">
        <v>134</v>
      </c>
      <c r="C15" s="420"/>
      <c r="D15" s="421"/>
      <c r="E15" s="247"/>
      <c r="F15" s="248">
        <v>80000</v>
      </c>
      <c r="G15" s="422">
        <v>6</v>
      </c>
      <c r="H15" s="423"/>
      <c r="I15" s="249">
        <f>+F15/G15</f>
        <v>13333.333333333334</v>
      </c>
      <c r="J15" s="250">
        <f>+I15</f>
        <v>13333.333333333334</v>
      </c>
      <c r="K15" s="144"/>
    </row>
    <row r="16" spans="1:11" x14ac:dyDescent="0.2">
      <c r="A16" s="142"/>
      <c r="B16" s="333" t="s">
        <v>69</v>
      </c>
      <c r="C16" s="334"/>
      <c r="D16" s="335"/>
      <c r="E16" s="153"/>
      <c r="F16" s="153"/>
      <c r="G16" s="424"/>
      <c r="H16" s="425"/>
      <c r="I16" s="154">
        <f>+J42*0.1</f>
        <v>4270.8333333333339</v>
      </c>
      <c r="J16" s="155">
        <f t="shared" ref="J16" si="0">+I16</f>
        <v>4270.8333333333339</v>
      </c>
      <c r="K16" s="144"/>
    </row>
    <row r="17" spans="1:12" ht="10.8" thickBot="1" x14ac:dyDescent="0.25">
      <c r="A17" s="142"/>
      <c r="B17" s="340"/>
      <c r="C17" s="341"/>
      <c r="D17" s="342"/>
      <c r="E17" s="156"/>
      <c r="F17" s="156"/>
      <c r="G17" s="426"/>
      <c r="H17" s="427"/>
      <c r="I17" s="239"/>
      <c r="J17" s="158"/>
      <c r="K17" s="144"/>
    </row>
    <row r="18" spans="1:12" ht="10.8" thickBot="1" x14ac:dyDescent="0.25">
      <c r="A18" s="142"/>
      <c r="B18" s="146"/>
      <c r="C18" s="146"/>
      <c r="D18" s="146"/>
      <c r="E18" s="146"/>
      <c r="F18" s="146"/>
      <c r="G18" s="146"/>
      <c r="H18" s="146"/>
      <c r="I18" s="159" t="s">
        <v>70</v>
      </c>
      <c r="J18" s="160">
        <f>SUM(J15:J17)</f>
        <v>17604.166666666668</v>
      </c>
      <c r="K18" s="144"/>
    </row>
    <row r="19" spans="1:12" ht="6" customHeight="1" thickBot="1" x14ac:dyDescent="0.25">
      <c r="A19" s="142"/>
      <c r="B19" s="146"/>
      <c r="C19" s="146"/>
      <c r="D19" s="146"/>
      <c r="E19" s="146"/>
      <c r="F19" s="146"/>
      <c r="G19" s="146"/>
      <c r="H19" s="146"/>
      <c r="I19" s="159"/>
      <c r="J19" s="161"/>
      <c r="K19" s="144"/>
    </row>
    <row r="20" spans="1:12" ht="10.8" thickBot="1" x14ac:dyDescent="0.25">
      <c r="A20" s="142"/>
      <c r="B20" s="327" t="s">
        <v>71</v>
      </c>
      <c r="C20" s="328"/>
      <c r="D20" s="328"/>
      <c r="E20" s="328"/>
      <c r="F20" s="328"/>
      <c r="G20" s="328"/>
      <c r="H20" s="328"/>
      <c r="I20" s="328"/>
      <c r="J20" s="329"/>
      <c r="K20" s="144"/>
    </row>
    <row r="21" spans="1:12" ht="10.8" thickBot="1" x14ac:dyDescent="0.25">
      <c r="A21" s="142"/>
      <c r="B21" s="330" t="s">
        <v>63</v>
      </c>
      <c r="C21" s="331"/>
      <c r="D21" s="332"/>
      <c r="E21" s="150" t="s">
        <v>1</v>
      </c>
      <c r="F21" s="150" t="s">
        <v>72</v>
      </c>
      <c r="G21" s="150" t="s">
        <v>73</v>
      </c>
      <c r="H21" s="143" t="s">
        <v>74</v>
      </c>
      <c r="I21" s="149" t="s">
        <v>67</v>
      </c>
      <c r="J21" s="152" t="s">
        <v>68</v>
      </c>
      <c r="K21" s="144"/>
    </row>
    <row r="22" spans="1:12" x14ac:dyDescent="0.2">
      <c r="A22" s="142"/>
      <c r="B22" s="345" t="s">
        <v>135</v>
      </c>
      <c r="C22" s="346"/>
      <c r="D22" s="347"/>
      <c r="E22" s="162" t="s">
        <v>133</v>
      </c>
      <c r="F22" s="163">
        <v>350</v>
      </c>
      <c r="G22" s="164">
        <v>520</v>
      </c>
      <c r="H22" s="169">
        <v>0.03</v>
      </c>
      <c r="I22" s="164">
        <f>+((F22*H22)+F22)*G22</f>
        <v>187460</v>
      </c>
      <c r="J22" s="166">
        <f>+I22</f>
        <v>187460</v>
      </c>
      <c r="K22" s="144"/>
    </row>
    <row r="23" spans="1:12" x14ac:dyDescent="0.2">
      <c r="A23" s="142"/>
      <c r="B23" s="333" t="s">
        <v>136</v>
      </c>
      <c r="C23" s="334"/>
      <c r="D23" s="335"/>
      <c r="E23" s="153" t="s">
        <v>121</v>
      </c>
      <c r="F23" s="167">
        <v>0.55000000000000004</v>
      </c>
      <c r="G23" s="168">
        <v>30000</v>
      </c>
      <c r="H23" s="169">
        <v>0.03</v>
      </c>
      <c r="I23" s="170">
        <f>+G23*F23</f>
        <v>16500</v>
      </c>
      <c r="J23" s="158">
        <f>+I23</f>
        <v>16500</v>
      </c>
      <c r="K23" s="144"/>
      <c r="L23" s="171"/>
    </row>
    <row r="24" spans="1:12" x14ac:dyDescent="0.2">
      <c r="A24" s="142"/>
      <c r="B24" s="333" t="s">
        <v>137</v>
      </c>
      <c r="C24" s="334"/>
      <c r="D24" s="335"/>
      <c r="E24" s="153" t="s">
        <v>121</v>
      </c>
      <c r="F24" s="167">
        <v>0.84</v>
      </c>
      <c r="G24" s="168">
        <v>85000</v>
      </c>
      <c r="H24" s="252">
        <v>0.03</v>
      </c>
      <c r="I24" s="170">
        <f>+G24*F24</f>
        <v>71400</v>
      </c>
      <c r="J24" s="155">
        <f t="shared" ref="J24:J26" si="1">+I24</f>
        <v>71400</v>
      </c>
      <c r="K24" s="144"/>
      <c r="L24" s="171"/>
    </row>
    <row r="25" spans="1:12" x14ac:dyDescent="0.2">
      <c r="A25" s="142"/>
      <c r="B25" s="333"/>
      <c r="C25" s="334"/>
      <c r="D25" s="335"/>
      <c r="E25" s="153"/>
      <c r="F25" s="167"/>
      <c r="G25" s="168"/>
      <c r="H25" s="169"/>
      <c r="I25" s="170"/>
      <c r="J25" s="155">
        <f t="shared" si="1"/>
        <v>0</v>
      </c>
      <c r="K25" s="144"/>
    </row>
    <row r="26" spans="1:12" ht="10.8" thickBot="1" x14ac:dyDescent="0.25">
      <c r="A26" s="142"/>
      <c r="B26" s="348"/>
      <c r="C26" s="349"/>
      <c r="D26" s="350"/>
      <c r="E26" s="172"/>
      <c r="F26" s="173"/>
      <c r="G26" s="174"/>
      <c r="H26" s="175"/>
      <c r="I26" s="176"/>
      <c r="J26" s="177">
        <f t="shared" si="1"/>
        <v>0</v>
      </c>
      <c r="K26" s="144"/>
    </row>
    <row r="27" spans="1:12" ht="10.8" thickBot="1" x14ac:dyDescent="0.25">
      <c r="A27" s="142"/>
      <c r="B27" s="146"/>
      <c r="C27" s="146"/>
      <c r="D27" s="146"/>
      <c r="E27" s="146"/>
      <c r="F27" s="146"/>
      <c r="G27" s="146"/>
      <c r="H27" s="146"/>
      <c r="I27" s="159" t="s">
        <v>70</v>
      </c>
      <c r="J27" s="178">
        <f>SUM(J22:J26)</f>
        <v>275360</v>
      </c>
      <c r="K27" s="144"/>
    </row>
    <row r="28" spans="1:12" ht="6" customHeight="1" thickBot="1" x14ac:dyDescent="0.25">
      <c r="A28" s="142"/>
      <c r="B28" s="146"/>
      <c r="C28" s="146"/>
      <c r="D28" s="146"/>
      <c r="E28" s="146"/>
      <c r="F28" s="146"/>
      <c r="G28" s="146"/>
      <c r="H28" s="146"/>
      <c r="I28" s="159"/>
      <c r="J28" s="161"/>
      <c r="K28" s="144"/>
    </row>
    <row r="29" spans="1:12" ht="10.8" thickBot="1" x14ac:dyDescent="0.25">
      <c r="A29" s="142"/>
      <c r="B29" s="327" t="s">
        <v>75</v>
      </c>
      <c r="C29" s="328"/>
      <c r="D29" s="328"/>
      <c r="E29" s="328"/>
      <c r="F29" s="328"/>
      <c r="G29" s="328"/>
      <c r="H29" s="328"/>
      <c r="I29" s="328"/>
      <c r="J29" s="329"/>
      <c r="K29" s="144"/>
    </row>
    <row r="30" spans="1:12" ht="10.8" thickBot="1" x14ac:dyDescent="0.25">
      <c r="A30" s="142"/>
      <c r="B30" s="150" t="s">
        <v>76</v>
      </c>
      <c r="C30" s="150" t="s">
        <v>1</v>
      </c>
      <c r="D30" s="150" t="s">
        <v>77</v>
      </c>
      <c r="E30" s="150" t="s">
        <v>78</v>
      </c>
      <c r="F30" s="150" t="s">
        <v>79</v>
      </c>
      <c r="G30" s="330" t="s">
        <v>80</v>
      </c>
      <c r="H30" s="332"/>
      <c r="I30" s="143" t="s">
        <v>67</v>
      </c>
      <c r="J30" s="152" t="s">
        <v>68</v>
      </c>
      <c r="K30" s="144"/>
    </row>
    <row r="31" spans="1:12" x14ac:dyDescent="0.2">
      <c r="A31" s="142"/>
      <c r="B31" s="179"/>
      <c r="C31" s="180"/>
      <c r="D31" s="181"/>
      <c r="E31" s="181"/>
      <c r="F31" s="182"/>
      <c r="G31" s="338"/>
      <c r="H31" s="339"/>
      <c r="I31" s="182"/>
      <c r="J31" s="166"/>
      <c r="K31" s="144"/>
    </row>
    <row r="32" spans="1:12" x14ac:dyDescent="0.2">
      <c r="A32" s="142"/>
      <c r="B32" s="183"/>
      <c r="C32" s="184"/>
      <c r="D32" s="185"/>
      <c r="E32" s="185"/>
      <c r="F32" s="186"/>
      <c r="G32" s="351"/>
      <c r="H32" s="352"/>
      <c r="I32" s="186"/>
      <c r="J32" s="155"/>
      <c r="K32" s="144"/>
    </row>
    <row r="33" spans="1:11" x14ac:dyDescent="0.2">
      <c r="A33" s="142"/>
      <c r="B33" s="183"/>
      <c r="C33" s="184"/>
      <c r="D33" s="185"/>
      <c r="E33" s="185"/>
      <c r="F33" s="186"/>
      <c r="G33" s="351"/>
      <c r="H33" s="352"/>
      <c r="I33" s="186"/>
      <c r="J33" s="155"/>
      <c r="K33" s="144"/>
    </row>
    <row r="34" spans="1:11" x14ac:dyDescent="0.2">
      <c r="A34" s="142"/>
      <c r="B34" s="187"/>
      <c r="C34" s="188"/>
      <c r="D34" s="189"/>
      <c r="E34" s="189"/>
      <c r="F34" s="186"/>
      <c r="G34" s="351"/>
      <c r="H34" s="352"/>
      <c r="I34" s="186"/>
      <c r="J34" s="155"/>
      <c r="K34" s="144"/>
    </row>
    <row r="35" spans="1:11" ht="10.8" thickBot="1" x14ac:dyDescent="0.25">
      <c r="A35" s="142"/>
      <c r="B35" s="190"/>
      <c r="C35" s="191"/>
      <c r="D35" s="192"/>
      <c r="E35" s="193"/>
      <c r="F35" s="194" t="s">
        <v>81</v>
      </c>
      <c r="G35" s="353" t="s">
        <v>81</v>
      </c>
      <c r="H35" s="354"/>
      <c r="I35" s="194" t="s">
        <v>81</v>
      </c>
      <c r="J35" s="177"/>
      <c r="K35" s="144"/>
    </row>
    <row r="36" spans="1:11" ht="10.8" thickBot="1" x14ac:dyDescent="0.25">
      <c r="A36" s="142"/>
      <c r="B36" s="146"/>
      <c r="C36" s="146"/>
      <c r="D36" s="146"/>
      <c r="E36" s="146"/>
      <c r="F36" s="146"/>
      <c r="G36" s="146"/>
      <c r="H36" s="146"/>
      <c r="I36" s="159" t="s">
        <v>70</v>
      </c>
      <c r="J36" s="160">
        <f>SUM(J31:J35)</f>
        <v>0</v>
      </c>
      <c r="K36" s="144"/>
    </row>
    <row r="37" spans="1:11" ht="6" customHeight="1" thickBot="1" x14ac:dyDescent="0.25">
      <c r="A37" s="142"/>
      <c r="B37" s="146"/>
      <c r="C37" s="146"/>
      <c r="D37" s="146"/>
      <c r="E37" s="146"/>
      <c r="F37" s="146"/>
      <c r="G37" s="146"/>
      <c r="H37" s="146"/>
      <c r="I37" s="159"/>
      <c r="J37" s="161"/>
      <c r="K37" s="144"/>
    </row>
    <row r="38" spans="1:11" ht="10.8" thickBot="1" x14ac:dyDescent="0.25">
      <c r="A38" s="142"/>
      <c r="B38" s="327" t="s">
        <v>82</v>
      </c>
      <c r="C38" s="328"/>
      <c r="D38" s="328"/>
      <c r="E38" s="328"/>
      <c r="F38" s="328"/>
      <c r="G38" s="328"/>
      <c r="H38" s="328"/>
      <c r="I38" s="328"/>
      <c r="J38" s="329"/>
      <c r="K38" s="144"/>
    </row>
    <row r="39" spans="1:11" ht="10.8" thickBot="1" x14ac:dyDescent="0.25">
      <c r="A39" s="142"/>
      <c r="B39" s="330" t="s">
        <v>83</v>
      </c>
      <c r="C39" s="332"/>
      <c r="D39" s="150" t="s">
        <v>84</v>
      </c>
      <c r="E39" s="150" t="s">
        <v>85</v>
      </c>
      <c r="F39" s="151" t="s">
        <v>86</v>
      </c>
      <c r="G39" s="330" t="s">
        <v>66</v>
      </c>
      <c r="H39" s="332"/>
      <c r="I39" s="150" t="s">
        <v>67</v>
      </c>
      <c r="J39" s="152" t="s">
        <v>68</v>
      </c>
      <c r="K39" s="144"/>
    </row>
    <row r="40" spans="1:11" x14ac:dyDescent="0.2">
      <c r="A40" s="142"/>
      <c r="B40" s="417" t="s">
        <v>87</v>
      </c>
      <c r="C40" s="418"/>
      <c r="D40" s="195">
        <v>65000</v>
      </c>
      <c r="E40" s="165">
        <v>0.25</v>
      </c>
      <c r="F40" s="196">
        <f>+(D40*E40)+D40</f>
        <v>81250</v>
      </c>
      <c r="G40" s="357">
        <v>6</v>
      </c>
      <c r="H40" s="358"/>
      <c r="I40" s="196">
        <f>+F40/G40</f>
        <v>13541.666666666666</v>
      </c>
      <c r="J40" s="158">
        <f>+I40</f>
        <v>13541.666666666666</v>
      </c>
      <c r="K40" s="144"/>
    </row>
    <row r="41" spans="1:11" ht="10.8" thickBot="1" x14ac:dyDescent="0.25">
      <c r="A41" s="142"/>
      <c r="B41" s="359" t="s">
        <v>88</v>
      </c>
      <c r="C41" s="360"/>
      <c r="D41" s="197">
        <v>140000</v>
      </c>
      <c r="E41" s="198">
        <v>0.25</v>
      </c>
      <c r="F41" s="199">
        <f>+(D41*E41)+D41</f>
        <v>175000</v>
      </c>
      <c r="G41" s="361">
        <v>6</v>
      </c>
      <c r="H41" s="362"/>
      <c r="I41" s="199">
        <f>+F41/G41</f>
        <v>29166.666666666668</v>
      </c>
      <c r="J41" s="177">
        <f>+I41</f>
        <v>29166.666666666668</v>
      </c>
      <c r="K41" s="144"/>
    </row>
    <row r="42" spans="1:11" ht="10.8" thickBot="1" x14ac:dyDescent="0.25">
      <c r="A42" s="142"/>
      <c r="B42" s="146"/>
      <c r="C42" s="146"/>
      <c r="D42" s="146"/>
      <c r="E42" s="146"/>
      <c r="F42" s="146"/>
      <c r="G42" s="146"/>
      <c r="H42" s="146"/>
      <c r="I42" s="159" t="s">
        <v>70</v>
      </c>
      <c r="J42" s="160">
        <f>SUM(J40:J41)</f>
        <v>42708.333333333336</v>
      </c>
      <c r="K42" s="144"/>
    </row>
    <row r="43" spans="1:11" ht="6" customHeight="1" thickBot="1" x14ac:dyDescent="0.25">
      <c r="A43" s="142"/>
      <c r="B43" s="146"/>
      <c r="C43" s="146"/>
      <c r="D43" s="146"/>
      <c r="E43" s="146"/>
      <c r="F43" s="146"/>
      <c r="G43" s="146"/>
      <c r="H43" s="146"/>
      <c r="I43" s="200"/>
      <c r="J43" s="147"/>
      <c r="K43" s="144"/>
    </row>
    <row r="44" spans="1:11" ht="10.8" thickBot="1" x14ac:dyDescent="0.25">
      <c r="A44" s="142"/>
      <c r="C44" s="148"/>
      <c r="D44" s="148"/>
      <c r="E44" s="148"/>
      <c r="F44" s="148"/>
      <c r="G44" s="363" t="s">
        <v>89</v>
      </c>
      <c r="H44" s="363"/>
      <c r="I44" s="364"/>
      <c r="J44" s="152">
        <f>SUM(J42,J36,J27,J18)</f>
        <v>335672.5</v>
      </c>
      <c r="K44" s="144"/>
    </row>
    <row r="45" spans="1:11" ht="6" customHeight="1" thickBot="1" x14ac:dyDescent="0.25">
      <c r="A45" s="142"/>
      <c r="J45" s="201"/>
      <c r="K45" s="144"/>
    </row>
    <row r="46" spans="1:11" ht="10.8" thickBot="1" x14ac:dyDescent="0.25">
      <c r="A46" s="142"/>
      <c r="B46" s="327" t="s">
        <v>90</v>
      </c>
      <c r="C46" s="328"/>
      <c r="D46" s="328"/>
      <c r="E46" s="328"/>
      <c r="F46" s="328"/>
      <c r="G46" s="328"/>
      <c r="H46" s="328"/>
      <c r="I46" s="328"/>
      <c r="J46" s="329"/>
      <c r="K46" s="144"/>
    </row>
    <row r="47" spans="1:11" ht="6" customHeight="1" thickBot="1" x14ac:dyDescent="0.25">
      <c r="A47" s="142"/>
      <c r="J47" s="201"/>
      <c r="K47" s="144"/>
    </row>
    <row r="48" spans="1:11" ht="10.8" thickBot="1" x14ac:dyDescent="0.25">
      <c r="A48" s="142"/>
      <c r="B48" s="202" t="s">
        <v>91</v>
      </c>
      <c r="C48" s="365" t="s">
        <v>92</v>
      </c>
      <c r="D48" s="366"/>
      <c r="E48" s="365" t="s">
        <v>93</v>
      </c>
      <c r="F48" s="366"/>
      <c r="G48" s="367" t="s">
        <v>94</v>
      </c>
      <c r="H48" s="368"/>
      <c r="I48" s="203" t="s">
        <v>95</v>
      </c>
      <c r="J48" s="204" t="s">
        <v>96</v>
      </c>
      <c r="K48" s="144"/>
    </row>
    <row r="49" spans="1:11" ht="6" customHeight="1" thickBot="1" x14ac:dyDescent="0.25">
      <c r="A49" s="142"/>
      <c r="B49" s="205"/>
      <c r="C49" s="205"/>
      <c r="D49" s="205"/>
      <c r="E49" s="205"/>
      <c r="F49" s="205"/>
      <c r="J49" s="201"/>
      <c r="K49" s="144"/>
    </row>
    <row r="50" spans="1:11" ht="10.8" thickBot="1" x14ac:dyDescent="0.25">
      <c r="A50" s="142"/>
      <c r="B50" s="206"/>
      <c r="C50" s="369"/>
      <c r="D50" s="368"/>
      <c r="E50" s="369"/>
      <c r="F50" s="368"/>
      <c r="G50" s="367" t="s">
        <v>97</v>
      </c>
      <c r="H50" s="368"/>
      <c r="I50" s="207">
        <v>0</v>
      </c>
      <c r="J50" s="208">
        <f>+I50*J44</f>
        <v>0</v>
      </c>
      <c r="K50" s="144"/>
    </row>
    <row r="51" spans="1:11" ht="21" customHeight="1" thickBot="1" x14ac:dyDescent="0.25">
      <c r="A51" s="142"/>
      <c r="B51" s="205"/>
      <c r="C51" s="205"/>
      <c r="D51" s="205"/>
      <c r="E51" s="205"/>
      <c r="F51" s="205"/>
      <c r="I51" s="209"/>
      <c r="J51" s="201"/>
      <c r="K51" s="144"/>
    </row>
    <row r="52" spans="1:11" ht="10.8" thickBot="1" x14ac:dyDescent="0.25">
      <c r="A52" s="142"/>
      <c r="B52" s="370" t="s">
        <v>98</v>
      </c>
      <c r="C52" s="371"/>
      <c r="D52" s="371"/>
      <c r="E52" s="371"/>
      <c r="F52" s="372"/>
      <c r="G52" s="367" t="s">
        <v>99</v>
      </c>
      <c r="H52" s="368"/>
      <c r="I52" s="207">
        <v>0</v>
      </c>
      <c r="J52" s="208">
        <f>+I52*J44</f>
        <v>0</v>
      </c>
      <c r="K52" s="144"/>
    </row>
    <row r="53" spans="1:11" ht="10.8" thickBot="1" x14ac:dyDescent="0.25">
      <c r="A53" s="142"/>
      <c r="B53" s="373"/>
      <c r="C53" s="374"/>
      <c r="D53" s="374"/>
      <c r="E53" s="374"/>
      <c r="F53" s="375"/>
      <c r="I53" s="209"/>
      <c r="J53" s="201"/>
      <c r="K53" s="144"/>
    </row>
    <row r="54" spans="1:11" ht="10.8" thickBot="1" x14ac:dyDescent="0.25">
      <c r="A54" s="142"/>
      <c r="B54" s="373"/>
      <c r="C54" s="374"/>
      <c r="D54" s="374"/>
      <c r="E54" s="374"/>
      <c r="F54" s="375"/>
      <c r="G54" s="367" t="s">
        <v>100</v>
      </c>
      <c r="H54" s="368"/>
      <c r="I54" s="207">
        <v>0</v>
      </c>
      <c r="J54" s="208">
        <f>+I54*J44</f>
        <v>0</v>
      </c>
      <c r="K54" s="144"/>
    </row>
    <row r="55" spans="1:11" ht="6" customHeight="1" thickBot="1" x14ac:dyDescent="0.25">
      <c r="A55" s="142"/>
      <c r="B55" s="373"/>
      <c r="C55" s="374"/>
      <c r="D55" s="374"/>
      <c r="E55" s="374"/>
      <c r="F55" s="375"/>
      <c r="J55" s="201"/>
      <c r="K55" s="144"/>
    </row>
    <row r="56" spans="1:11" ht="10.8" thickBot="1" x14ac:dyDescent="0.25">
      <c r="A56" s="142"/>
      <c r="B56" s="373"/>
      <c r="C56" s="374"/>
      <c r="D56" s="374"/>
      <c r="E56" s="374"/>
      <c r="F56" s="375"/>
      <c r="G56" s="367" t="s">
        <v>101</v>
      </c>
      <c r="H56" s="367"/>
      <c r="I56" s="368"/>
      <c r="J56" s="211">
        <f>SUM(J50,J52,J54)</f>
        <v>0</v>
      </c>
      <c r="K56" s="144"/>
    </row>
    <row r="57" spans="1:11" ht="6" customHeight="1" thickBot="1" x14ac:dyDescent="0.25">
      <c r="A57" s="142"/>
      <c r="B57" s="373"/>
      <c r="C57" s="374"/>
      <c r="D57" s="374"/>
      <c r="E57" s="374"/>
      <c r="F57" s="375"/>
      <c r="J57" s="201"/>
      <c r="K57" s="144"/>
    </row>
    <row r="58" spans="1:11" ht="18.75" customHeight="1" thickBot="1" x14ac:dyDescent="0.25">
      <c r="A58" s="142"/>
      <c r="B58" s="376"/>
      <c r="C58" s="377"/>
      <c r="D58" s="377"/>
      <c r="E58" s="377"/>
      <c r="F58" s="378"/>
      <c r="G58" s="379" t="s">
        <v>54</v>
      </c>
      <c r="H58" s="379"/>
      <c r="I58" s="380"/>
      <c r="J58" s="212">
        <f>+J56+J44</f>
        <v>335672.5</v>
      </c>
      <c r="K58" s="144"/>
    </row>
    <row r="59" spans="1:11" ht="6" customHeight="1" thickBot="1" x14ac:dyDescent="0.25">
      <c r="A59" s="213"/>
      <c r="B59" s="214"/>
      <c r="C59" s="214"/>
      <c r="D59" s="214"/>
      <c r="E59" s="214"/>
      <c r="F59" s="214"/>
      <c r="G59" s="214"/>
      <c r="H59" s="214"/>
      <c r="I59" s="214"/>
      <c r="J59" s="215"/>
      <c r="K59" s="216"/>
    </row>
  </sheetData>
  <mergeCells count="50">
    <mergeCell ref="B52:F58"/>
    <mergeCell ref="G52:H52"/>
    <mergeCell ref="G54:H54"/>
    <mergeCell ref="G56:I56"/>
    <mergeCell ref="G58:I58"/>
    <mergeCell ref="C50:D50"/>
    <mergeCell ref="E50:F50"/>
    <mergeCell ref="G50:H50"/>
    <mergeCell ref="B38:J38"/>
    <mergeCell ref="B39:C39"/>
    <mergeCell ref="G39:H39"/>
    <mergeCell ref="B40:C40"/>
    <mergeCell ref="G40:H40"/>
    <mergeCell ref="B41:C41"/>
    <mergeCell ref="G41:H41"/>
    <mergeCell ref="G44:I44"/>
    <mergeCell ref="B46:J46"/>
    <mergeCell ref="C48:D48"/>
    <mergeCell ref="E48:F48"/>
    <mergeCell ref="G48:H48"/>
    <mergeCell ref="G35:H35"/>
    <mergeCell ref="B22:D22"/>
    <mergeCell ref="B23:D23"/>
    <mergeCell ref="B24:D24"/>
    <mergeCell ref="B25:D25"/>
    <mergeCell ref="B26:D26"/>
    <mergeCell ref="B29:J29"/>
    <mergeCell ref="G30:H30"/>
    <mergeCell ref="G31:H31"/>
    <mergeCell ref="G32:H32"/>
    <mergeCell ref="G33:H33"/>
    <mergeCell ref="G34:H34"/>
    <mergeCell ref="B21:D21"/>
    <mergeCell ref="B11:J11"/>
    <mergeCell ref="B13:J13"/>
    <mergeCell ref="B14:D14"/>
    <mergeCell ref="G14:H14"/>
    <mergeCell ref="B15:D15"/>
    <mergeCell ref="G15:H15"/>
    <mergeCell ref="B16:D16"/>
    <mergeCell ref="G16:H16"/>
    <mergeCell ref="B17:D17"/>
    <mergeCell ref="G17:H17"/>
    <mergeCell ref="B20:J20"/>
    <mergeCell ref="B3:D5"/>
    <mergeCell ref="E3:J5"/>
    <mergeCell ref="B7:J7"/>
    <mergeCell ref="B8:J8"/>
    <mergeCell ref="B9:E9"/>
    <mergeCell ref="F9:J9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59826-544F-4993-86A6-FCB28DFC5FCB}">
  <dimension ref="A1:L59"/>
  <sheetViews>
    <sheetView topLeftCell="A41" workbookViewId="0">
      <selection activeCell="G26" sqref="G26"/>
    </sheetView>
  </sheetViews>
  <sheetFormatPr baseColWidth="10" defaultColWidth="11.44140625" defaultRowHeight="10.199999999999999" x14ac:dyDescent="0.2"/>
  <cols>
    <col min="1" max="1" width="1.44140625" style="84" customWidth="1"/>
    <col min="2" max="3" width="11.44140625" style="84"/>
    <col min="4" max="4" width="14.44140625" style="84" bestFit="1" customWidth="1"/>
    <col min="5" max="5" width="13.5546875" style="84" bestFit="1" customWidth="1"/>
    <col min="6" max="7" width="12.109375" style="84" customWidth="1"/>
    <col min="8" max="8" width="7.6640625" style="84" customWidth="1"/>
    <col min="9" max="9" width="13.88671875" style="84" bestFit="1" customWidth="1"/>
    <col min="10" max="10" width="19.44140625" style="137" bestFit="1" customWidth="1"/>
    <col min="11" max="11" width="1.44140625" style="84" customWidth="1"/>
    <col min="12" max="12" width="12" style="84" bestFit="1" customWidth="1"/>
    <col min="13" max="16384" width="11.44140625" style="84"/>
  </cols>
  <sheetData>
    <row r="1" spans="1:11" ht="10.8" thickBot="1" x14ac:dyDescent="0.25"/>
    <row r="2" spans="1:11" ht="6.75" customHeight="1" thickBot="1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40"/>
      <c r="K2" s="141"/>
    </row>
    <row r="3" spans="1:11" x14ac:dyDescent="0.2">
      <c r="A3" s="142"/>
      <c r="B3" s="296"/>
      <c r="C3" s="297"/>
      <c r="D3" s="298"/>
      <c r="E3" s="305" t="s">
        <v>59</v>
      </c>
      <c r="F3" s="306"/>
      <c r="G3" s="306"/>
      <c r="H3" s="306"/>
      <c r="I3" s="306"/>
      <c r="J3" s="307"/>
      <c r="K3" s="144"/>
    </row>
    <row r="4" spans="1:11" x14ac:dyDescent="0.2">
      <c r="A4" s="142"/>
      <c r="B4" s="299"/>
      <c r="C4" s="300"/>
      <c r="D4" s="301"/>
      <c r="E4" s="308"/>
      <c r="F4" s="309"/>
      <c r="G4" s="309"/>
      <c r="H4" s="309"/>
      <c r="I4" s="309"/>
      <c r="J4" s="310"/>
      <c r="K4" s="144"/>
    </row>
    <row r="5" spans="1:11" ht="10.8" thickBot="1" x14ac:dyDescent="0.25">
      <c r="A5" s="142"/>
      <c r="B5" s="302"/>
      <c r="C5" s="303"/>
      <c r="D5" s="304"/>
      <c r="E5" s="311"/>
      <c r="F5" s="312"/>
      <c r="G5" s="312"/>
      <c r="H5" s="312"/>
      <c r="I5" s="312"/>
      <c r="J5" s="313"/>
      <c r="K5" s="144"/>
    </row>
    <row r="6" spans="1:11" ht="6" customHeight="1" thickBot="1" x14ac:dyDescent="0.25">
      <c r="A6" s="142"/>
      <c r="B6" s="145"/>
      <c r="C6" s="146"/>
      <c r="D6" s="9"/>
      <c r="E6" s="146"/>
      <c r="F6" s="146"/>
      <c r="G6" s="146"/>
      <c r="H6" s="146"/>
      <c r="I6" s="146"/>
      <c r="J6" s="147"/>
      <c r="K6" s="144"/>
    </row>
    <row r="7" spans="1:11" x14ac:dyDescent="0.2">
      <c r="A7" s="142"/>
      <c r="B7" s="400" t="s">
        <v>201</v>
      </c>
      <c r="C7" s="401"/>
      <c r="D7" s="401"/>
      <c r="E7" s="401"/>
      <c r="F7" s="401"/>
      <c r="G7" s="401"/>
      <c r="H7" s="401"/>
      <c r="I7" s="401"/>
      <c r="J7" s="402"/>
      <c r="K7" s="144"/>
    </row>
    <row r="8" spans="1:11" ht="10.8" thickBot="1" x14ac:dyDescent="0.25">
      <c r="A8" s="142"/>
      <c r="B8" s="317"/>
      <c r="C8" s="318"/>
      <c r="D8" s="318"/>
      <c r="E8" s="318"/>
      <c r="F8" s="318"/>
      <c r="G8" s="318"/>
      <c r="H8" s="318"/>
      <c r="I8" s="318"/>
      <c r="J8" s="319"/>
      <c r="K8" s="144"/>
    </row>
    <row r="9" spans="1:11" ht="26.25" customHeight="1" thickBot="1" x14ac:dyDescent="0.25">
      <c r="A9" s="142"/>
      <c r="B9" s="383" t="s">
        <v>210</v>
      </c>
      <c r="C9" s="384"/>
      <c r="D9" s="384"/>
      <c r="E9" s="385"/>
      <c r="F9" s="403" t="s">
        <v>60</v>
      </c>
      <c r="G9" s="404"/>
      <c r="H9" s="405"/>
      <c r="I9" s="405"/>
      <c r="J9" s="406"/>
      <c r="K9" s="144"/>
    </row>
    <row r="10" spans="1:11" ht="6" customHeight="1" thickBot="1" x14ac:dyDescent="0.25">
      <c r="A10" s="142"/>
      <c r="B10" s="148"/>
      <c r="C10" s="148"/>
      <c r="D10" s="146"/>
      <c r="E10" s="148"/>
      <c r="F10" s="148"/>
      <c r="G10" s="148"/>
      <c r="H10" s="148"/>
      <c r="I10" s="148"/>
      <c r="J10" s="147"/>
      <c r="K10" s="144"/>
    </row>
    <row r="11" spans="1:11" ht="16.5" customHeight="1" thickBot="1" x14ac:dyDescent="0.25">
      <c r="A11" s="142"/>
      <c r="B11" s="327" t="s">
        <v>61</v>
      </c>
      <c r="C11" s="328"/>
      <c r="D11" s="328"/>
      <c r="E11" s="328"/>
      <c r="F11" s="328"/>
      <c r="G11" s="328"/>
      <c r="H11" s="328"/>
      <c r="I11" s="328"/>
      <c r="J11" s="329"/>
      <c r="K11" s="144"/>
    </row>
    <row r="12" spans="1:11" ht="6" customHeight="1" thickBot="1" x14ac:dyDescent="0.25">
      <c r="A12" s="142"/>
      <c r="B12" s="148"/>
      <c r="C12" s="148"/>
      <c r="D12" s="146"/>
      <c r="E12" s="148"/>
      <c r="F12" s="148"/>
      <c r="G12" s="148"/>
      <c r="H12" s="148"/>
      <c r="I12" s="148"/>
      <c r="J12" s="147"/>
      <c r="K12" s="144"/>
    </row>
    <row r="13" spans="1:11" ht="10.8" thickBot="1" x14ac:dyDescent="0.25">
      <c r="A13" s="142"/>
      <c r="B13" s="327" t="s">
        <v>62</v>
      </c>
      <c r="C13" s="328"/>
      <c r="D13" s="328"/>
      <c r="E13" s="328"/>
      <c r="F13" s="328"/>
      <c r="G13" s="328"/>
      <c r="H13" s="328"/>
      <c r="I13" s="328"/>
      <c r="J13" s="329"/>
      <c r="K13" s="144"/>
    </row>
    <row r="14" spans="1:11" ht="10.8" thickBot="1" x14ac:dyDescent="0.25">
      <c r="A14" s="142"/>
      <c r="B14" s="330" t="s">
        <v>63</v>
      </c>
      <c r="C14" s="331"/>
      <c r="D14" s="332"/>
      <c r="E14" s="150" t="s">
        <v>64</v>
      </c>
      <c r="F14" s="151" t="s">
        <v>65</v>
      </c>
      <c r="G14" s="330" t="s">
        <v>66</v>
      </c>
      <c r="H14" s="332"/>
      <c r="I14" s="149" t="s">
        <v>67</v>
      </c>
      <c r="J14" s="152" t="s">
        <v>68</v>
      </c>
      <c r="K14" s="144"/>
    </row>
    <row r="15" spans="1:11" x14ac:dyDescent="0.2">
      <c r="A15" s="142"/>
      <c r="B15" s="419" t="s">
        <v>134</v>
      </c>
      <c r="C15" s="420"/>
      <c r="D15" s="421"/>
      <c r="E15" s="247"/>
      <c r="F15" s="248">
        <v>80000</v>
      </c>
      <c r="G15" s="422">
        <v>6</v>
      </c>
      <c r="H15" s="423"/>
      <c r="I15" s="249">
        <f>+F15/G15</f>
        <v>13333.333333333334</v>
      </c>
      <c r="J15" s="250">
        <f>+I15</f>
        <v>13333.333333333334</v>
      </c>
      <c r="K15" s="144"/>
    </row>
    <row r="16" spans="1:11" x14ac:dyDescent="0.2">
      <c r="A16" s="142"/>
      <c r="B16" s="333" t="s">
        <v>69</v>
      </c>
      <c r="C16" s="334"/>
      <c r="D16" s="335"/>
      <c r="E16" s="153"/>
      <c r="F16" s="153"/>
      <c r="G16" s="424"/>
      <c r="H16" s="425"/>
      <c r="I16" s="154">
        <f>+J42*0.1</f>
        <v>4270.8333333333339</v>
      </c>
      <c r="J16" s="155">
        <f t="shared" ref="J16" si="0">+I16</f>
        <v>4270.8333333333339</v>
      </c>
      <c r="K16" s="144"/>
    </row>
    <row r="17" spans="1:12" ht="10.8" thickBot="1" x14ac:dyDescent="0.25">
      <c r="A17" s="142"/>
      <c r="B17" s="340"/>
      <c r="C17" s="341"/>
      <c r="D17" s="342"/>
      <c r="E17" s="156"/>
      <c r="F17" s="156"/>
      <c r="G17" s="426"/>
      <c r="H17" s="427"/>
      <c r="I17" s="239"/>
      <c r="J17" s="158"/>
      <c r="K17" s="144"/>
    </row>
    <row r="18" spans="1:12" ht="10.8" thickBot="1" x14ac:dyDescent="0.25">
      <c r="A18" s="142"/>
      <c r="B18" s="146"/>
      <c r="C18" s="146"/>
      <c r="D18" s="146"/>
      <c r="E18" s="146"/>
      <c r="F18" s="146"/>
      <c r="G18" s="146"/>
      <c r="H18" s="146"/>
      <c r="I18" s="159" t="s">
        <v>70</v>
      </c>
      <c r="J18" s="160">
        <f>SUM(J15:J17)</f>
        <v>17604.166666666668</v>
      </c>
      <c r="K18" s="144"/>
    </row>
    <row r="19" spans="1:12" ht="6" customHeight="1" thickBot="1" x14ac:dyDescent="0.25">
      <c r="A19" s="142"/>
      <c r="B19" s="146"/>
      <c r="C19" s="146"/>
      <c r="D19" s="146"/>
      <c r="E19" s="146"/>
      <c r="F19" s="146"/>
      <c r="G19" s="146"/>
      <c r="H19" s="146"/>
      <c r="I19" s="159"/>
      <c r="J19" s="161"/>
      <c r="K19" s="144"/>
    </row>
    <row r="20" spans="1:12" ht="10.8" thickBot="1" x14ac:dyDescent="0.25">
      <c r="A20" s="142"/>
      <c r="B20" s="327" t="s">
        <v>71</v>
      </c>
      <c r="C20" s="328"/>
      <c r="D20" s="328"/>
      <c r="E20" s="328"/>
      <c r="F20" s="328"/>
      <c r="G20" s="328"/>
      <c r="H20" s="328"/>
      <c r="I20" s="328"/>
      <c r="J20" s="329"/>
      <c r="K20" s="144"/>
    </row>
    <row r="21" spans="1:12" ht="10.8" thickBot="1" x14ac:dyDescent="0.25">
      <c r="A21" s="142"/>
      <c r="B21" s="330" t="s">
        <v>63</v>
      </c>
      <c r="C21" s="331"/>
      <c r="D21" s="332"/>
      <c r="E21" s="150" t="s">
        <v>1</v>
      </c>
      <c r="F21" s="150" t="s">
        <v>72</v>
      </c>
      <c r="G21" s="150" t="s">
        <v>73</v>
      </c>
      <c r="H21" s="143" t="s">
        <v>74</v>
      </c>
      <c r="I21" s="149" t="s">
        <v>67</v>
      </c>
      <c r="J21" s="152" t="s">
        <v>68</v>
      </c>
      <c r="K21" s="144"/>
    </row>
    <row r="22" spans="1:12" x14ac:dyDescent="0.2">
      <c r="A22" s="142"/>
      <c r="B22" s="345" t="s">
        <v>135</v>
      </c>
      <c r="C22" s="346"/>
      <c r="D22" s="347"/>
      <c r="E22" s="162" t="s">
        <v>133</v>
      </c>
      <c r="F22" s="163">
        <v>455</v>
      </c>
      <c r="G22" s="164">
        <v>520</v>
      </c>
      <c r="H22" s="169">
        <v>0.03</v>
      </c>
      <c r="I22" s="164">
        <f>+((F22*H22)+F22)*G22</f>
        <v>243698</v>
      </c>
      <c r="J22" s="166">
        <f>+I22</f>
        <v>243698</v>
      </c>
      <c r="K22" s="144"/>
    </row>
    <row r="23" spans="1:12" x14ac:dyDescent="0.2">
      <c r="A23" s="142"/>
      <c r="B23" s="333" t="s">
        <v>136</v>
      </c>
      <c r="C23" s="334"/>
      <c r="D23" s="335"/>
      <c r="E23" s="153" t="s">
        <v>121</v>
      </c>
      <c r="F23" s="167">
        <v>0.47</v>
      </c>
      <c r="G23" s="168">
        <v>30000</v>
      </c>
      <c r="H23" s="169">
        <v>0.03</v>
      </c>
      <c r="I23" s="170">
        <f>+G23*F23</f>
        <v>14100</v>
      </c>
      <c r="J23" s="158">
        <f>+I23</f>
        <v>14100</v>
      </c>
      <c r="K23" s="144"/>
      <c r="L23" s="171"/>
    </row>
    <row r="24" spans="1:12" x14ac:dyDescent="0.2">
      <c r="A24" s="142"/>
      <c r="B24" s="333" t="s">
        <v>137</v>
      </c>
      <c r="C24" s="334"/>
      <c r="D24" s="335"/>
      <c r="E24" s="153" t="s">
        <v>121</v>
      </c>
      <c r="F24" s="167">
        <v>0.77200000000000002</v>
      </c>
      <c r="G24" s="168">
        <v>85000</v>
      </c>
      <c r="H24" s="252">
        <v>0.03</v>
      </c>
      <c r="I24" s="170">
        <f>+G24*F24</f>
        <v>65620</v>
      </c>
      <c r="J24" s="155">
        <f t="shared" ref="J24:J26" si="1">+I24</f>
        <v>65620</v>
      </c>
      <c r="K24" s="144"/>
      <c r="L24" s="171"/>
    </row>
    <row r="25" spans="1:12" x14ac:dyDescent="0.2">
      <c r="A25" s="142"/>
      <c r="B25" s="333"/>
      <c r="C25" s="334"/>
      <c r="D25" s="335"/>
      <c r="E25" s="153"/>
      <c r="F25" s="167"/>
      <c r="G25" s="168"/>
      <c r="H25" s="169"/>
      <c r="I25" s="170"/>
      <c r="J25" s="155">
        <f t="shared" si="1"/>
        <v>0</v>
      </c>
      <c r="K25" s="144"/>
    </row>
    <row r="26" spans="1:12" ht="10.8" thickBot="1" x14ac:dyDescent="0.25">
      <c r="A26" s="142"/>
      <c r="B26" s="348"/>
      <c r="C26" s="349"/>
      <c r="D26" s="350"/>
      <c r="E26" s="172"/>
      <c r="F26" s="173"/>
      <c r="G26" s="174"/>
      <c r="H26" s="175"/>
      <c r="I26" s="176"/>
      <c r="J26" s="177">
        <f t="shared" si="1"/>
        <v>0</v>
      </c>
      <c r="K26" s="144"/>
    </row>
    <row r="27" spans="1:12" ht="10.8" thickBot="1" x14ac:dyDescent="0.25">
      <c r="A27" s="142"/>
      <c r="B27" s="146"/>
      <c r="C27" s="146"/>
      <c r="D27" s="146"/>
      <c r="E27" s="146"/>
      <c r="F27" s="146"/>
      <c r="G27" s="146"/>
      <c r="H27" s="146"/>
      <c r="I27" s="159" t="s">
        <v>70</v>
      </c>
      <c r="J27" s="178">
        <f>SUM(J22:J26)</f>
        <v>323418</v>
      </c>
      <c r="K27" s="144"/>
    </row>
    <row r="28" spans="1:12" ht="6" customHeight="1" thickBot="1" x14ac:dyDescent="0.25">
      <c r="A28" s="142"/>
      <c r="B28" s="146"/>
      <c r="C28" s="146"/>
      <c r="D28" s="146"/>
      <c r="E28" s="146"/>
      <c r="F28" s="146"/>
      <c r="G28" s="146"/>
      <c r="H28" s="146"/>
      <c r="I28" s="159"/>
      <c r="J28" s="161"/>
      <c r="K28" s="144"/>
    </row>
    <row r="29" spans="1:12" ht="10.8" thickBot="1" x14ac:dyDescent="0.25">
      <c r="A29" s="142"/>
      <c r="B29" s="327" t="s">
        <v>75</v>
      </c>
      <c r="C29" s="328"/>
      <c r="D29" s="328"/>
      <c r="E29" s="328"/>
      <c r="F29" s="328"/>
      <c r="G29" s="328"/>
      <c r="H29" s="328"/>
      <c r="I29" s="328"/>
      <c r="J29" s="329"/>
      <c r="K29" s="144"/>
    </row>
    <row r="30" spans="1:12" ht="10.8" thickBot="1" x14ac:dyDescent="0.25">
      <c r="A30" s="142"/>
      <c r="B30" s="150" t="s">
        <v>76</v>
      </c>
      <c r="C30" s="150" t="s">
        <v>1</v>
      </c>
      <c r="D30" s="150" t="s">
        <v>77</v>
      </c>
      <c r="E30" s="150" t="s">
        <v>78</v>
      </c>
      <c r="F30" s="150" t="s">
        <v>79</v>
      </c>
      <c r="G30" s="330" t="s">
        <v>80</v>
      </c>
      <c r="H30" s="332"/>
      <c r="I30" s="143" t="s">
        <v>67</v>
      </c>
      <c r="J30" s="152" t="s">
        <v>68</v>
      </c>
      <c r="K30" s="144"/>
    </row>
    <row r="31" spans="1:12" x14ac:dyDescent="0.2">
      <c r="A31" s="142"/>
      <c r="B31" s="179"/>
      <c r="C31" s="180"/>
      <c r="D31" s="181"/>
      <c r="E31" s="181"/>
      <c r="F31" s="182"/>
      <c r="G31" s="338"/>
      <c r="H31" s="339"/>
      <c r="I31" s="182"/>
      <c r="J31" s="166"/>
      <c r="K31" s="144"/>
    </row>
    <row r="32" spans="1:12" x14ac:dyDescent="0.2">
      <c r="A32" s="142"/>
      <c r="B32" s="183"/>
      <c r="C32" s="184"/>
      <c r="D32" s="185"/>
      <c r="E32" s="185"/>
      <c r="F32" s="186"/>
      <c r="G32" s="351"/>
      <c r="H32" s="352"/>
      <c r="I32" s="186"/>
      <c r="J32" s="155"/>
      <c r="K32" s="144"/>
    </row>
    <row r="33" spans="1:11" x14ac:dyDescent="0.2">
      <c r="A33" s="142"/>
      <c r="B33" s="183"/>
      <c r="C33" s="184"/>
      <c r="D33" s="185"/>
      <c r="E33" s="185"/>
      <c r="F33" s="186"/>
      <c r="G33" s="351"/>
      <c r="H33" s="352"/>
      <c r="I33" s="186"/>
      <c r="J33" s="155"/>
      <c r="K33" s="144"/>
    </row>
    <row r="34" spans="1:11" x14ac:dyDescent="0.2">
      <c r="A34" s="142"/>
      <c r="B34" s="187"/>
      <c r="C34" s="188"/>
      <c r="D34" s="189"/>
      <c r="E34" s="189"/>
      <c r="F34" s="186"/>
      <c r="G34" s="351"/>
      <c r="H34" s="352"/>
      <c r="I34" s="186"/>
      <c r="J34" s="155"/>
      <c r="K34" s="144"/>
    </row>
    <row r="35" spans="1:11" ht="10.8" thickBot="1" x14ac:dyDescent="0.25">
      <c r="A35" s="142"/>
      <c r="B35" s="190"/>
      <c r="C35" s="191"/>
      <c r="D35" s="192"/>
      <c r="E35" s="193"/>
      <c r="F35" s="194" t="s">
        <v>81</v>
      </c>
      <c r="G35" s="353" t="s">
        <v>81</v>
      </c>
      <c r="H35" s="354"/>
      <c r="I35" s="194" t="s">
        <v>81</v>
      </c>
      <c r="J35" s="177"/>
      <c r="K35" s="144"/>
    </row>
    <row r="36" spans="1:11" ht="10.8" thickBot="1" x14ac:dyDescent="0.25">
      <c r="A36" s="142"/>
      <c r="B36" s="146"/>
      <c r="C36" s="146"/>
      <c r="D36" s="146"/>
      <c r="E36" s="146"/>
      <c r="F36" s="146"/>
      <c r="G36" s="146"/>
      <c r="H36" s="146"/>
      <c r="I36" s="159" t="s">
        <v>70</v>
      </c>
      <c r="J36" s="160">
        <f>SUM(J31:J35)</f>
        <v>0</v>
      </c>
      <c r="K36" s="144"/>
    </row>
    <row r="37" spans="1:11" ht="6" customHeight="1" thickBot="1" x14ac:dyDescent="0.25">
      <c r="A37" s="142"/>
      <c r="B37" s="146"/>
      <c r="C37" s="146"/>
      <c r="D37" s="146"/>
      <c r="E37" s="146"/>
      <c r="F37" s="146"/>
      <c r="G37" s="146"/>
      <c r="H37" s="146"/>
      <c r="I37" s="159"/>
      <c r="J37" s="161"/>
      <c r="K37" s="144"/>
    </row>
    <row r="38" spans="1:11" ht="10.8" thickBot="1" x14ac:dyDescent="0.25">
      <c r="A38" s="142"/>
      <c r="B38" s="327" t="s">
        <v>82</v>
      </c>
      <c r="C38" s="328"/>
      <c r="D38" s="328"/>
      <c r="E38" s="328"/>
      <c r="F38" s="328"/>
      <c r="G38" s="328"/>
      <c r="H38" s="328"/>
      <c r="I38" s="328"/>
      <c r="J38" s="329"/>
      <c r="K38" s="144"/>
    </row>
    <row r="39" spans="1:11" ht="10.8" thickBot="1" x14ac:dyDescent="0.25">
      <c r="A39" s="142"/>
      <c r="B39" s="330" t="s">
        <v>83</v>
      </c>
      <c r="C39" s="332"/>
      <c r="D39" s="150" t="s">
        <v>84</v>
      </c>
      <c r="E39" s="150" t="s">
        <v>85</v>
      </c>
      <c r="F39" s="151" t="s">
        <v>86</v>
      </c>
      <c r="G39" s="330" t="s">
        <v>66</v>
      </c>
      <c r="H39" s="332"/>
      <c r="I39" s="150" t="s">
        <v>67</v>
      </c>
      <c r="J39" s="152" t="s">
        <v>68</v>
      </c>
      <c r="K39" s="144"/>
    </row>
    <row r="40" spans="1:11" x14ac:dyDescent="0.2">
      <c r="A40" s="142"/>
      <c r="B40" s="417" t="s">
        <v>87</v>
      </c>
      <c r="C40" s="418"/>
      <c r="D40" s="195">
        <v>65000</v>
      </c>
      <c r="E40" s="165">
        <v>0.25</v>
      </c>
      <c r="F40" s="196">
        <f>+(D40*E40)+D40</f>
        <v>81250</v>
      </c>
      <c r="G40" s="357">
        <v>6</v>
      </c>
      <c r="H40" s="358"/>
      <c r="I40" s="196">
        <f>+F40/G40</f>
        <v>13541.666666666666</v>
      </c>
      <c r="J40" s="158">
        <f>+I40</f>
        <v>13541.666666666666</v>
      </c>
      <c r="K40" s="144"/>
    </row>
    <row r="41" spans="1:11" ht="10.8" thickBot="1" x14ac:dyDescent="0.25">
      <c r="A41" s="142"/>
      <c r="B41" s="359" t="s">
        <v>88</v>
      </c>
      <c r="C41" s="360"/>
      <c r="D41" s="197">
        <v>140000</v>
      </c>
      <c r="E41" s="198">
        <v>0.25</v>
      </c>
      <c r="F41" s="199">
        <f>+(D41*E41)+D41</f>
        <v>175000</v>
      </c>
      <c r="G41" s="361">
        <v>6</v>
      </c>
      <c r="H41" s="362"/>
      <c r="I41" s="199">
        <f>+F41/G41</f>
        <v>29166.666666666668</v>
      </c>
      <c r="J41" s="177">
        <f>+I41</f>
        <v>29166.666666666668</v>
      </c>
      <c r="K41" s="144"/>
    </row>
    <row r="42" spans="1:11" ht="10.8" thickBot="1" x14ac:dyDescent="0.25">
      <c r="A42" s="142"/>
      <c r="B42" s="146"/>
      <c r="C42" s="146"/>
      <c r="D42" s="146"/>
      <c r="E42" s="146"/>
      <c r="F42" s="146"/>
      <c r="G42" s="146"/>
      <c r="H42" s="146"/>
      <c r="I42" s="159" t="s">
        <v>70</v>
      </c>
      <c r="J42" s="160">
        <f>SUM(J40:J41)</f>
        <v>42708.333333333336</v>
      </c>
      <c r="K42" s="144"/>
    </row>
    <row r="43" spans="1:11" ht="6" customHeight="1" thickBot="1" x14ac:dyDescent="0.25">
      <c r="A43" s="142"/>
      <c r="B43" s="146"/>
      <c r="C43" s="146"/>
      <c r="D43" s="146"/>
      <c r="E43" s="146"/>
      <c r="F43" s="146"/>
      <c r="G43" s="146"/>
      <c r="H43" s="146"/>
      <c r="I43" s="200"/>
      <c r="J43" s="147"/>
      <c r="K43" s="144"/>
    </row>
    <row r="44" spans="1:11" ht="10.8" thickBot="1" x14ac:dyDescent="0.25">
      <c r="A44" s="142"/>
      <c r="C44" s="148"/>
      <c r="D44" s="148"/>
      <c r="E44" s="148"/>
      <c r="F44" s="148"/>
      <c r="G44" s="363" t="s">
        <v>89</v>
      </c>
      <c r="H44" s="363"/>
      <c r="I44" s="364"/>
      <c r="J44" s="152">
        <f>SUM(J42,J36,J27,J18)</f>
        <v>383730.5</v>
      </c>
      <c r="K44" s="144"/>
    </row>
    <row r="45" spans="1:11" ht="6" customHeight="1" thickBot="1" x14ac:dyDescent="0.25">
      <c r="A45" s="142"/>
      <c r="J45" s="201"/>
      <c r="K45" s="144"/>
    </row>
    <row r="46" spans="1:11" ht="10.8" thickBot="1" x14ac:dyDescent="0.25">
      <c r="A46" s="142"/>
      <c r="B46" s="327" t="s">
        <v>90</v>
      </c>
      <c r="C46" s="328"/>
      <c r="D46" s="328"/>
      <c r="E46" s="328"/>
      <c r="F46" s="328"/>
      <c r="G46" s="328"/>
      <c r="H46" s="328"/>
      <c r="I46" s="328"/>
      <c r="J46" s="329"/>
      <c r="K46" s="144"/>
    </row>
    <row r="47" spans="1:11" ht="6" customHeight="1" thickBot="1" x14ac:dyDescent="0.25">
      <c r="A47" s="142"/>
      <c r="J47" s="201"/>
      <c r="K47" s="144"/>
    </row>
    <row r="48" spans="1:11" ht="10.8" thickBot="1" x14ac:dyDescent="0.25">
      <c r="A48" s="142"/>
      <c r="B48" s="202" t="s">
        <v>91</v>
      </c>
      <c r="C48" s="365" t="s">
        <v>92</v>
      </c>
      <c r="D48" s="366"/>
      <c r="E48" s="365" t="s">
        <v>93</v>
      </c>
      <c r="F48" s="366"/>
      <c r="G48" s="367" t="s">
        <v>94</v>
      </c>
      <c r="H48" s="368"/>
      <c r="I48" s="203" t="s">
        <v>95</v>
      </c>
      <c r="J48" s="204" t="s">
        <v>96</v>
      </c>
      <c r="K48" s="144"/>
    </row>
    <row r="49" spans="1:11" ht="6" customHeight="1" thickBot="1" x14ac:dyDescent="0.25">
      <c r="A49" s="142"/>
      <c r="B49" s="205"/>
      <c r="C49" s="205"/>
      <c r="D49" s="205"/>
      <c r="E49" s="205"/>
      <c r="F49" s="205"/>
      <c r="J49" s="201"/>
      <c r="K49" s="144"/>
    </row>
    <row r="50" spans="1:11" ht="10.8" thickBot="1" x14ac:dyDescent="0.25">
      <c r="A50" s="142"/>
      <c r="B50" s="206"/>
      <c r="C50" s="369"/>
      <c r="D50" s="368"/>
      <c r="E50" s="369"/>
      <c r="F50" s="368"/>
      <c r="G50" s="367" t="s">
        <v>97</v>
      </c>
      <c r="H50" s="368"/>
      <c r="I50" s="207">
        <v>0</v>
      </c>
      <c r="J50" s="208">
        <f>+I50*J44</f>
        <v>0</v>
      </c>
      <c r="K50" s="144"/>
    </row>
    <row r="51" spans="1:11" ht="17.25" customHeight="1" thickBot="1" x14ac:dyDescent="0.25">
      <c r="A51" s="142"/>
      <c r="B51" s="205"/>
      <c r="C51" s="205"/>
      <c r="D51" s="205"/>
      <c r="E51" s="205"/>
      <c r="F51" s="205"/>
      <c r="I51" s="209"/>
      <c r="J51" s="201"/>
      <c r="K51" s="144"/>
    </row>
    <row r="52" spans="1:11" ht="10.8" thickBot="1" x14ac:dyDescent="0.25">
      <c r="A52" s="142"/>
      <c r="B52" s="370" t="s">
        <v>98</v>
      </c>
      <c r="C52" s="371"/>
      <c r="D52" s="371"/>
      <c r="E52" s="371"/>
      <c r="F52" s="372"/>
      <c r="G52" s="367" t="s">
        <v>99</v>
      </c>
      <c r="H52" s="368"/>
      <c r="I52" s="207">
        <v>0</v>
      </c>
      <c r="J52" s="208">
        <f>+I52*J44</f>
        <v>0</v>
      </c>
      <c r="K52" s="144"/>
    </row>
    <row r="53" spans="1:11" ht="10.8" thickBot="1" x14ac:dyDescent="0.25">
      <c r="A53" s="142"/>
      <c r="B53" s="373"/>
      <c r="C53" s="374"/>
      <c r="D53" s="374"/>
      <c r="E53" s="374"/>
      <c r="F53" s="375"/>
      <c r="I53" s="209"/>
      <c r="J53" s="201"/>
      <c r="K53" s="144"/>
    </row>
    <row r="54" spans="1:11" ht="10.8" thickBot="1" x14ac:dyDescent="0.25">
      <c r="A54" s="142"/>
      <c r="B54" s="373"/>
      <c r="C54" s="374"/>
      <c r="D54" s="374"/>
      <c r="E54" s="374"/>
      <c r="F54" s="375"/>
      <c r="G54" s="367" t="s">
        <v>100</v>
      </c>
      <c r="H54" s="368"/>
      <c r="I54" s="207">
        <v>0</v>
      </c>
      <c r="J54" s="208">
        <f>+I54*J44</f>
        <v>0</v>
      </c>
      <c r="K54" s="144"/>
    </row>
    <row r="55" spans="1:11" ht="6" customHeight="1" thickBot="1" x14ac:dyDescent="0.25">
      <c r="A55" s="142"/>
      <c r="B55" s="373"/>
      <c r="C55" s="374"/>
      <c r="D55" s="374"/>
      <c r="E55" s="374"/>
      <c r="F55" s="375"/>
      <c r="J55" s="201"/>
      <c r="K55" s="144"/>
    </row>
    <row r="56" spans="1:11" ht="10.8" thickBot="1" x14ac:dyDescent="0.25">
      <c r="A56" s="142"/>
      <c r="B56" s="373"/>
      <c r="C56" s="374"/>
      <c r="D56" s="374"/>
      <c r="E56" s="374"/>
      <c r="F56" s="375"/>
      <c r="G56" s="367" t="s">
        <v>101</v>
      </c>
      <c r="H56" s="367"/>
      <c r="I56" s="368"/>
      <c r="J56" s="211">
        <f>SUM(J50,J52,J54)</f>
        <v>0</v>
      </c>
      <c r="K56" s="144"/>
    </row>
    <row r="57" spans="1:11" ht="6" customHeight="1" thickBot="1" x14ac:dyDescent="0.25">
      <c r="A57" s="142"/>
      <c r="B57" s="373"/>
      <c r="C57" s="374"/>
      <c r="D57" s="374"/>
      <c r="E57" s="374"/>
      <c r="F57" s="375"/>
      <c r="J57" s="201"/>
      <c r="K57" s="144"/>
    </row>
    <row r="58" spans="1:11" ht="18.75" customHeight="1" thickBot="1" x14ac:dyDescent="0.25">
      <c r="A58" s="142"/>
      <c r="B58" s="376"/>
      <c r="C58" s="377"/>
      <c r="D58" s="377"/>
      <c r="E58" s="377"/>
      <c r="F58" s="378"/>
      <c r="G58" s="379" t="s">
        <v>54</v>
      </c>
      <c r="H58" s="379"/>
      <c r="I58" s="380"/>
      <c r="J58" s="212">
        <f>+J56+J44</f>
        <v>383730.5</v>
      </c>
      <c r="K58" s="144"/>
    </row>
    <row r="59" spans="1:11" ht="6" customHeight="1" thickBot="1" x14ac:dyDescent="0.25">
      <c r="A59" s="213"/>
      <c r="B59" s="214"/>
      <c r="C59" s="214"/>
      <c r="D59" s="214"/>
      <c r="E59" s="214"/>
      <c r="F59" s="214"/>
      <c r="G59" s="214"/>
      <c r="H59" s="214"/>
      <c r="I59" s="214"/>
      <c r="J59" s="215"/>
      <c r="K59" s="216"/>
    </row>
  </sheetData>
  <mergeCells count="50">
    <mergeCell ref="B52:F58"/>
    <mergeCell ref="G52:H52"/>
    <mergeCell ref="G54:H54"/>
    <mergeCell ref="G56:I56"/>
    <mergeCell ref="G58:I58"/>
    <mergeCell ref="C50:D50"/>
    <mergeCell ref="E50:F50"/>
    <mergeCell ref="G50:H50"/>
    <mergeCell ref="B38:J38"/>
    <mergeCell ref="B39:C39"/>
    <mergeCell ref="G39:H39"/>
    <mergeCell ref="B40:C40"/>
    <mergeCell ref="G40:H40"/>
    <mergeCell ref="B41:C41"/>
    <mergeCell ref="G41:H41"/>
    <mergeCell ref="G44:I44"/>
    <mergeCell ref="B46:J46"/>
    <mergeCell ref="C48:D48"/>
    <mergeCell ref="E48:F48"/>
    <mergeCell ref="G48:H48"/>
    <mergeCell ref="G35:H35"/>
    <mergeCell ref="B22:D22"/>
    <mergeCell ref="B23:D23"/>
    <mergeCell ref="B24:D24"/>
    <mergeCell ref="B25:D25"/>
    <mergeCell ref="B26:D26"/>
    <mergeCell ref="B29:J29"/>
    <mergeCell ref="G30:H30"/>
    <mergeCell ref="G31:H31"/>
    <mergeCell ref="G32:H32"/>
    <mergeCell ref="G33:H33"/>
    <mergeCell ref="G34:H34"/>
    <mergeCell ref="B21:D21"/>
    <mergeCell ref="B11:J11"/>
    <mergeCell ref="B13:J13"/>
    <mergeCell ref="B14:D14"/>
    <mergeCell ref="G14:H14"/>
    <mergeCell ref="B15:D15"/>
    <mergeCell ref="G15:H15"/>
    <mergeCell ref="B16:D16"/>
    <mergeCell ref="G16:H16"/>
    <mergeCell ref="B17:D17"/>
    <mergeCell ref="G17:H17"/>
    <mergeCell ref="B20:J20"/>
    <mergeCell ref="B3:D5"/>
    <mergeCell ref="E3:J5"/>
    <mergeCell ref="B7:J7"/>
    <mergeCell ref="B8:J8"/>
    <mergeCell ref="B9:E9"/>
    <mergeCell ref="F9:J9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38735-4D9E-4E29-8D28-8B8B557A9D97}">
  <dimension ref="A1:L58"/>
  <sheetViews>
    <sheetView topLeftCell="C33" workbookViewId="0">
      <selection activeCell="G41" sqref="G41"/>
    </sheetView>
  </sheetViews>
  <sheetFormatPr baseColWidth="10" defaultColWidth="11.44140625" defaultRowHeight="10.199999999999999" x14ac:dyDescent="0.2"/>
  <cols>
    <col min="1" max="1" width="1.44140625" style="84" customWidth="1"/>
    <col min="2" max="3" width="11.44140625" style="84"/>
    <col min="4" max="4" width="14.33203125" style="84" bestFit="1" customWidth="1"/>
    <col min="5" max="5" width="13.44140625" style="84" bestFit="1" customWidth="1"/>
    <col min="6" max="7" width="12.109375" style="84" customWidth="1"/>
    <col min="8" max="8" width="7.6640625" style="84" customWidth="1"/>
    <col min="9" max="9" width="13.44140625" style="84" bestFit="1" customWidth="1"/>
    <col min="10" max="10" width="16" style="137" bestFit="1" customWidth="1"/>
    <col min="11" max="11" width="1.44140625" style="84" customWidth="1"/>
    <col min="12" max="12" width="12" style="84" bestFit="1" customWidth="1"/>
    <col min="13" max="16384" width="11.44140625" style="84"/>
  </cols>
  <sheetData>
    <row r="1" spans="1:11" ht="10.8" thickBot="1" x14ac:dyDescent="0.25"/>
    <row r="2" spans="1:11" ht="6.75" customHeight="1" thickBot="1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40"/>
      <c r="K2" s="141"/>
    </row>
    <row r="3" spans="1:11" x14ac:dyDescent="0.2">
      <c r="A3" s="142"/>
      <c r="B3" s="296"/>
      <c r="C3" s="297"/>
      <c r="D3" s="298"/>
      <c r="E3" s="305" t="s">
        <v>59</v>
      </c>
      <c r="F3" s="306"/>
      <c r="G3" s="306"/>
      <c r="H3" s="306"/>
      <c r="I3" s="306"/>
      <c r="J3" s="307"/>
      <c r="K3" s="144"/>
    </row>
    <row r="4" spans="1:11" x14ac:dyDescent="0.2">
      <c r="A4" s="142"/>
      <c r="B4" s="299"/>
      <c r="C4" s="300"/>
      <c r="D4" s="301"/>
      <c r="E4" s="308"/>
      <c r="F4" s="309"/>
      <c r="G4" s="309"/>
      <c r="H4" s="309"/>
      <c r="I4" s="309"/>
      <c r="J4" s="310"/>
      <c r="K4" s="144"/>
    </row>
    <row r="5" spans="1:11" ht="10.8" thickBot="1" x14ac:dyDescent="0.25">
      <c r="A5" s="142"/>
      <c r="B5" s="302"/>
      <c r="C5" s="303"/>
      <c r="D5" s="304"/>
      <c r="E5" s="311"/>
      <c r="F5" s="312"/>
      <c r="G5" s="312"/>
      <c r="H5" s="312"/>
      <c r="I5" s="312"/>
      <c r="J5" s="313"/>
      <c r="K5" s="144"/>
    </row>
    <row r="6" spans="1:11" ht="6" customHeight="1" thickBot="1" x14ac:dyDescent="0.25">
      <c r="A6" s="142"/>
      <c r="B6" s="145"/>
      <c r="C6" s="146"/>
      <c r="D6" s="9"/>
      <c r="E6" s="146"/>
      <c r="F6" s="146"/>
      <c r="G6" s="146"/>
      <c r="H6" s="146"/>
      <c r="I6" s="146"/>
      <c r="J6" s="147"/>
      <c r="K6" s="144"/>
    </row>
    <row r="7" spans="1:11" x14ac:dyDescent="0.2">
      <c r="A7" s="142"/>
      <c r="B7" s="400" t="s">
        <v>201</v>
      </c>
      <c r="C7" s="401"/>
      <c r="D7" s="401"/>
      <c r="E7" s="401"/>
      <c r="F7" s="401"/>
      <c r="G7" s="401"/>
      <c r="H7" s="401"/>
      <c r="I7" s="401"/>
      <c r="J7" s="402"/>
      <c r="K7" s="144"/>
    </row>
    <row r="8" spans="1:11" ht="10.8" thickBot="1" x14ac:dyDescent="0.25">
      <c r="A8" s="142"/>
      <c r="B8" s="317"/>
      <c r="C8" s="318"/>
      <c r="D8" s="318"/>
      <c r="E8" s="318"/>
      <c r="F8" s="318"/>
      <c r="G8" s="318"/>
      <c r="H8" s="318"/>
      <c r="I8" s="318"/>
      <c r="J8" s="319"/>
      <c r="K8" s="144"/>
    </row>
    <row r="9" spans="1:11" ht="26.25" customHeight="1" thickBot="1" x14ac:dyDescent="0.25">
      <c r="A9" s="142"/>
      <c r="B9" s="383" t="s">
        <v>211</v>
      </c>
      <c r="C9" s="384"/>
      <c r="D9" s="384"/>
      <c r="E9" s="385"/>
      <c r="F9" s="403" t="s">
        <v>138</v>
      </c>
      <c r="G9" s="404"/>
      <c r="H9" s="405"/>
      <c r="I9" s="405"/>
      <c r="J9" s="406"/>
      <c r="K9" s="144"/>
    </row>
    <row r="10" spans="1:11" ht="6" customHeight="1" thickBot="1" x14ac:dyDescent="0.25">
      <c r="A10" s="142"/>
      <c r="B10" s="148"/>
      <c r="C10" s="148"/>
      <c r="D10" s="146"/>
      <c r="E10" s="148"/>
      <c r="F10" s="148"/>
      <c r="G10" s="148"/>
      <c r="H10" s="148"/>
      <c r="I10" s="148"/>
      <c r="J10" s="147"/>
      <c r="K10" s="144"/>
    </row>
    <row r="11" spans="1:11" ht="16.5" customHeight="1" thickBot="1" x14ac:dyDescent="0.25">
      <c r="A11" s="142"/>
      <c r="B11" s="327" t="s">
        <v>61</v>
      </c>
      <c r="C11" s="328"/>
      <c r="D11" s="328"/>
      <c r="E11" s="328"/>
      <c r="F11" s="328"/>
      <c r="G11" s="328"/>
      <c r="H11" s="328"/>
      <c r="I11" s="328"/>
      <c r="J11" s="329"/>
      <c r="K11" s="144"/>
    </row>
    <row r="12" spans="1:11" ht="6" customHeight="1" thickBot="1" x14ac:dyDescent="0.25">
      <c r="A12" s="142"/>
      <c r="B12" s="148"/>
      <c r="C12" s="148"/>
      <c r="D12" s="146"/>
      <c r="E12" s="148"/>
      <c r="F12" s="148"/>
      <c r="G12" s="148"/>
      <c r="H12" s="148"/>
      <c r="I12" s="148"/>
      <c r="J12" s="147"/>
      <c r="K12" s="144"/>
    </row>
    <row r="13" spans="1:11" ht="10.8" thickBot="1" x14ac:dyDescent="0.25">
      <c r="A13" s="142"/>
      <c r="B13" s="327" t="s">
        <v>62</v>
      </c>
      <c r="C13" s="328"/>
      <c r="D13" s="328"/>
      <c r="E13" s="328"/>
      <c r="F13" s="328"/>
      <c r="G13" s="328"/>
      <c r="H13" s="328"/>
      <c r="I13" s="328"/>
      <c r="J13" s="329"/>
      <c r="K13" s="144"/>
    </row>
    <row r="14" spans="1:11" ht="10.8" thickBot="1" x14ac:dyDescent="0.25">
      <c r="A14" s="142"/>
      <c r="B14" s="330" t="s">
        <v>63</v>
      </c>
      <c r="C14" s="331"/>
      <c r="D14" s="332"/>
      <c r="E14" s="150" t="s">
        <v>64</v>
      </c>
      <c r="F14" s="151" t="s">
        <v>65</v>
      </c>
      <c r="G14" s="330" t="s">
        <v>66</v>
      </c>
      <c r="H14" s="332"/>
      <c r="I14" s="149" t="s">
        <v>67</v>
      </c>
      <c r="J14" s="152" t="s">
        <v>68</v>
      </c>
      <c r="K14" s="144"/>
    </row>
    <row r="15" spans="1:11" x14ac:dyDescent="0.2">
      <c r="A15" s="142"/>
      <c r="B15" s="333" t="s">
        <v>69</v>
      </c>
      <c r="C15" s="334"/>
      <c r="D15" s="335"/>
      <c r="E15" s="153"/>
      <c r="F15" s="153"/>
      <c r="G15" s="424"/>
      <c r="H15" s="425"/>
      <c r="I15" s="154">
        <f>+J41*0.1</f>
        <v>12.5</v>
      </c>
      <c r="J15" s="155">
        <f t="shared" ref="J15" si="0">+I15</f>
        <v>12.5</v>
      </c>
      <c r="K15" s="144"/>
    </row>
    <row r="16" spans="1:11" ht="10.8" thickBot="1" x14ac:dyDescent="0.25">
      <c r="A16" s="142"/>
      <c r="B16" s="340"/>
      <c r="C16" s="341"/>
      <c r="D16" s="342"/>
      <c r="E16" s="156"/>
      <c r="F16" s="156"/>
      <c r="G16" s="426"/>
      <c r="H16" s="427"/>
      <c r="I16" s="239"/>
      <c r="J16" s="158"/>
      <c r="K16" s="144"/>
    </row>
    <row r="17" spans="1:12" ht="10.8" thickBot="1" x14ac:dyDescent="0.25">
      <c r="A17" s="142"/>
      <c r="B17" s="146"/>
      <c r="C17" s="146"/>
      <c r="D17" s="146"/>
      <c r="E17" s="146"/>
      <c r="F17" s="146"/>
      <c r="G17" s="146"/>
      <c r="H17" s="146"/>
      <c r="I17" s="159" t="s">
        <v>70</v>
      </c>
      <c r="J17" s="160">
        <f>SUM(J15:J16)</f>
        <v>12.5</v>
      </c>
      <c r="K17" s="144"/>
    </row>
    <row r="18" spans="1:12" ht="6" customHeight="1" thickBot="1" x14ac:dyDescent="0.25">
      <c r="A18" s="142"/>
      <c r="B18" s="146"/>
      <c r="C18" s="146"/>
      <c r="D18" s="146"/>
      <c r="E18" s="146"/>
      <c r="F18" s="146"/>
      <c r="G18" s="146"/>
      <c r="H18" s="146"/>
      <c r="I18" s="159"/>
      <c r="J18" s="161"/>
      <c r="K18" s="144"/>
    </row>
    <row r="19" spans="1:12" ht="10.8" thickBot="1" x14ac:dyDescent="0.25">
      <c r="A19" s="142"/>
      <c r="B19" s="327" t="s">
        <v>71</v>
      </c>
      <c r="C19" s="328"/>
      <c r="D19" s="328"/>
      <c r="E19" s="328"/>
      <c r="F19" s="328"/>
      <c r="G19" s="328"/>
      <c r="H19" s="328"/>
      <c r="I19" s="328"/>
      <c r="J19" s="329"/>
      <c r="K19" s="144"/>
    </row>
    <row r="20" spans="1:12" ht="10.8" thickBot="1" x14ac:dyDescent="0.25">
      <c r="A20" s="142"/>
      <c r="B20" s="330" t="s">
        <v>63</v>
      </c>
      <c r="C20" s="331"/>
      <c r="D20" s="332"/>
      <c r="E20" s="150" t="s">
        <v>1</v>
      </c>
      <c r="F20" s="150" t="s">
        <v>72</v>
      </c>
      <c r="G20" s="150" t="s">
        <v>73</v>
      </c>
      <c r="H20" s="143" t="s">
        <v>74</v>
      </c>
      <c r="I20" s="149" t="s">
        <v>67</v>
      </c>
      <c r="J20" s="152" t="s">
        <v>68</v>
      </c>
      <c r="K20" s="144"/>
    </row>
    <row r="21" spans="1:12" x14ac:dyDescent="0.2">
      <c r="A21" s="142"/>
      <c r="B21" s="345" t="s">
        <v>139</v>
      </c>
      <c r="C21" s="346"/>
      <c r="D21" s="347"/>
      <c r="E21" s="162" t="s">
        <v>133</v>
      </c>
      <c r="F21" s="163">
        <v>1</v>
      </c>
      <c r="G21" s="164">
        <v>4610.29</v>
      </c>
      <c r="H21" s="169">
        <v>0.03</v>
      </c>
      <c r="I21" s="164">
        <f>+(F21*H21*G21)+G21</f>
        <v>4748.5986999999996</v>
      </c>
      <c r="J21" s="166">
        <f>+I21</f>
        <v>4748.5986999999996</v>
      </c>
      <c r="L21" s="253"/>
    </row>
    <row r="22" spans="1:12" x14ac:dyDescent="0.2">
      <c r="A22" s="142"/>
      <c r="B22" s="333" t="s">
        <v>140</v>
      </c>
      <c r="C22" s="334"/>
      <c r="D22" s="335"/>
      <c r="E22" s="153" t="s">
        <v>133</v>
      </c>
      <c r="F22" s="254">
        <v>2.5000000000000001E-3</v>
      </c>
      <c r="G22" s="168">
        <v>6996</v>
      </c>
      <c r="H22" s="169">
        <v>0.03</v>
      </c>
      <c r="I22" s="251">
        <f>+(((F22*H22)+F22)*G22)</f>
        <v>18.014700000000001</v>
      </c>
      <c r="J22" s="158">
        <f>+I22</f>
        <v>18.014700000000001</v>
      </c>
      <c r="K22" s="144"/>
      <c r="L22" s="171"/>
    </row>
    <row r="23" spans="1:12" x14ac:dyDescent="0.2">
      <c r="A23" s="142"/>
      <c r="B23" s="333"/>
      <c r="C23" s="334"/>
      <c r="D23" s="335"/>
      <c r="E23" s="153"/>
      <c r="F23" s="167"/>
      <c r="G23" s="168"/>
      <c r="H23" s="252"/>
      <c r="I23" s="170"/>
      <c r="J23" s="155"/>
      <c r="K23" s="144"/>
      <c r="L23" s="171"/>
    </row>
    <row r="24" spans="1:12" x14ac:dyDescent="0.2">
      <c r="A24" s="142"/>
      <c r="B24" s="333"/>
      <c r="C24" s="334"/>
      <c r="D24" s="335"/>
      <c r="E24" s="153"/>
      <c r="F24" s="167"/>
      <c r="G24" s="168"/>
      <c r="H24" s="169"/>
      <c r="I24" s="170"/>
      <c r="J24" s="155">
        <f t="shared" ref="J24:J25" si="1">+I24</f>
        <v>0</v>
      </c>
      <c r="K24" s="144"/>
    </row>
    <row r="25" spans="1:12" ht="10.8" thickBot="1" x14ac:dyDescent="0.25">
      <c r="A25" s="142"/>
      <c r="B25" s="348"/>
      <c r="C25" s="349"/>
      <c r="D25" s="350"/>
      <c r="E25" s="172"/>
      <c r="F25" s="173"/>
      <c r="G25" s="174"/>
      <c r="H25" s="175"/>
      <c r="I25" s="176"/>
      <c r="J25" s="177">
        <f t="shared" si="1"/>
        <v>0</v>
      </c>
      <c r="K25" s="144"/>
    </row>
    <row r="26" spans="1:12" ht="10.8" thickBot="1" x14ac:dyDescent="0.25">
      <c r="A26" s="142"/>
      <c r="B26" s="146"/>
      <c r="C26" s="146"/>
      <c r="D26" s="146"/>
      <c r="E26" s="146"/>
      <c r="F26" s="146"/>
      <c r="G26" s="146"/>
      <c r="H26" s="146"/>
      <c r="I26" s="159" t="s">
        <v>70</v>
      </c>
      <c r="J26" s="178">
        <f>SUM(J21:J25)</f>
        <v>4766.6133999999993</v>
      </c>
      <c r="K26" s="144"/>
    </row>
    <row r="27" spans="1:12" ht="6" customHeight="1" thickBot="1" x14ac:dyDescent="0.25">
      <c r="A27" s="142"/>
      <c r="B27" s="146"/>
      <c r="C27" s="146"/>
      <c r="D27" s="146"/>
      <c r="E27" s="146"/>
      <c r="F27" s="146"/>
      <c r="G27" s="146"/>
      <c r="H27" s="146"/>
      <c r="I27" s="159"/>
      <c r="J27" s="161"/>
      <c r="K27" s="144"/>
    </row>
    <row r="28" spans="1:12" ht="10.8" thickBot="1" x14ac:dyDescent="0.25">
      <c r="A28" s="142"/>
      <c r="B28" s="327" t="s">
        <v>75</v>
      </c>
      <c r="C28" s="328"/>
      <c r="D28" s="328"/>
      <c r="E28" s="328"/>
      <c r="F28" s="328"/>
      <c r="G28" s="328"/>
      <c r="H28" s="328"/>
      <c r="I28" s="328"/>
      <c r="J28" s="329"/>
      <c r="K28" s="144"/>
    </row>
    <row r="29" spans="1:12" ht="10.8" thickBot="1" x14ac:dyDescent="0.25">
      <c r="A29" s="142"/>
      <c r="B29" s="150" t="s">
        <v>76</v>
      </c>
      <c r="C29" s="150" t="s">
        <v>1</v>
      </c>
      <c r="D29" s="150" t="s">
        <v>77</v>
      </c>
      <c r="E29" s="150" t="s">
        <v>78</v>
      </c>
      <c r="F29" s="150" t="s">
        <v>79</v>
      </c>
      <c r="G29" s="330" t="s">
        <v>80</v>
      </c>
      <c r="H29" s="332"/>
      <c r="I29" s="143" t="s">
        <v>67</v>
      </c>
      <c r="J29" s="152" t="s">
        <v>68</v>
      </c>
      <c r="K29" s="144"/>
    </row>
    <row r="30" spans="1:12" x14ac:dyDescent="0.2">
      <c r="A30" s="142"/>
      <c r="B30" s="179"/>
      <c r="C30" s="180"/>
      <c r="D30" s="181"/>
      <c r="E30" s="181"/>
      <c r="F30" s="182"/>
      <c r="G30" s="338"/>
      <c r="H30" s="339"/>
      <c r="I30" s="182"/>
      <c r="J30" s="166"/>
      <c r="K30" s="144"/>
    </row>
    <row r="31" spans="1:12" x14ac:dyDescent="0.2">
      <c r="A31" s="142"/>
      <c r="B31" s="183"/>
      <c r="C31" s="184"/>
      <c r="D31" s="185"/>
      <c r="E31" s="185"/>
      <c r="F31" s="186"/>
      <c r="G31" s="351"/>
      <c r="H31" s="352"/>
      <c r="I31" s="186"/>
      <c r="J31" s="155"/>
      <c r="K31" s="144"/>
    </row>
    <row r="32" spans="1:12" x14ac:dyDescent="0.2">
      <c r="A32" s="142"/>
      <c r="B32" s="183"/>
      <c r="C32" s="184"/>
      <c r="D32" s="185"/>
      <c r="E32" s="185"/>
      <c r="F32" s="186"/>
      <c r="G32" s="351"/>
      <c r="H32" s="352"/>
      <c r="I32" s="186"/>
      <c r="J32" s="155"/>
      <c r="K32" s="144"/>
    </row>
    <row r="33" spans="1:11" x14ac:dyDescent="0.2">
      <c r="A33" s="142"/>
      <c r="B33" s="187"/>
      <c r="C33" s="188"/>
      <c r="D33" s="189"/>
      <c r="E33" s="189"/>
      <c r="F33" s="186"/>
      <c r="G33" s="351"/>
      <c r="H33" s="352"/>
      <c r="I33" s="186"/>
      <c r="J33" s="155"/>
      <c r="K33" s="144"/>
    </row>
    <row r="34" spans="1:11" ht="10.8" thickBot="1" x14ac:dyDescent="0.25">
      <c r="A34" s="142"/>
      <c r="B34" s="190"/>
      <c r="C34" s="191"/>
      <c r="D34" s="192"/>
      <c r="E34" s="193"/>
      <c r="F34" s="194" t="s">
        <v>81</v>
      </c>
      <c r="G34" s="353" t="s">
        <v>81</v>
      </c>
      <c r="H34" s="354"/>
      <c r="I34" s="194" t="s">
        <v>81</v>
      </c>
      <c r="J34" s="177"/>
      <c r="K34" s="144"/>
    </row>
    <row r="35" spans="1:11" ht="10.8" thickBot="1" x14ac:dyDescent="0.25">
      <c r="A35" s="142"/>
      <c r="B35" s="146"/>
      <c r="C35" s="146"/>
      <c r="D35" s="146"/>
      <c r="E35" s="146"/>
      <c r="F35" s="146"/>
      <c r="G35" s="146"/>
      <c r="H35" s="146"/>
      <c r="I35" s="159" t="s">
        <v>70</v>
      </c>
      <c r="J35" s="160">
        <f>SUM(J30:J34)</f>
        <v>0</v>
      </c>
      <c r="K35" s="144"/>
    </row>
    <row r="36" spans="1:11" ht="6" customHeight="1" thickBot="1" x14ac:dyDescent="0.25">
      <c r="A36" s="142"/>
      <c r="B36" s="146"/>
      <c r="C36" s="146"/>
      <c r="D36" s="146"/>
      <c r="E36" s="146"/>
      <c r="F36" s="146"/>
      <c r="G36" s="146"/>
      <c r="H36" s="146"/>
      <c r="I36" s="159"/>
      <c r="J36" s="161"/>
      <c r="K36" s="144"/>
    </row>
    <row r="37" spans="1:11" ht="10.8" thickBot="1" x14ac:dyDescent="0.25">
      <c r="A37" s="142"/>
      <c r="B37" s="327" t="s">
        <v>82</v>
      </c>
      <c r="C37" s="328"/>
      <c r="D37" s="328"/>
      <c r="E37" s="328"/>
      <c r="F37" s="328"/>
      <c r="G37" s="328"/>
      <c r="H37" s="328"/>
      <c r="I37" s="328"/>
      <c r="J37" s="329"/>
      <c r="K37" s="144"/>
    </row>
    <row r="38" spans="1:11" ht="10.8" thickBot="1" x14ac:dyDescent="0.25">
      <c r="A38" s="142"/>
      <c r="B38" s="330" t="s">
        <v>83</v>
      </c>
      <c r="C38" s="332"/>
      <c r="D38" s="150" t="s">
        <v>84</v>
      </c>
      <c r="E38" s="150" t="s">
        <v>85</v>
      </c>
      <c r="F38" s="151" t="s">
        <v>86</v>
      </c>
      <c r="G38" s="330" t="s">
        <v>66</v>
      </c>
      <c r="H38" s="332"/>
      <c r="I38" s="150" t="s">
        <v>67</v>
      </c>
      <c r="J38" s="152" t="s">
        <v>68</v>
      </c>
      <c r="K38" s="144"/>
    </row>
    <row r="39" spans="1:11" x14ac:dyDescent="0.2">
      <c r="A39" s="142"/>
      <c r="B39" s="417" t="s">
        <v>87</v>
      </c>
      <c r="C39" s="418"/>
      <c r="D39" s="195">
        <v>65000</v>
      </c>
      <c r="E39" s="165">
        <v>0.25</v>
      </c>
      <c r="F39" s="255">
        <f>+(D39*E39)+D39</f>
        <v>81250</v>
      </c>
      <c r="G39" s="357">
        <v>700</v>
      </c>
      <c r="H39" s="358"/>
      <c r="I39" s="255">
        <f>+F39/G39</f>
        <v>116.07142857142857</v>
      </c>
      <c r="J39" s="158">
        <f>+I39</f>
        <v>116.07142857142857</v>
      </c>
      <c r="K39" s="144"/>
    </row>
    <row r="40" spans="1:11" ht="10.8" thickBot="1" x14ac:dyDescent="0.25">
      <c r="A40" s="142"/>
      <c r="B40" s="340" t="s">
        <v>88</v>
      </c>
      <c r="C40" s="342"/>
      <c r="D40" s="256">
        <v>70000</v>
      </c>
      <c r="E40" s="198">
        <v>0.25</v>
      </c>
      <c r="F40" s="239">
        <f>+(D40*E40)+D40</f>
        <v>87500</v>
      </c>
      <c r="G40" s="428">
        <v>700</v>
      </c>
      <c r="H40" s="429"/>
      <c r="I40" s="239">
        <f>+F40/G40</f>
        <v>125</v>
      </c>
      <c r="J40" s="257">
        <f>+I40</f>
        <v>125</v>
      </c>
      <c r="K40" s="144"/>
    </row>
    <row r="41" spans="1:11" ht="10.8" thickBot="1" x14ac:dyDescent="0.25">
      <c r="A41" s="142"/>
      <c r="B41" s="146"/>
      <c r="C41" s="146"/>
      <c r="D41" s="146"/>
      <c r="E41" s="146"/>
      <c r="F41" s="146"/>
      <c r="G41" s="146"/>
      <c r="H41" s="146"/>
      <c r="I41" s="159" t="s">
        <v>70</v>
      </c>
      <c r="J41" s="160">
        <f>SUM(J40:J40)</f>
        <v>125</v>
      </c>
      <c r="K41" s="144"/>
    </row>
    <row r="42" spans="1:11" ht="6" customHeight="1" thickBot="1" x14ac:dyDescent="0.25">
      <c r="A42" s="142"/>
      <c r="B42" s="146"/>
      <c r="C42" s="146"/>
      <c r="D42" s="146"/>
      <c r="E42" s="146"/>
      <c r="F42" s="146"/>
      <c r="G42" s="146"/>
      <c r="H42" s="146"/>
      <c r="I42" s="200"/>
      <c r="J42" s="147"/>
      <c r="K42" s="144"/>
    </row>
    <row r="43" spans="1:11" ht="10.8" thickBot="1" x14ac:dyDescent="0.25">
      <c r="A43" s="142"/>
      <c r="C43" s="148"/>
      <c r="D43" s="148"/>
      <c r="E43" s="148"/>
      <c r="F43" s="148"/>
      <c r="G43" s="363" t="s">
        <v>89</v>
      </c>
      <c r="H43" s="363"/>
      <c r="I43" s="364"/>
      <c r="J43" s="152">
        <f>SUM(J41,J35,J26,J17)</f>
        <v>4904.1133999999993</v>
      </c>
      <c r="K43" s="144"/>
    </row>
    <row r="44" spans="1:11" ht="6" customHeight="1" thickBot="1" x14ac:dyDescent="0.25">
      <c r="A44" s="142"/>
      <c r="J44" s="201"/>
      <c r="K44" s="144"/>
    </row>
    <row r="45" spans="1:11" ht="10.8" thickBot="1" x14ac:dyDescent="0.25">
      <c r="A45" s="142"/>
      <c r="B45" s="327" t="s">
        <v>90</v>
      </c>
      <c r="C45" s="328"/>
      <c r="D45" s="328"/>
      <c r="E45" s="328"/>
      <c r="F45" s="328"/>
      <c r="G45" s="328"/>
      <c r="H45" s="328"/>
      <c r="I45" s="328"/>
      <c r="J45" s="329"/>
      <c r="K45" s="144"/>
    </row>
    <row r="46" spans="1:11" ht="6" customHeight="1" thickBot="1" x14ac:dyDescent="0.25">
      <c r="A46" s="142"/>
      <c r="J46" s="201"/>
      <c r="K46" s="144"/>
    </row>
    <row r="47" spans="1:11" ht="10.8" thickBot="1" x14ac:dyDescent="0.25">
      <c r="A47" s="142"/>
      <c r="B47" s="202" t="s">
        <v>91</v>
      </c>
      <c r="C47" s="365" t="s">
        <v>92</v>
      </c>
      <c r="D47" s="366"/>
      <c r="E47" s="365" t="s">
        <v>93</v>
      </c>
      <c r="F47" s="366"/>
      <c r="G47" s="367" t="s">
        <v>94</v>
      </c>
      <c r="H47" s="368"/>
      <c r="I47" s="203" t="s">
        <v>95</v>
      </c>
      <c r="J47" s="204" t="s">
        <v>96</v>
      </c>
      <c r="K47" s="144"/>
    </row>
    <row r="48" spans="1:11" ht="6" customHeight="1" thickBot="1" x14ac:dyDescent="0.25">
      <c r="A48" s="142"/>
      <c r="B48" s="205"/>
      <c r="C48" s="205"/>
      <c r="D48" s="205"/>
      <c r="E48" s="205"/>
      <c r="F48" s="205"/>
      <c r="J48" s="201"/>
      <c r="K48" s="144"/>
    </row>
    <row r="49" spans="1:11" ht="10.8" thickBot="1" x14ac:dyDescent="0.25">
      <c r="A49" s="142"/>
      <c r="B49" s="206"/>
      <c r="C49" s="369"/>
      <c r="D49" s="368"/>
      <c r="E49" s="369"/>
      <c r="F49" s="368"/>
      <c r="G49" s="367" t="s">
        <v>97</v>
      </c>
      <c r="H49" s="368"/>
      <c r="I49" s="207">
        <v>0</v>
      </c>
      <c r="J49" s="208">
        <f>+I49*J43</f>
        <v>0</v>
      </c>
      <c r="K49" s="144"/>
    </row>
    <row r="50" spans="1:11" ht="10.8" thickBot="1" x14ac:dyDescent="0.25">
      <c r="A50" s="142"/>
      <c r="B50" s="205"/>
      <c r="C50" s="205"/>
      <c r="D50" s="205"/>
      <c r="E50" s="205"/>
      <c r="F50" s="205"/>
      <c r="I50" s="209"/>
      <c r="J50" s="201"/>
      <c r="K50" s="144"/>
    </row>
    <row r="51" spans="1:11" ht="10.8" thickBot="1" x14ac:dyDescent="0.25">
      <c r="A51" s="142"/>
      <c r="B51" s="370" t="s">
        <v>98</v>
      </c>
      <c r="C51" s="371"/>
      <c r="D51" s="371"/>
      <c r="E51" s="371"/>
      <c r="F51" s="372"/>
      <c r="G51" s="367" t="s">
        <v>99</v>
      </c>
      <c r="H51" s="368"/>
      <c r="I51" s="207">
        <v>0</v>
      </c>
      <c r="J51" s="208">
        <f>+I51*J43</f>
        <v>0</v>
      </c>
      <c r="K51" s="144"/>
    </row>
    <row r="52" spans="1:11" ht="10.8" thickBot="1" x14ac:dyDescent="0.25">
      <c r="A52" s="142"/>
      <c r="B52" s="373"/>
      <c r="C52" s="374"/>
      <c r="D52" s="374"/>
      <c r="E52" s="374"/>
      <c r="F52" s="375"/>
      <c r="I52" s="209"/>
      <c r="J52" s="201"/>
      <c r="K52" s="144"/>
    </row>
    <row r="53" spans="1:11" ht="10.8" thickBot="1" x14ac:dyDescent="0.25">
      <c r="A53" s="142"/>
      <c r="B53" s="373"/>
      <c r="C53" s="374"/>
      <c r="D53" s="374"/>
      <c r="E53" s="374"/>
      <c r="F53" s="375"/>
      <c r="G53" s="367" t="s">
        <v>100</v>
      </c>
      <c r="H53" s="368"/>
      <c r="I53" s="207">
        <v>0</v>
      </c>
      <c r="J53" s="208">
        <f>+I53*J43</f>
        <v>0</v>
      </c>
      <c r="K53" s="144"/>
    </row>
    <row r="54" spans="1:11" ht="6" customHeight="1" thickBot="1" x14ac:dyDescent="0.25">
      <c r="A54" s="142"/>
      <c r="B54" s="373"/>
      <c r="C54" s="374"/>
      <c r="D54" s="374"/>
      <c r="E54" s="374"/>
      <c r="F54" s="375"/>
      <c r="J54" s="201"/>
      <c r="K54" s="144"/>
    </row>
    <row r="55" spans="1:11" ht="10.8" thickBot="1" x14ac:dyDescent="0.25">
      <c r="A55" s="142"/>
      <c r="B55" s="373"/>
      <c r="C55" s="374"/>
      <c r="D55" s="374"/>
      <c r="E55" s="374"/>
      <c r="F55" s="375"/>
      <c r="G55" s="367" t="s">
        <v>101</v>
      </c>
      <c r="H55" s="367"/>
      <c r="I55" s="368"/>
      <c r="J55" s="211">
        <f>SUM(J49,J51,J53)</f>
        <v>0</v>
      </c>
      <c r="K55" s="144"/>
    </row>
    <row r="56" spans="1:11" ht="6" customHeight="1" thickBot="1" x14ac:dyDescent="0.25">
      <c r="A56" s="142"/>
      <c r="B56" s="373"/>
      <c r="C56" s="374"/>
      <c r="D56" s="374"/>
      <c r="E56" s="374"/>
      <c r="F56" s="375"/>
      <c r="J56" s="201"/>
      <c r="K56" s="144"/>
    </row>
    <row r="57" spans="1:11" ht="18.75" customHeight="1" thickBot="1" x14ac:dyDescent="0.25">
      <c r="A57" s="142"/>
      <c r="B57" s="376"/>
      <c r="C57" s="377"/>
      <c r="D57" s="377"/>
      <c r="E57" s="377"/>
      <c r="F57" s="378"/>
      <c r="G57" s="379" t="s">
        <v>54</v>
      </c>
      <c r="H57" s="379"/>
      <c r="I57" s="380"/>
      <c r="J57" s="212">
        <f>+J55+J43</f>
        <v>4904.1133999999993</v>
      </c>
      <c r="K57" s="144"/>
    </row>
    <row r="58" spans="1:11" ht="6" customHeight="1" thickBot="1" x14ac:dyDescent="0.25">
      <c r="A58" s="213"/>
      <c r="B58" s="214"/>
      <c r="C58" s="214"/>
      <c r="D58" s="214"/>
      <c r="E58" s="214"/>
      <c r="F58" s="214"/>
      <c r="G58" s="214"/>
      <c r="H58" s="214"/>
      <c r="I58" s="214"/>
      <c r="J58" s="215"/>
      <c r="K58" s="216"/>
    </row>
  </sheetData>
  <mergeCells count="48">
    <mergeCell ref="B51:F57"/>
    <mergeCell ref="G51:H51"/>
    <mergeCell ref="G53:H53"/>
    <mergeCell ref="G55:I55"/>
    <mergeCell ref="G57:I57"/>
    <mergeCell ref="C47:D47"/>
    <mergeCell ref="E47:F47"/>
    <mergeCell ref="G47:H47"/>
    <mergeCell ref="C49:D49"/>
    <mergeCell ref="E49:F49"/>
    <mergeCell ref="G49:H49"/>
    <mergeCell ref="B45:J45"/>
    <mergeCell ref="G31:H31"/>
    <mergeCell ref="G32:H32"/>
    <mergeCell ref="G33:H33"/>
    <mergeCell ref="G34:H34"/>
    <mergeCell ref="B37:J37"/>
    <mergeCell ref="B38:C38"/>
    <mergeCell ref="G38:H38"/>
    <mergeCell ref="B39:C39"/>
    <mergeCell ref="G39:H39"/>
    <mergeCell ref="B40:C40"/>
    <mergeCell ref="G40:H40"/>
    <mergeCell ref="G43:I43"/>
    <mergeCell ref="G30:H30"/>
    <mergeCell ref="B16:D16"/>
    <mergeCell ref="G16:H16"/>
    <mergeCell ref="B19:J19"/>
    <mergeCell ref="B20:D20"/>
    <mergeCell ref="B21:D21"/>
    <mergeCell ref="B22:D22"/>
    <mergeCell ref="B23:D23"/>
    <mergeCell ref="B24:D24"/>
    <mergeCell ref="B25:D25"/>
    <mergeCell ref="B28:J28"/>
    <mergeCell ref="G29:H29"/>
    <mergeCell ref="B11:J11"/>
    <mergeCell ref="B13:J13"/>
    <mergeCell ref="B14:D14"/>
    <mergeCell ref="G14:H14"/>
    <mergeCell ref="B15:D15"/>
    <mergeCell ref="G15:H15"/>
    <mergeCell ref="B3:D5"/>
    <mergeCell ref="E3:J5"/>
    <mergeCell ref="B7:J7"/>
    <mergeCell ref="B8:J8"/>
    <mergeCell ref="B9:E9"/>
    <mergeCell ref="F9:J9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E232A-2CA6-498F-B685-3556FF234625}">
  <dimension ref="A1:L58"/>
  <sheetViews>
    <sheetView topLeftCell="C16" workbookViewId="0">
      <selection activeCell="I35" sqref="I35"/>
    </sheetView>
  </sheetViews>
  <sheetFormatPr baseColWidth="10" defaultColWidth="11.44140625" defaultRowHeight="10.199999999999999" x14ac:dyDescent="0.2"/>
  <cols>
    <col min="1" max="1" width="1.44140625" style="84" customWidth="1"/>
    <col min="2" max="3" width="11.44140625" style="84"/>
    <col min="4" max="4" width="14.44140625" style="84" bestFit="1" customWidth="1"/>
    <col min="5" max="5" width="13.5546875" style="84" bestFit="1" customWidth="1"/>
    <col min="6" max="7" width="12.109375" style="84" customWidth="1"/>
    <col min="8" max="8" width="7.6640625" style="84" customWidth="1"/>
    <col min="9" max="9" width="13.5546875" style="84" bestFit="1" customWidth="1"/>
    <col min="10" max="10" width="19.44140625" style="137" bestFit="1" customWidth="1"/>
    <col min="11" max="11" width="1.44140625" style="84" customWidth="1"/>
    <col min="12" max="12" width="12" style="84" bestFit="1" customWidth="1"/>
    <col min="13" max="16384" width="11.44140625" style="84"/>
  </cols>
  <sheetData>
    <row r="1" spans="1:11" ht="10.8" thickBot="1" x14ac:dyDescent="0.25"/>
    <row r="2" spans="1:11" ht="6.75" customHeight="1" thickBot="1" x14ac:dyDescent="0.25">
      <c r="A2" s="138"/>
      <c r="B2" s="139"/>
      <c r="C2" s="139"/>
      <c r="D2" s="139"/>
      <c r="E2" s="139"/>
      <c r="F2" s="139"/>
      <c r="G2" s="139"/>
      <c r="H2" s="139"/>
      <c r="I2" s="139"/>
      <c r="J2" s="140"/>
      <c r="K2" s="141"/>
    </row>
    <row r="3" spans="1:11" x14ac:dyDescent="0.2">
      <c r="A3" s="142"/>
      <c r="B3" s="296"/>
      <c r="C3" s="297"/>
      <c r="D3" s="298"/>
      <c r="E3" s="305" t="s">
        <v>59</v>
      </c>
      <c r="F3" s="306"/>
      <c r="G3" s="306"/>
      <c r="H3" s="306"/>
      <c r="I3" s="306"/>
      <c r="J3" s="307"/>
      <c r="K3" s="144"/>
    </row>
    <row r="4" spans="1:11" x14ac:dyDescent="0.2">
      <c r="A4" s="142"/>
      <c r="B4" s="299"/>
      <c r="C4" s="300"/>
      <c r="D4" s="301"/>
      <c r="E4" s="308"/>
      <c r="F4" s="309"/>
      <c r="G4" s="309"/>
      <c r="H4" s="309"/>
      <c r="I4" s="309"/>
      <c r="J4" s="310"/>
      <c r="K4" s="144"/>
    </row>
    <row r="5" spans="1:11" ht="10.8" thickBot="1" x14ac:dyDescent="0.25">
      <c r="A5" s="142"/>
      <c r="B5" s="302"/>
      <c r="C5" s="303"/>
      <c r="D5" s="304"/>
      <c r="E5" s="311"/>
      <c r="F5" s="312"/>
      <c r="G5" s="312"/>
      <c r="H5" s="312"/>
      <c r="I5" s="312"/>
      <c r="J5" s="313"/>
      <c r="K5" s="144"/>
    </row>
    <row r="6" spans="1:11" ht="6" customHeight="1" thickBot="1" x14ac:dyDescent="0.25">
      <c r="A6" s="142"/>
      <c r="B6" s="145"/>
      <c r="C6" s="146"/>
      <c r="D6" s="9"/>
      <c r="E6" s="146"/>
      <c r="F6" s="146"/>
      <c r="G6" s="146"/>
      <c r="H6" s="146"/>
      <c r="I6" s="146"/>
      <c r="J6" s="147"/>
      <c r="K6" s="144"/>
    </row>
    <row r="7" spans="1:11" x14ac:dyDescent="0.2">
      <c r="A7" s="142"/>
      <c r="B7" s="400" t="s">
        <v>204</v>
      </c>
      <c r="C7" s="401"/>
      <c r="D7" s="401"/>
      <c r="E7" s="401"/>
      <c r="F7" s="401"/>
      <c r="G7" s="401"/>
      <c r="H7" s="401"/>
      <c r="I7" s="401"/>
      <c r="J7" s="402"/>
      <c r="K7" s="144"/>
    </row>
    <row r="8" spans="1:11" ht="10.8" thickBot="1" x14ac:dyDescent="0.25">
      <c r="A8" s="142"/>
      <c r="B8" s="317"/>
      <c r="C8" s="318"/>
      <c r="D8" s="318"/>
      <c r="E8" s="318"/>
      <c r="F8" s="318"/>
      <c r="G8" s="318"/>
      <c r="H8" s="318"/>
      <c r="I8" s="318"/>
      <c r="J8" s="319"/>
      <c r="K8" s="144"/>
    </row>
    <row r="9" spans="1:11" ht="26.25" customHeight="1" thickBot="1" x14ac:dyDescent="0.25">
      <c r="A9" s="142"/>
      <c r="B9" s="383" t="s">
        <v>212</v>
      </c>
      <c r="C9" s="384"/>
      <c r="D9" s="384"/>
      <c r="E9" s="385"/>
      <c r="F9" s="403" t="s">
        <v>130</v>
      </c>
      <c r="G9" s="404"/>
      <c r="H9" s="405"/>
      <c r="I9" s="405"/>
      <c r="J9" s="406"/>
      <c r="K9" s="144"/>
    </row>
    <row r="10" spans="1:11" ht="6" customHeight="1" thickBot="1" x14ac:dyDescent="0.25">
      <c r="A10" s="142"/>
      <c r="B10" s="148"/>
      <c r="C10" s="148"/>
      <c r="D10" s="146"/>
      <c r="E10" s="148"/>
      <c r="F10" s="148"/>
      <c r="G10" s="148"/>
      <c r="H10" s="148"/>
      <c r="I10" s="148"/>
      <c r="J10" s="147"/>
      <c r="K10" s="144"/>
    </row>
    <row r="11" spans="1:11" ht="16.5" customHeight="1" thickBot="1" x14ac:dyDescent="0.25">
      <c r="A11" s="142"/>
      <c r="B11" s="327" t="s">
        <v>61</v>
      </c>
      <c r="C11" s="328"/>
      <c r="D11" s="328"/>
      <c r="E11" s="328"/>
      <c r="F11" s="328"/>
      <c r="G11" s="328"/>
      <c r="H11" s="328"/>
      <c r="I11" s="328"/>
      <c r="J11" s="329"/>
      <c r="K11" s="144"/>
    </row>
    <row r="12" spans="1:11" ht="6" customHeight="1" thickBot="1" x14ac:dyDescent="0.25">
      <c r="A12" s="142"/>
      <c r="B12" s="148"/>
      <c r="C12" s="148"/>
      <c r="D12" s="146"/>
      <c r="E12" s="148"/>
      <c r="F12" s="148"/>
      <c r="G12" s="148"/>
      <c r="H12" s="148"/>
      <c r="I12" s="148"/>
      <c r="J12" s="147"/>
      <c r="K12" s="144"/>
    </row>
    <row r="13" spans="1:11" ht="10.8" thickBot="1" x14ac:dyDescent="0.25">
      <c r="A13" s="142"/>
      <c r="B13" s="327" t="s">
        <v>62</v>
      </c>
      <c r="C13" s="328"/>
      <c r="D13" s="328"/>
      <c r="E13" s="328"/>
      <c r="F13" s="328"/>
      <c r="G13" s="328"/>
      <c r="H13" s="328"/>
      <c r="I13" s="328"/>
      <c r="J13" s="329"/>
      <c r="K13" s="144"/>
    </row>
    <row r="14" spans="1:11" ht="10.8" thickBot="1" x14ac:dyDescent="0.25">
      <c r="A14" s="142"/>
      <c r="B14" s="330" t="s">
        <v>63</v>
      </c>
      <c r="C14" s="331"/>
      <c r="D14" s="332"/>
      <c r="E14" s="150" t="s">
        <v>64</v>
      </c>
      <c r="F14" s="151" t="s">
        <v>65</v>
      </c>
      <c r="G14" s="330" t="s">
        <v>66</v>
      </c>
      <c r="H14" s="332"/>
      <c r="I14" s="149" t="s">
        <v>67</v>
      </c>
      <c r="J14" s="152" t="s">
        <v>68</v>
      </c>
      <c r="K14" s="144"/>
    </row>
    <row r="15" spans="1:11" x14ac:dyDescent="0.2">
      <c r="A15" s="142"/>
      <c r="B15" s="333" t="s">
        <v>69</v>
      </c>
      <c r="C15" s="334"/>
      <c r="D15" s="335"/>
      <c r="E15" s="153"/>
      <c r="F15" s="153"/>
      <c r="G15" s="424"/>
      <c r="H15" s="425"/>
      <c r="I15" s="154">
        <f>+J41*0.1</f>
        <v>854.16666666666663</v>
      </c>
      <c r="J15" s="155">
        <f t="shared" ref="J15" si="0">+I15</f>
        <v>854.16666666666663</v>
      </c>
      <c r="K15" s="144"/>
    </row>
    <row r="16" spans="1:11" ht="10.8" thickBot="1" x14ac:dyDescent="0.25">
      <c r="A16" s="142"/>
      <c r="B16" s="340"/>
      <c r="C16" s="341"/>
      <c r="D16" s="342"/>
      <c r="E16" s="156"/>
      <c r="F16" s="156"/>
      <c r="G16" s="426"/>
      <c r="H16" s="427"/>
      <c r="I16" s="239"/>
      <c r="J16" s="158"/>
      <c r="K16" s="144"/>
    </row>
    <row r="17" spans="1:12" ht="10.8" thickBot="1" x14ac:dyDescent="0.25">
      <c r="A17" s="142"/>
      <c r="B17" s="146"/>
      <c r="C17" s="146"/>
      <c r="D17" s="146"/>
      <c r="E17" s="146"/>
      <c r="F17" s="146"/>
      <c r="G17" s="146"/>
      <c r="H17" s="146"/>
      <c r="I17" s="159" t="s">
        <v>70</v>
      </c>
      <c r="J17" s="160">
        <f>SUM(J15:J16)</f>
        <v>854.16666666666663</v>
      </c>
      <c r="K17" s="144"/>
    </row>
    <row r="18" spans="1:12" ht="6" customHeight="1" thickBot="1" x14ac:dyDescent="0.25">
      <c r="A18" s="142"/>
      <c r="B18" s="146"/>
      <c r="C18" s="146"/>
      <c r="D18" s="146"/>
      <c r="E18" s="146"/>
      <c r="F18" s="146"/>
      <c r="G18" s="146"/>
      <c r="H18" s="146"/>
      <c r="I18" s="159"/>
      <c r="J18" s="161"/>
      <c r="K18" s="144"/>
    </row>
    <row r="19" spans="1:12" ht="10.8" thickBot="1" x14ac:dyDescent="0.25">
      <c r="A19" s="142"/>
      <c r="B19" s="327" t="s">
        <v>71</v>
      </c>
      <c r="C19" s="328"/>
      <c r="D19" s="328"/>
      <c r="E19" s="328"/>
      <c r="F19" s="328"/>
      <c r="G19" s="328"/>
      <c r="H19" s="328"/>
      <c r="I19" s="328"/>
      <c r="J19" s="329"/>
      <c r="K19" s="144"/>
    </row>
    <row r="20" spans="1:12" ht="10.8" thickBot="1" x14ac:dyDescent="0.25">
      <c r="A20" s="142"/>
      <c r="B20" s="330" t="s">
        <v>63</v>
      </c>
      <c r="C20" s="331"/>
      <c r="D20" s="332"/>
      <c r="E20" s="150" t="s">
        <v>1</v>
      </c>
      <c r="F20" s="150" t="s">
        <v>72</v>
      </c>
      <c r="G20" s="150" t="s">
        <v>73</v>
      </c>
      <c r="H20" s="143" t="s">
        <v>74</v>
      </c>
      <c r="I20" s="149" t="s">
        <v>67</v>
      </c>
      <c r="J20" s="152" t="s">
        <v>68</v>
      </c>
      <c r="K20" s="144"/>
    </row>
    <row r="21" spans="1:12" x14ac:dyDescent="0.2">
      <c r="A21" s="142"/>
      <c r="B21" s="345" t="s">
        <v>141</v>
      </c>
      <c r="C21" s="346"/>
      <c r="D21" s="347"/>
      <c r="E21" s="162" t="s">
        <v>55</v>
      </c>
      <c r="F21" s="163">
        <v>4.5</v>
      </c>
      <c r="G21" s="164">
        <v>10000</v>
      </c>
      <c r="H21" s="169">
        <v>0.03</v>
      </c>
      <c r="I21" s="164">
        <f>+((F21*H21)+F21)*G21</f>
        <v>46350</v>
      </c>
      <c r="J21" s="166">
        <f>+I21</f>
        <v>46350</v>
      </c>
      <c r="K21" s="144"/>
    </row>
    <row r="22" spans="1:12" x14ac:dyDescent="0.2">
      <c r="A22" s="142"/>
      <c r="B22" s="333" t="s">
        <v>142</v>
      </c>
      <c r="C22" s="334"/>
      <c r="D22" s="335"/>
      <c r="E22" s="153" t="s">
        <v>55</v>
      </c>
      <c r="F22" s="167">
        <v>4</v>
      </c>
      <c r="G22" s="168">
        <f>(5000*14)/6</f>
        <v>11666.666666666666</v>
      </c>
      <c r="H22" s="169">
        <v>0.03</v>
      </c>
      <c r="I22" s="170">
        <v>48066.67</v>
      </c>
      <c r="J22" s="158">
        <f>+I22</f>
        <v>48066.67</v>
      </c>
      <c r="K22" s="144"/>
      <c r="L22" s="171"/>
    </row>
    <row r="23" spans="1:12" x14ac:dyDescent="0.2">
      <c r="A23" s="142"/>
      <c r="B23" s="333" t="s">
        <v>143</v>
      </c>
      <c r="C23" s="334"/>
      <c r="D23" s="335"/>
      <c r="E23" s="153" t="s">
        <v>55</v>
      </c>
      <c r="F23" s="167">
        <v>1.7</v>
      </c>
      <c r="G23" s="168">
        <f>(14*5000)/6</f>
        <v>11666.666666666666</v>
      </c>
      <c r="H23" s="252">
        <v>0.03</v>
      </c>
      <c r="I23" s="170">
        <v>20428.330000000002</v>
      </c>
      <c r="J23" s="155">
        <f t="shared" ref="J23:J25" si="1">+I23</f>
        <v>20428.330000000002</v>
      </c>
      <c r="K23" s="144"/>
      <c r="L23" s="171"/>
    </row>
    <row r="24" spans="1:12" x14ac:dyDescent="0.2">
      <c r="A24" s="142"/>
      <c r="B24" s="333" t="s">
        <v>144</v>
      </c>
      <c r="C24" s="334"/>
      <c r="D24" s="335"/>
      <c r="E24" s="153" t="s">
        <v>55</v>
      </c>
      <c r="F24" s="167">
        <v>1</v>
      </c>
      <c r="G24" s="168">
        <v>6489</v>
      </c>
      <c r="H24" s="169">
        <v>0.03</v>
      </c>
      <c r="I24" s="170">
        <v>6683.67</v>
      </c>
      <c r="J24" s="155">
        <f t="shared" si="1"/>
        <v>6683.67</v>
      </c>
      <c r="K24" s="144"/>
    </row>
    <row r="25" spans="1:12" ht="10.8" thickBot="1" x14ac:dyDescent="0.25">
      <c r="A25" s="142"/>
      <c r="B25" s="348" t="s">
        <v>145</v>
      </c>
      <c r="C25" s="349"/>
      <c r="D25" s="350"/>
      <c r="E25" s="172" t="s">
        <v>146</v>
      </c>
      <c r="F25" s="173">
        <v>0.5</v>
      </c>
      <c r="G25" s="174">
        <v>6000</v>
      </c>
      <c r="H25" s="175">
        <v>0.03</v>
      </c>
      <c r="I25" s="176">
        <f>+((F25*H25)+F25)*G25</f>
        <v>3090</v>
      </c>
      <c r="J25" s="177">
        <f t="shared" si="1"/>
        <v>3090</v>
      </c>
      <c r="K25" s="144"/>
    </row>
    <row r="26" spans="1:12" ht="10.8" thickBot="1" x14ac:dyDescent="0.25">
      <c r="A26" s="142"/>
      <c r="B26" s="146"/>
      <c r="C26" s="146"/>
      <c r="D26" s="146"/>
      <c r="E26" s="146"/>
      <c r="F26" s="146"/>
      <c r="G26" s="146"/>
      <c r="H26" s="146"/>
      <c r="I26" s="159" t="s">
        <v>70</v>
      </c>
      <c r="J26" s="178">
        <f>SUM(J21:J25)</f>
        <v>124618.67</v>
      </c>
      <c r="K26" s="144"/>
    </row>
    <row r="27" spans="1:12" ht="6" customHeight="1" thickBot="1" x14ac:dyDescent="0.25">
      <c r="A27" s="142"/>
      <c r="B27" s="146"/>
      <c r="C27" s="146"/>
      <c r="D27" s="146"/>
      <c r="E27" s="146"/>
      <c r="F27" s="146"/>
      <c r="G27" s="146"/>
      <c r="H27" s="146"/>
      <c r="I27" s="159"/>
      <c r="J27" s="161"/>
      <c r="K27" s="144"/>
    </row>
    <row r="28" spans="1:12" ht="10.8" thickBot="1" x14ac:dyDescent="0.25">
      <c r="A28" s="142"/>
      <c r="B28" s="327" t="s">
        <v>75</v>
      </c>
      <c r="C28" s="328"/>
      <c r="D28" s="328"/>
      <c r="E28" s="328"/>
      <c r="F28" s="328"/>
      <c r="G28" s="328"/>
      <c r="H28" s="328"/>
      <c r="I28" s="328"/>
      <c r="J28" s="329"/>
      <c r="K28" s="144"/>
    </row>
    <row r="29" spans="1:12" ht="10.8" thickBot="1" x14ac:dyDescent="0.25">
      <c r="A29" s="142"/>
      <c r="B29" s="150" t="s">
        <v>76</v>
      </c>
      <c r="C29" s="150" t="s">
        <v>1</v>
      </c>
      <c r="D29" s="150" t="s">
        <v>77</v>
      </c>
      <c r="E29" s="150" t="s">
        <v>78</v>
      </c>
      <c r="F29" s="150" t="s">
        <v>79</v>
      </c>
      <c r="G29" s="330" t="s">
        <v>80</v>
      </c>
      <c r="H29" s="332"/>
      <c r="I29" s="143" t="s">
        <v>67</v>
      </c>
      <c r="J29" s="152" t="s">
        <v>68</v>
      </c>
      <c r="K29" s="144"/>
    </row>
    <row r="30" spans="1:12" x14ac:dyDescent="0.2">
      <c r="A30" s="142"/>
      <c r="B30" s="179"/>
      <c r="C30" s="180"/>
      <c r="D30" s="181"/>
      <c r="E30" s="181"/>
      <c r="F30" s="182"/>
      <c r="G30" s="338"/>
      <c r="H30" s="339"/>
      <c r="I30" s="182"/>
      <c r="J30" s="166"/>
      <c r="K30" s="144"/>
    </row>
    <row r="31" spans="1:12" x14ac:dyDescent="0.2">
      <c r="A31" s="142"/>
      <c r="B31" s="183"/>
      <c r="C31" s="184"/>
      <c r="D31" s="185"/>
      <c r="E31" s="185"/>
      <c r="F31" s="186"/>
      <c r="G31" s="351"/>
      <c r="H31" s="352"/>
      <c r="I31" s="186"/>
      <c r="J31" s="155"/>
      <c r="K31" s="144"/>
    </row>
    <row r="32" spans="1:12" x14ac:dyDescent="0.2">
      <c r="A32" s="142"/>
      <c r="B32" s="183"/>
      <c r="C32" s="184"/>
      <c r="D32" s="185"/>
      <c r="E32" s="185"/>
      <c r="F32" s="186"/>
      <c r="G32" s="351"/>
      <c r="H32" s="352"/>
      <c r="I32" s="186"/>
      <c r="J32" s="155"/>
      <c r="K32" s="144"/>
    </row>
    <row r="33" spans="1:11" x14ac:dyDescent="0.2">
      <c r="A33" s="142"/>
      <c r="B33" s="187"/>
      <c r="C33" s="188"/>
      <c r="D33" s="189"/>
      <c r="E33" s="189"/>
      <c r="F33" s="186"/>
      <c r="G33" s="351"/>
      <c r="H33" s="352"/>
      <c r="I33" s="186"/>
      <c r="J33" s="155"/>
      <c r="K33" s="144"/>
    </row>
    <row r="34" spans="1:11" ht="10.8" thickBot="1" x14ac:dyDescent="0.25">
      <c r="A34" s="142"/>
      <c r="B34" s="190"/>
      <c r="C34" s="191"/>
      <c r="D34" s="192"/>
      <c r="E34" s="193"/>
      <c r="F34" s="194" t="s">
        <v>81</v>
      </c>
      <c r="G34" s="353" t="s">
        <v>81</v>
      </c>
      <c r="H34" s="354"/>
      <c r="I34" s="194" t="s">
        <v>81</v>
      </c>
      <c r="J34" s="177"/>
      <c r="K34" s="144"/>
    </row>
    <row r="35" spans="1:11" ht="10.8" thickBot="1" x14ac:dyDescent="0.25">
      <c r="A35" s="142"/>
      <c r="B35" s="146"/>
      <c r="C35" s="146"/>
      <c r="D35" s="146"/>
      <c r="E35" s="146"/>
      <c r="F35" s="146"/>
      <c r="G35" s="146"/>
      <c r="H35" s="146"/>
      <c r="I35" s="159" t="s">
        <v>70</v>
      </c>
      <c r="J35" s="160">
        <f>SUM(J30:J34)</f>
        <v>0</v>
      </c>
      <c r="K35" s="144"/>
    </row>
    <row r="36" spans="1:11" ht="6" customHeight="1" thickBot="1" x14ac:dyDescent="0.25">
      <c r="A36" s="142"/>
      <c r="B36" s="146"/>
      <c r="C36" s="146"/>
      <c r="D36" s="146"/>
      <c r="E36" s="146"/>
      <c r="F36" s="146"/>
      <c r="G36" s="146"/>
      <c r="H36" s="146"/>
      <c r="I36" s="159"/>
      <c r="J36" s="161"/>
      <c r="K36" s="144"/>
    </row>
    <row r="37" spans="1:11" ht="10.8" thickBot="1" x14ac:dyDescent="0.25">
      <c r="A37" s="142"/>
      <c r="B37" s="327" t="s">
        <v>82</v>
      </c>
      <c r="C37" s="328"/>
      <c r="D37" s="328"/>
      <c r="E37" s="328"/>
      <c r="F37" s="328"/>
      <c r="G37" s="328"/>
      <c r="H37" s="328"/>
      <c r="I37" s="328"/>
      <c r="J37" s="329"/>
      <c r="K37" s="144"/>
    </row>
    <row r="38" spans="1:11" ht="10.8" thickBot="1" x14ac:dyDescent="0.25">
      <c r="A38" s="142"/>
      <c r="B38" s="330" t="s">
        <v>83</v>
      </c>
      <c r="C38" s="332"/>
      <c r="D38" s="150" t="s">
        <v>84</v>
      </c>
      <c r="E38" s="150" t="s">
        <v>85</v>
      </c>
      <c r="F38" s="151" t="s">
        <v>86</v>
      </c>
      <c r="G38" s="330" t="s">
        <v>66</v>
      </c>
      <c r="H38" s="332"/>
      <c r="I38" s="150" t="s">
        <v>67</v>
      </c>
      <c r="J38" s="152" t="s">
        <v>68</v>
      </c>
      <c r="K38" s="144"/>
    </row>
    <row r="39" spans="1:11" x14ac:dyDescent="0.2">
      <c r="A39" s="142"/>
      <c r="B39" s="417" t="s">
        <v>87</v>
      </c>
      <c r="C39" s="418"/>
      <c r="D39" s="195">
        <v>65000</v>
      </c>
      <c r="E39" s="165">
        <v>0.25</v>
      </c>
      <c r="F39" s="196">
        <f>+(D39*E39)+D39</f>
        <v>81250</v>
      </c>
      <c r="G39" s="357">
        <v>30</v>
      </c>
      <c r="H39" s="358"/>
      <c r="I39" s="196">
        <f>+F39/G39</f>
        <v>2708.3333333333335</v>
      </c>
      <c r="J39" s="158">
        <f>+I39</f>
        <v>2708.3333333333335</v>
      </c>
      <c r="K39" s="144"/>
    </row>
    <row r="40" spans="1:11" ht="10.8" thickBot="1" x14ac:dyDescent="0.25">
      <c r="A40" s="142"/>
      <c r="B40" s="359" t="s">
        <v>88</v>
      </c>
      <c r="C40" s="360"/>
      <c r="D40" s="197">
        <v>140000</v>
      </c>
      <c r="E40" s="198">
        <v>0.25</v>
      </c>
      <c r="F40" s="199">
        <f>+(D40*E40)+D40</f>
        <v>175000</v>
      </c>
      <c r="G40" s="361">
        <v>30</v>
      </c>
      <c r="H40" s="362"/>
      <c r="I40" s="199">
        <f>+F40/G40</f>
        <v>5833.333333333333</v>
      </c>
      <c r="J40" s="177">
        <f>+I40</f>
        <v>5833.333333333333</v>
      </c>
      <c r="K40" s="144"/>
    </row>
    <row r="41" spans="1:11" ht="10.8" thickBot="1" x14ac:dyDescent="0.25">
      <c r="A41" s="142"/>
      <c r="B41" s="146"/>
      <c r="C41" s="146"/>
      <c r="D41" s="146"/>
      <c r="E41" s="146"/>
      <c r="F41" s="146"/>
      <c r="G41" s="146"/>
      <c r="H41" s="146"/>
      <c r="I41" s="159" t="s">
        <v>70</v>
      </c>
      <c r="J41" s="160">
        <f>SUM(J39:J40)</f>
        <v>8541.6666666666661</v>
      </c>
      <c r="K41" s="144"/>
    </row>
    <row r="42" spans="1:11" ht="6" customHeight="1" thickBot="1" x14ac:dyDescent="0.25">
      <c r="A42" s="142"/>
      <c r="B42" s="146"/>
      <c r="C42" s="146"/>
      <c r="D42" s="146"/>
      <c r="E42" s="146"/>
      <c r="F42" s="146"/>
      <c r="G42" s="146"/>
      <c r="H42" s="146"/>
      <c r="I42" s="200"/>
      <c r="J42" s="147"/>
      <c r="K42" s="144"/>
    </row>
    <row r="43" spans="1:11" ht="10.8" thickBot="1" x14ac:dyDescent="0.25">
      <c r="A43" s="142"/>
      <c r="C43" s="148"/>
      <c r="D43" s="148"/>
      <c r="E43" s="148"/>
      <c r="F43" s="148"/>
      <c r="G43" s="363" t="s">
        <v>89</v>
      </c>
      <c r="H43" s="363"/>
      <c r="I43" s="364"/>
      <c r="J43" s="152">
        <f>SUM(J41,J35,J26,J17)</f>
        <v>134014.50333333333</v>
      </c>
      <c r="K43" s="144"/>
    </row>
    <row r="44" spans="1:11" ht="6" customHeight="1" thickBot="1" x14ac:dyDescent="0.25">
      <c r="A44" s="142"/>
      <c r="J44" s="201"/>
      <c r="K44" s="144"/>
    </row>
    <row r="45" spans="1:11" ht="10.8" thickBot="1" x14ac:dyDescent="0.25">
      <c r="A45" s="142"/>
      <c r="B45" s="327" t="s">
        <v>90</v>
      </c>
      <c r="C45" s="328"/>
      <c r="D45" s="328"/>
      <c r="E45" s="328"/>
      <c r="F45" s="328"/>
      <c r="G45" s="328"/>
      <c r="H45" s="328"/>
      <c r="I45" s="328"/>
      <c r="J45" s="329"/>
      <c r="K45" s="144"/>
    </row>
    <row r="46" spans="1:11" ht="6" customHeight="1" thickBot="1" x14ac:dyDescent="0.25">
      <c r="A46" s="142"/>
      <c r="J46" s="201"/>
      <c r="K46" s="144"/>
    </row>
    <row r="47" spans="1:11" ht="10.8" thickBot="1" x14ac:dyDescent="0.25">
      <c r="A47" s="142"/>
      <c r="B47" s="202" t="s">
        <v>91</v>
      </c>
      <c r="C47" s="365" t="s">
        <v>92</v>
      </c>
      <c r="D47" s="366"/>
      <c r="E47" s="365" t="s">
        <v>93</v>
      </c>
      <c r="F47" s="366"/>
      <c r="G47" s="367" t="s">
        <v>94</v>
      </c>
      <c r="H47" s="368"/>
      <c r="I47" s="203" t="s">
        <v>95</v>
      </c>
      <c r="J47" s="204" t="s">
        <v>96</v>
      </c>
      <c r="K47" s="144"/>
    </row>
    <row r="48" spans="1:11" ht="6" customHeight="1" thickBot="1" x14ac:dyDescent="0.25">
      <c r="A48" s="142"/>
      <c r="B48" s="205"/>
      <c r="C48" s="205"/>
      <c r="D48" s="205"/>
      <c r="E48" s="205"/>
      <c r="F48" s="205"/>
      <c r="J48" s="201"/>
      <c r="K48" s="144"/>
    </row>
    <row r="49" spans="1:11" ht="10.8" thickBot="1" x14ac:dyDescent="0.25">
      <c r="A49" s="142"/>
      <c r="B49" s="206"/>
      <c r="C49" s="369"/>
      <c r="D49" s="368"/>
      <c r="E49" s="369"/>
      <c r="F49" s="368"/>
      <c r="G49" s="367" t="s">
        <v>97</v>
      </c>
      <c r="H49" s="368"/>
      <c r="I49" s="207">
        <v>0</v>
      </c>
      <c r="J49" s="208">
        <f>+I49*J43</f>
        <v>0</v>
      </c>
      <c r="K49" s="144"/>
    </row>
    <row r="50" spans="1:11" ht="10.8" thickBot="1" x14ac:dyDescent="0.25">
      <c r="A50" s="142"/>
      <c r="B50" s="205"/>
      <c r="C50" s="205"/>
      <c r="D50" s="205"/>
      <c r="E50" s="205"/>
      <c r="F50" s="205"/>
      <c r="I50" s="209"/>
      <c r="J50" s="201"/>
      <c r="K50" s="144"/>
    </row>
    <row r="51" spans="1:11" ht="10.8" thickBot="1" x14ac:dyDescent="0.25">
      <c r="A51" s="142"/>
      <c r="B51" s="370" t="s">
        <v>98</v>
      </c>
      <c r="C51" s="371"/>
      <c r="D51" s="371"/>
      <c r="E51" s="371"/>
      <c r="F51" s="372"/>
      <c r="G51" s="367" t="s">
        <v>99</v>
      </c>
      <c r="H51" s="368"/>
      <c r="I51" s="207">
        <v>0</v>
      </c>
      <c r="J51" s="208">
        <f>+I51*J43</f>
        <v>0</v>
      </c>
      <c r="K51" s="144"/>
    </row>
    <row r="52" spans="1:11" ht="10.8" thickBot="1" x14ac:dyDescent="0.25">
      <c r="A52" s="142"/>
      <c r="B52" s="373"/>
      <c r="C52" s="374"/>
      <c r="D52" s="374"/>
      <c r="E52" s="374"/>
      <c r="F52" s="375"/>
      <c r="I52" s="209"/>
      <c r="J52" s="201"/>
      <c r="K52" s="144"/>
    </row>
    <row r="53" spans="1:11" ht="10.8" thickBot="1" x14ac:dyDescent="0.25">
      <c r="A53" s="142"/>
      <c r="B53" s="373"/>
      <c r="C53" s="374"/>
      <c r="D53" s="374"/>
      <c r="E53" s="374"/>
      <c r="F53" s="375"/>
      <c r="G53" s="367" t="s">
        <v>100</v>
      </c>
      <c r="H53" s="368"/>
      <c r="I53" s="207">
        <v>0</v>
      </c>
      <c r="J53" s="208">
        <f>+I53*J43</f>
        <v>0</v>
      </c>
      <c r="K53" s="144"/>
    </row>
    <row r="54" spans="1:11" ht="6" customHeight="1" thickBot="1" x14ac:dyDescent="0.25">
      <c r="A54" s="142"/>
      <c r="B54" s="373"/>
      <c r="C54" s="374"/>
      <c r="D54" s="374"/>
      <c r="E54" s="374"/>
      <c r="F54" s="375"/>
      <c r="J54" s="201"/>
      <c r="K54" s="144"/>
    </row>
    <row r="55" spans="1:11" ht="10.8" thickBot="1" x14ac:dyDescent="0.25">
      <c r="A55" s="142"/>
      <c r="B55" s="373"/>
      <c r="C55" s="374"/>
      <c r="D55" s="374"/>
      <c r="E55" s="374"/>
      <c r="F55" s="375"/>
      <c r="G55" s="367" t="s">
        <v>101</v>
      </c>
      <c r="H55" s="367"/>
      <c r="I55" s="368"/>
      <c r="J55" s="211">
        <f>SUM(J49,J51,J53)</f>
        <v>0</v>
      </c>
      <c r="K55" s="144"/>
    </row>
    <row r="56" spans="1:11" ht="6" customHeight="1" thickBot="1" x14ac:dyDescent="0.25">
      <c r="A56" s="142"/>
      <c r="B56" s="373"/>
      <c r="C56" s="374"/>
      <c r="D56" s="374"/>
      <c r="E56" s="374"/>
      <c r="F56" s="375"/>
      <c r="J56" s="201"/>
      <c r="K56" s="144"/>
    </row>
    <row r="57" spans="1:11" ht="18.75" customHeight="1" thickBot="1" x14ac:dyDescent="0.25">
      <c r="A57" s="142"/>
      <c r="B57" s="376"/>
      <c r="C57" s="377"/>
      <c r="D57" s="377"/>
      <c r="E57" s="377"/>
      <c r="F57" s="378"/>
      <c r="G57" s="379" t="s">
        <v>54</v>
      </c>
      <c r="H57" s="379"/>
      <c r="I57" s="380"/>
      <c r="J57" s="212">
        <f>+J55+J43</f>
        <v>134014.50333333333</v>
      </c>
      <c r="K57" s="144"/>
    </row>
    <row r="58" spans="1:11" ht="6" customHeight="1" thickBot="1" x14ac:dyDescent="0.25">
      <c r="A58" s="213"/>
      <c r="B58" s="214"/>
      <c r="C58" s="214"/>
      <c r="D58" s="214"/>
      <c r="E58" s="214"/>
      <c r="F58" s="214"/>
      <c r="G58" s="214"/>
      <c r="H58" s="214"/>
      <c r="I58" s="214"/>
      <c r="J58" s="215"/>
      <c r="K58" s="216"/>
    </row>
  </sheetData>
  <mergeCells count="48">
    <mergeCell ref="B51:F57"/>
    <mergeCell ref="G51:H51"/>
    <mergeCell ref="G53:H53"/>
    <mergeCell ref="G55:I55"/>
    <mergeCell ref="G57:I57"/>
    <mergeCell ref="C47:D47"/>
    <mergeCell ref="E47:F47"/>
    <mergeCell ref="G47:H47"/>
    <mergeCell ref="C49:D49"/>
    <mergeCell ref="E49:F49"/>
    <mergeCell ref="G49:H49"/>
    <mergeCell ref="B45:J45"/>
    <mergeCell ref="G31:H31"/>
    <mergeCell ref="G32:H32"/>
    <mergeCell ref="G33:H33"/>
    <mergeCell ref="G34:H34"/>
    <mergeCell ref="B37:J37"/>
    <mergeCell ref="B38:C38"/>
    <mergeCell ref="G38:H38"/>
    <mergeCell ref="B39:C39"/>
    <mergeCell ref="G39:H39"/>
    <mergeCell ref="B40:C40"/>
    <mergeCell ref="G40:H40"/>
    <mergeCell ref="G43:I43"/>
    <mergeCell ref="G30:H30"/>
    <mergeCell ref="B16:D16"/>
    <mergeCell ref="G16:H16"/>
    <mergeCell ref="B19:J19"/>
    <mergeCell ref="B20:D20"/>
    <mergeCell ref="B21:D21"/>
    <mergeCell ref="B22:D22"/>
    <mergeCell ref="B23:D23"/>
    <mergeCell ref="B24:D24"/>
    <mergeCell ref="B25:D25"/>
    <mergeCell ref="B28:J28"/>
    <mergeCell ref="G29:H29"/>
    <mergeCell ref="B11:J11"/>
    <mergeCell ref="B13:J13"/>
    <mergeCell ref="B14:D14"/>
    <mergeCell ref="G14:H14"/>
    <mergeCell ref="B15:D15"/>
    <mergeCell ref="G15:H15"/>
    <mergeCell ref="B3:D5"/>
    <mergeCell ref="E3:J5"/>
    <mergeCell ref="B7:J7"/>
    <mergeCell ref="B8:J8"/>
    <mergeCell ref="B9:E9"/>
    <mergeCell ref="F9:J9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552FE-CFAD-48ED-A3C6-184C95A025CD}">
  <dimension ref="B1:I47"/>
  <sheetViews>
    <sheetView workbookViewId="0">
      <selection activeCell="L11" sqref="L11"/>
    </sheetView>
  </sheetViews>
  <sheetFormatPr baseColWidth="10" defaultRowHeight="14.4" x14ac:dyDescent="0.3"/>
  <sheetData>
    <row r="1" spans="2:9" ht="15" thickBot="1" x14ac:dyDescent="0.35"/>
    <row r="2" spans="2:9" ht="15" thickBot="1" x14ac:dyDescent="0.35">
      <c r="B2" s="262"/>
      <c r="C2" s="3"/>
      <c r="D2" s="4"/>
      <c r="E2" s="1"/>
      <c r="F2" s="5"/>
      <c r="G2" s="1"/>
      <c r="H2" s="1"/>
      <c r="I2" s="2"/>
    </row>
    <row r="3" spans="2:9" x14ac:dyDescent="0.3">
      <c r="B3" s="6" t="s">
        <v>164</v>
      </c>
      <c r="C3" s="7"/>
      <c r="D3" s="8"/>
      <c r="E3" s="9"/>
      <c r="F3" s="10" t="s">
        <v>165</v>
      </c>
      <c r="G3" s="9"/>
      <c r="H3" s="9"/>
      <c r="I3" s="11"/>
    </row>
    <row r="4" spans="2:9" ht="15" thickBot="1" x14ac:dyDescent="0.35">
      <c r="B4" s="12"/>
      <c r="C4" s="13"/>
      <c r="D4" s="14"/>
      <c r="E4" s="15"/>
      <c r="F4" s="16"/>
      <c r="G4" s="16"/>
      <c r="H4" s="16"/>
      <c r="I4" s="17"/>
    </row>
    <row r="5" spans="2:9" x14ac:dyDescent="0.3">
      <c r="B5" s="18"/>
      <c r="C5" s="9"/>
      <c r="D5" s="9"/>
      <c r="E5" s="9"/>
      <c r="F5" s="9"/>
      <c r="G5" s="9"/>
      <c r="H5" s="9"/>
      <c r="I5" s="9"/>
    </row>
    <row r="6" spans="2:9" x14ac:dyDescent="0.3">
      <c r="B6" s="18"/>
      <c r="C6" s="19"/>
      <c r="D6" s="9"/>
      <c r="F6" s="19"/>
      <c r="H6" s="19"/>
      <c r="I6" s="9"/>
    </row>
    <row r="7" spans="2:9" x14ac:dyDescent="0.3">
      <c r="B7" s="20" t="s">
        <v>221</v>
      </c>
      <c r="C7" s="19"/>
      <c r="D7" s="9"/>
      <c r="E7" s="19"/>
      <c r="F7" s="19"/>
      <c r="G7" s="19"/>
      <c r="H7" s="19" t="s">
        <v>166</v>
      </c>
      <c r="I7" s="9"/>
    </row>
    <row r="8" spans="2:9" x14ac:dyDescent="0.3">
      <c r="B8" s="19"/>
      <c r="C8" s="19"/>
      <c r="D8" s="9"/>
      <c r="E8" s="19"/>
      <c r="F8" s="19"/>
      <c r="G8" s="19"/>
      <c r="H8" s="19"/>
      <c r="I8" s="9"/>
    </row>
    <row r="9" spans="2:9" ht="15" thickBot="1" x14ac:dyDescent="0.35">
      <c r="B9" s="10" t="s">
        <v>62</v>
      </c>
      <c r="C9" s="10"/>
      <c r="D9" s="9"/>
      <c r="E9" s="9"/>
      <c r="F9" s="9"/>
      <c r="G9" s="9"/>
      <c r="H9" s="9"/>
      <c r="I9" s="9"/>
    </row>
    <row r="10" spans="2:9" x14ac:dyDescent="0.3">
      <c r="B10" s="21" t="s">
        <v>63</v>
      </c>
      <c r="C10" s="22"/>
      <c r="D10" s="23"/>
      <c r="E10" s="23" t="s">
        <v>64</v>
      </c>
      <c r="F10" s="24" t="s">
        <v>167</v>
      </c>
      <c r="G10" s="23" t="s">
        <v>66</v>
      </c>
      <c r="H10" s="62" t="s">
        <v>67</v>
      </c>
      <c r="I10" s="25"/>
    </row>
    <row r="11" spans="2:9" x14ac:dyDescent="0.3">
      <c r="B11" s="26" t="s">
        <v>168</v>
      </c>
      <c r="C11" s="27"/>
      <c r="D11" s="28"/>
      <c r="E11" s="29" t="s">
        <v>169</v>
      </c>
      <c r="F11" s="29"/>
      <c r="G11" s="30"/>
      <c r="H11" s="76">
        <v>100000</v>
      </c>
      <c r="I11" s="32"/>
    </row>
    <row r="12" spans="2:9" x14ac:dyDescent="0.3">
      <c r="B12" s="26" t="s">
        <v>219</v>
      </c>
      <c r="C12" s="27"/>
      <c r="D12" s="28"/>
      <c r="E12" s="29" t="s">
        <v>169</v>
      </c>
      <c r="F12" s="29"/>
      <c r="G12" s="30"/>
      <c r="H12" s="76">
        <v>250000</v>
      </c>
      <c r="I12" s="32"/>
    </row>
    <row r="13" spans="2:9" x14ac:dyDescent="0.3">
      <c r="B13" s="26" t="s">
        <v>170</v>
      </c>
      <c r="C13" s="27"/>
      <c r="D13" s="28"/>
      <c r="E13" s="33" t="s">
        <v>169</v>
      </c>
      <c r="F13" s="34"/>
      <c r="G13" s="30"/>
      <c r="H13" s="76">
        <v>100000</v>
      </c>
      <c r="I13" s="32"/>
    </row>
    <row r="14" spans="2:9" ht="15" thickBot="1" x14ac:dyDescent="0.35">
      <c r="B14" s="258" t="s">
        <v>171</v>
      </c>
      <c r="C14" s="259"/>
      <c r="D14" s="263"/>
      <c r="E14" s="264" t="s">
        <v>169</v>
      </c>
      <c r="F14" s="265"/>
      <c r="G14" s="266"/>
      <c r="H14" s="267">
        <v>319666.66666666651</v>
      </c>
      <c r="I14" s="32"/>
    </row>
    <row r="15" spans="2:9" ht="15" thickBot="1" x14ac:dyDescent="0.35">
      <c r="B15" s="42"/>
      <c r="C15" s="42"/>
      <c r="D15" s="42"/>
      <c r="E15" s="43"/>
      <c r="F15" s="44"/>
      <c r="G15" s="45"/>
      <c r="H15" s="45"/>
      <c r="I15" s="46"/>
    </row>
    <row r="16" spans="2:9" ht="15" thickBot="1" x14ac:dyDescent="0.35">
      <c r="B16" s="9"/>
      <c r="C16" s="9"/>
      <c r="D16" s="9"/>
      <c r="E16" s="9"/>
      <c r="F16" s="9"/>
      <c r="G16" s="9"/>
      <c r="H16" s="47" t="s">
        <v>70</v>
      </c>
      <c r="I16" s="48">
        <f>SUM(H11:H14,)</f>
        <v>769666.66666666651</v>
      </c>
    </row>
    <row r="17" spans="2:9" ht="15" thickBot="1" x14ac:dyDescent="0.35">
      <c r="B17" s="10" t="s">
        <v>71</v>
      </c>
      <c r="C17" s="10"/>
      <c r="D17" s="9"/>
      <c r="E17" s="9"/>
      <c r="F17" s="9"/>
      <c r="G17" s="9"/>
      <c r="H17" s="9"/>
      <c r="I17" s="9"/>
    </row>
    <row r="18" spans="2:9" x14ac:dyDescent="0.3">
      <c r="B18" s="49" t="s">
        <v>63</v>
      </c>
      <c r="C18" s="50"/>
      <c r="D18" s="51"/>
      <c r="E18" s="23" t="s">
        <v>1</v>
      </c>
      <c r="F18" s="23" t="s">
        <v>73</v>
      </c>
      <c r="G18" s="23" t="s">
        <v>72</v>
      </c>
      <c r="H18" s="62" t="s">
        <v>67</v>
      </c>
      <c r="I18" s="268"/>
    </row>
    <row r="19" spans="2:9" x14ac:dyDescent="0.3">
      <c r="B19" s="52" t="s">
        <v>174</v>
      </c>
      <c r="C19" s="53"/>
      <c r="D19" s="54"/>
      <c r="E19" s="33" t="s">
        <v>159</v>
      </c>
      <c r="F19" s="34">
        <v>7000</v>
      </c>
      <c r="G19" s="30">
        <v>6</v>
      </c>
      <c r="H19" s="76">
        <f t="shared" ref="H19:H26" si="0">G19*F19</f>
        <v>42000</v>
      </c>
      <c r="I19" s="11"/>
    </row>
    <row r="20" spans="2:9" x14ac:dyDescent="0.3">
      <c r="B20" s="52" t="s">
        <v>220</v>
      </c>
      <c r="C20" s="53"/>
      <c r="D20" s="54"/>
      <c r="E20" s="33" t="s">
        <v>159</v>
      </c>
      <c r="F20" s="34">
        <f>350000/6</f>
        <v>58333.333333333336</v>
      </c>
      <c r="G20" s="30">
        <v>1</v>
      </c>
      <c r="H20" s="76">
        <f t="shared" si="0"/>
        <v>58333.333333333336</v>
      </c>
      <c r="I20" s="11"/>
    </row>
    <row r="21" spans="2:9" x14ac:dyDescent="0.3">
      <c r="B21" s="52" t="s">
        <v>176</v>
      </c>
      <c r="C21" s="53"/>
      <c r="D21" s="54"/>
      <c r="E21" s="33" t="s">
        <v>177</v>
      </c>
      <c r="F21" s="34">
        <v>14000</v>
      </c>
      <c r="G21" s="30">
        <v>10</v>
      </c>
      <c r="H21" s="76">
        <f t="shared" si="0"/>
        <v>140000</v>
      </c>
      <c r="I21" s="11"/>
    </row>
    <row r="22" spans="2:9" x14ac:dyDescent="0.3">
      <c r="B22" s="52" t="s">
        <v>178</v>
      </c>
      <c r="C22" s="53"/>
      <c r="D22" s="54"/>
      <c r="E22" s="33" t="s">
        <v>177</v>
      </c>
      <c r="F22" s="34">
        <v>15000</v>
      </c>
      <c r="G22" s="30">
        <v>10</v>
      </c>
      <c r="H22" s="76">
        <f t="shared" si="0"/>
        <v>150000</v>
      </c>
      <c r="I22" s="11"/>
    </row>
    <row r="23" spans="2:9" x14ac:dyDescent="0.3">
      <c r="B23" s="52" t="s">
        <v>179</v>
      </c>
      <c r="C23" s="53"/>
      <c r="D23" s="54"/>
      <c r="E23" s="33" t="s">
        <v>159</v>
      </c>
      <c r="F23" s="34">
        <v>2200</v>
      </c>
      <c r="G23" s="30">
        <v>100</v>
      </c>
      <c r="H23" s="76">
        <f t="shared" si="0"/>
        <v>220000</v>
      </c>
      <c r="I23" s="11"/>
    </row>
    <row r="24" spans="2:9" x14ac:dyDescent="0.3">
      <c r="B24" s="56" t="s">
        <v>180</v>
      </c>
      <c r="C24" s="57"/>
      <c r="D24" s="58"/>
      <c r="E24" s="33" t="s">
        <v>181</v>
      </c>
      <c r="F24" s="34">
        <v>250000</v>
      </c>
      <c r="G24" s="30">
        <v>1</v>
      </c>
      <c r="H24" s="76">
        <f t="shared" si="0"/>
        <v>250000</v>
      </c>
      <c r="I24" s="11"/>
    </row>
    <row r="25" spans="2:9" ht="15" thickBot="1" x14ac:dyDescent="0.35">
      <c r="B25" s="56" t="s">
        <v>182</v>
      </c>
      <c r="C25" s="57"/>
      <c r="D25" s="58"/>
      <c r="E25" s="33" t="s">
        <v>159</v>
      </c>
      <c r="F25" s="34">
        <v>8000</v>
      </c>
      <c r="G25" s="30">
        <v>5</v>
      </c>
      <c r="H25" s="76">
        <f t="shared" si="0"/>
        <v>40000</v>
      </c>
      <c r="I25" s="59"/>
    </row>
    <row r="26" spans="2:9" ht="15" thickBot="1" x14ac:dyDescent="0.35">
      <c r="B26" s="269" t="s">
        <v>183</v>
      </c>
      <c r="C26" s="270"/>
      <c r="D26" s="69"/>
      <c r="E26" s="271" t="s">
        <v>159</v>
      </c>
      <c r="F26" s="272">
        <v>16000</v>
      </c>
      <c r="G26" s="273">
        <v>5</v>
      </c>
      <c r="H26" s="267">
        <f t="shared" si="0"/>
        <v>80000</v>
      </c>
      <c r="I26" s="59"/>
    </row>
    <row r="27" spans="2:9" ht="15" thickBot="1" x14ac:dyDescent="0.35">
      <c r="B27" s="9"/>
      <c r="C27" s="9"/>
      <c r="D27" s="9"/>
      <c r="E27" s="43"/>
      <c r="F27" s="44"/>
      <c r="G27" s="45"/>
      <c r="H27" s="60"/>
      <c r="I27" s="46"/>
    </row>
    <row r="28" spans="2:9" ht="15" thickBot="1" x14ac:dyDescent="0.35">
      <c r="B28" s="9"/>
      <c r="C28" s="9"/>
      <c r="D28" s="9"/>
      <c r="E28" s="9"/>
      <c r="F28" s="9"/>
      <c r="G28" s="9"/>
      <c r="H28" s="47" t="s">
        <v>70</v>
      </c>
      <c r="I28" s="48">
        <f>SUM(H19:H27)</f>
        <v>980333.33333333337</v>
      </c>
    </row>
    <row r="29" spans="2:9" ht="15" thickBot="1" x14ac:dyDescent="0.35">
      <c r="B29" s="10" t="s">
        <v>75</v>
      </c>
      <c r="C29" s="10"/>
      <c r="D29" s="9"/>
      <c r="E29" s="9"/>
      <c r="F29" s="9"/>
      <c r="G29" s="9"/>
      <c r="H29" s="9"/>
      <c r="I29" s="9"/>
    </row>
    <row r="30" spans="2:9" x14ac:dyDescent="0.3">
      <c r="B30" s="61" t="s">
        <v>184</v>
      </c>
      <c r="C30" s="23"/>
      <c r="D30" s="23" t="s">
        <v>185</v>
      </c>
      <c r="E30" s="23" t="s">
        <v>186</v>
      </c>
      <c r="F30" s="23" t="s">
        <v>187</v>
      </c>
      <c r="G30" s="23" t="s">
        <v>188</v>
      </c>
      <c r="H30" s="62" t="s">
        <v>67</v>
      </c>
      <c r="I30" s="25"/>
    </row>
    <row r="31" spans="2:9" x14ac:dyDescent="0.3">
      <c r="B31" s="63"/>
      <c r="C31" s="54"/>
      <c r="D31" s="64"/>
      <c r="E31" s="64"/>
      <c r="F31" s="64"/>
      <c r="G31" s="31"/>
      <c r="H31" s="65"/>
      <c r="I31" s="32"/>
    </row>
    <row r="32" spans="2:9" x14ac:dyDescent="0.3">
      <c r="B32" s="63"/>
      <c r="C32" s="54"/>
      <c r="D32" s="66"/>
      <c r="E32" s="33"/>
      <c r="F32" s="67"/>
      <c r="G32" s="30"/>
      <c r="H32" s="30"/>
      <c r="I32" s="32"/>
    </row>
    <row r="33" spans="2:9" x14ac:dyDescent="0.3">
      <c r="B33" s="63"/>
      <c r="C33" s="54"/>
      <c r="D33" s="66"/>
      <c r="E33" s="33"/>
      <c r="F33" s="67"/>
      <c r="G33" s="30"/>
      <c r="H33" s="30"/>
      <c r="I33" s="32"/>
    </row>
    <row r="34" spans="2:9" ht="15" thickBot="1" x14ac:dyDescent="0.35">
      <c r="B34" s="68"/>
      <c r="C34" s="69"/>
      <c r="D34" s="70"/>
      <c r="E34" s="70"/>
      <c r="F34" s="70"/>
      <c r="G34" s="70"/>
      <c r="H34" s="71"/>
      <c r="I34" s="32"/>
    </row>
    <row r="35" spans="2:9" ht="15" thickBot="1" x14ac:dyDescent="0.35">
      <c r="B35" s="9"/>
      <c r="C35" s="9"/>
      <c r="D35" s="9"/>
      <c r="E35" s="9"/>
      <c r="F35" s="9"/>
      <c r="G35" s="9"/>
      <c r="H35" s="47" t="s">
        <v>70</v>
      </c>
      <c r="I35" s="48">
        <f>SUM(H31:H34)</f>
        <v>0</v>
      </c>
    </row>
    <row r="36" spans="2:9" ht="15" thickBot="1" x14ac:dyDescent="0.35">
      <c r="B36" s="10" t="s">
        <v>82</v>
      </c>
      <c r="C36" s="10"/>
      <c r="D36" s="9"/>
      <c r="E36" s="9"/>
      <c r="F36" s="9"/>
      <c r="G36" s="9"/>
      <c r="H36" s="9"/>
      <c r="I36" s="9"/>
    </row>
    <row r="37" spans="2:9" x14ac:dyDescent="0.3">
      <c r="B37" s="72" t="s">
        <v>83</v>
      </c>
      <c r="C37" s="274"/>
      <c r="D37" s="274" t="s">
        <v>84</v>
      </c>
      <c r="E37" s="274" t="s">
        <v>85</v>
      </c>
      <c r="F37" s="275" t="s">
        <v>86</v>
      </c>
      <c r="G37" s="276" t="s">
        <v>66</v>
      </c>
      <c r="H37" s="62" t="s">
        <v>67</v>
      </c>
      <c r="I37" s="25"/>
    </row>
    <row r="38" spans="2:9" x14ac:dyDescent="0.3">
      <c r="B38" s="63" t="s">
        <v>191</v>
      </c>
      <c r="C38" s="66"/>
      <c r="D38" s="277">
        <f>110000*2</f>
        <v>220000</v>
      </c>
      <c r="E38" s="278">
        <v>0.25</v>
      </c>
      <c r="F38" s="279">
        <f>+(D38*E38)+D38</f>
        <v>275000</v>
      </c>
      <c r="G38" s="30">
        <v>0.5</v>
      </c>
      <c r="H38" s="76">
        <f>+F38/G38</f>
        <v>550000</v>
      </c>
      <c r="I38" s="32"/>
    </row>
    <row r="39" spans="2:9" x14ac:dyDescent="0.3">
      <c r="B39" s="63" t="s">
        <v>192</v>
      </c>
      <c r="C39" s="66"/>
      <c r="D39" s="277">
        <f>60000*2</f>
        <v>120000</v>
      </c>
      <c r="E39" s="278">
        <v>0.25</v>
      </c>
      <c r="F39" s="279">
        <f>+(D39*E39)+D39</f>
        <v>150000</v>
      </c>
      <c r="G39" s="30">
        <v>0.5</v>
      </c>
      <c r="H39" s="76">
        <f>+F39/G39</f>
        <v>300000</v>
      </c>
      <c r="I39" s="32"/>
    </row>
    <row r="40" spans="2:9" x14ac:dyDescent="0.3">
      <c r="B40" s="63"/>
      <c r="C40" s="66"/>
      <c r="D40" s="74"/>
      <c r="E40" s="75"/>
      <c r="F40" s="34"/>
      <c r="G40" s="30"/>
      <c r="H40" s="76"/>
      <c r="I40" s="32"/>
    </row>
    <row r="41" spans="2:9" x14ac:dyDescent="0.3">
      <c r="B41" s="63"/>
      <c r="C41" s="66"/>
      <c r="D41" s="34"/>
      <c r="E41" s="33"/>
      <c r="F41" s="34"/>
      <c r="G41" s="30"/>
      <c r="H41" s="76"/>
      <c r="I41" s="32"/>
    </row>
    <row r="42" spans="2:9" x14ac:dyDescent="0.3">
      <c r="B42" s="63"/>
      <c r="C42" s="54"/>
      <c r="D42" s="34"/>
      <c r="E42" s="33"/>
      <c r="F42" s="34"/>
      <c r="G42" s="30"/>
      <c r="H42" s="76"/>
      <c r="I42" s="32"/>
    </row>
    <row r="43" spans="2:9" ht="15" thickBot="1" x14ac:dyDescent="0.35">
      <c r="B43" s="68"/>
      <c r="C43" s="69"/>
      <c r="D43" s="69"/>
      <c r="E43" s="69"/>
      <c r="F43" s="69"/>
      <c r="G43" s="69"/>
      <c r="H43" s="59"/>
      <c r="I43" s="32"/>
    </row>
    <row r="44" spans="2:9" x14ac:dyDescent="0.3">
      <c r="B44" s="9"/>
      <c r="C44" s="9"/>
      <c r="D44" s="9"/>
      <c r="E44" s="9"/>
      <c r="F44" s="9"/>
      <c r="G44" s="9"/>
      <c r="H44" s="280" t="s">
        <v>70</v>
      </c>
      <c r="I44" s="83">
        <f>H38+H39</f>
        <v>850000</v>
      </c>
    </row>
    <row r="45" spans="2:9" ht="15" thickBot="1" x14ac:dyDescent="0.35">
      <c r="B45" s="9"/>
      <c r="C45" s="9"/>
      <c r="D45" s="9"/>
      <c r="E45" s="9"/>
      <c r="F45" s="9"/>
      <c r="G45" s="9"/>
      <c r="H45" s="77"/>
      <c r="I45" s="9"/>
    </row>
    <row r="46" spans="2:9" ht="15" thickBot="1" x14ac:dyDescent="0.35">
      <c r="B46" s="9"/>
      <c r="C46" s="9"/>
      <c r="D46" s="9"/>
      <c r="E46" s="9"/>
      <c r="F46" s="7" t="s">
        <v>189</v>
      </c>
      <c r="G46" s="78"/>
      <c r="H46" s="78"/>
      <c r="I46" s="48">
        <f>I16+I28+I35+I44</f>
        <v>2600000</v>
      </c>
    </row>
    <row r="47" spans="2:9" ht="15" thickBot="1" x14ac:dyDescent="0.35">
      <c r="F47" s="389" t="s">
        <v>190</v>
      </c>
      <c r="G47" s="389"/>
      <c r="H47" s="389"/>
      <c r="I47" s="48">
        <f>ROUND(I46,0)</f>
        <v>2600000</v>
      </c>
    </row>
  </sheetData>
  <mergeCells count="1">
    <mergeCell ref="F47:H4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B6BB6-229E-4C60-A2B2-5E2FB43DAD52}">
  <dimension ref="A2:I59"/>
  <sheetViews>
    <sheetView topLeftCell="A47" workbookViewId="0">
      <selection activeCell="L55" sqref="L55"/>
    </sheetView>
  </sheetViews>
  <sheetFormatPr baseColWidth="10" defaultRowHeight="14.4" x14ac:dyDescent="0.3"/>
  <cols>
    <col min="3" max="3" width="11.88671875" bestFit="1" customWidth="1"/>
    <col min="4" max="5" width="11.5546875" bestFit="1" customWidth="1"/>
    <col min="6" max="6" width="12.6640625" bestFit="1" customWidth="1"/>
    <col min="7" max="7" width="11.5546875" bestFit="1" customWidth="1"/>
    <col min="8" max="8" width="12.6640625" bestFit="1" customWidth="1"/>
    <col min="9" max="9" width="17.88671875" bestFit="1" customWidth="1"/>
  </cols>
  <sheetData>
    <row r="2" spans="1:9" ht="15" thickBot="1" x14ac:dyDescent="0.35">
      <c r="A2" s="84"/>
      <c r="B2" s="84"/>
      <c r="C2" s="84"/>
      <c r="D2" s="84"/>
      <c r="E2" s="84"/>
      <c r="F2" s="84"/>
      <c r="G2" s="84"/>
      <c r="H2" s="84"/>
      <c r="I2" s="137"/>
    </row>
    <row r="3" spans="1:9" ht="15" thickBot="1" x14ac:dyDescent="0.35">
      <c r="A3" s="139"/>
      <c r="B3" s="139"/>
      <c r="C3" s="139"/>
      <c r="D3" s="139"/>
      <c r="E3" s="139"/>
      <c r="F3" s="139"/>
      <c r="G3" s="139"/>
      <c r="H3" s="139"/>
      <c r="I3" s="140"/>
    </row>
    <row r="4" spans="1:9" x14ac:dyDescent="0.3">
      <c r="A4" s="296"/>
      <c r="B4" s="297"/>
      <c r="C4" s="298"/>
      <c r="D4" s="305" t="s">
        <v>59</v>
      </c>
      <c r="E4" s="306"/>
      <c r="F4" s="306"/>
      <c r="G4" s="306"/>
      <c r="H4" s="306"/>
      <c r="I4" s="307"/>
    </row>
    <row r="5" spans="1:9" x14ac:dyDescent="0.3">
      <c r="A5" s="299"/>
      <c r="B5" s="300"/>
      <c r="C5" s="301"/>
      <c r="D5" s="308"/>
      <c r="E5" s="309"/>
      <c r="F5" s="309"/>
      <c r="G5" s="309"/>
      <c r="H5" s="309"/>
      <c r="I5" s="310"/>
    </row>
    <row r="6" spans="1:9" ht="15" thickBot="1" x14ac:dyDescent="0.35">
      <c r="A6" s="302"/>
      <c r="B6" s="303"/>
      <c r="C6" s="304"/>
      <c r="D6" s="311"/>
      <c r="E6" s="312"/>
      <c r="F6" s="312"/>
      <c r="G6" s="312"/>
      <c r="H6" s="312"/>
      <c r="I6" s="313"/>
    </row>
    <row r="7" spans="1:9" ht="15" thickBot="1" x14ac:dyDescent="0.35">
      <c r="A7" s="145"/>
      <c r="B7" s="146"/>
      <c r="C7" s="9"/>
      <c r="D7" s="146"/>
      <c r="E7" s="146"/>
      <c r="F7" s="146"/>
      <c r="G7" s="146"/>
      <c r="H7" s="146"/>
      <c r="I7" s="147"/>
    </row>
    <row r="8" spans="1:9" x14ac:dyDescent="0.3">
      <c r="A8" s="400" t="s">
        <v>222</v>
      </c>
      <c r="B8" s="401"/>
      <c r="C8" s="401"/>
      <c r="D8" s="401"/>
      <c r="E8" s="401"/>
      <c r="F8" s="401"/>
      <c r="G8" s="401"/>
      <c r="H8" s="401"/>
      <c r="I8" s="402"/>
    </row>
    <row r="9" spans="1:9" ht="15" thickBot="1" x14ac:dyDescent="0.35">
      <c r="A9" s="317"/>
      <c r="B9" s="318"/>
      <c r="C9" s="318"/>
      <c r="D9" s="318"/>
      <c r="E9" s="318"/>
      <c r="F9" s="318"/>
      <c r="G9" s="318"/>
      <c r="H9" s="318"/>
      <c r="I9" s="319"/>
    </row>
    <row r="10" spans="1:9" ht="15" thickBot="1" x14ac:dyDescent="0.35">
      <c r="A10" s="383" t="s">
        <v>223</v>
      </c>
      <c r="B10" s="384"/>
      <c r="C10" s="384"/>
      <c r="D10" s="385"/>
      <c r="E10" s="403" t="s">
        <v>60</v>
      </c>
      <c r="F10" s="404"/>
      <c r="G10" s="405"/>
      <c r="H10" s="405"/>
      <c r="I10" s="406"/>
    </row>
    <row r="11" spans="1:9" ht="15" thickBot="1" x14ac:dyDescent="0.35">
      <c r="A11" s="148"/>
      <c r="B11" s="148"/>
      <c r="C11" s="146"/>
      <c r="D11" s="148"/>
      <c r="E11" s="148"/>
      <c r="F11" s="148"/>
      <c r="G11" s="148"/>
      <c r="H11" s="148"/>
      <c r="I11" s="147"/>
    </row>
    <row r="12" spans="1:9" ht="15" thickBot="1" x14ac:dyDescent="0.35">
      <c r="A12" s="327" t="s">
        <v>61</v>
      </c>
      <c r="B12" s="328"/>
      <c r="C12" s="328"/>
      <c r="D12" s="328"/>
      <c r="E12" s="328"/>
      <c r="F12" s="328"/>
      <c r="G12" s="328"/>
      <c r="H12" s="328"/>
      <c r="I12" s="329"/>
    </row>
    <row r="13" spans="1:9" ht="15" thickBot="1" x14ac:dyDescent="0.35">
      <c r="A13" s="148"/>
      <c r="B13" s="148"/>
      <c r="C13" s="146"/>
      <c r="D13" s="148"/>
      <c r="E13" s="148"/>
      <c r="F13" s="148"/>
      <c r="G13" s="148"/>
      <c r="H13" s="148"/>
      <c r="I13" s="147"/>
    </row>
    <row r="14" spans="1:9" ht="15" thickBot="1" x14ac:dyDescent="0.35">
      <c r="A14" s="327" t="s">
        <v>62</v>
      </c>
      <c r="B14" s="328"/>
      <c r="C14" s="328"/>
      <c r="D14" s="328"/>
      <c r="E14" s="328"/>
      <c r="F14" s="328"/>
      <c r="G14" s="328"/>
      <c r="H14" s="328"/>
      <c r="I14" s="329"/>
    </row>
    <row r="15" spans="1:9" ht="15" thickBot="1" x14ac:dyDescent="0.35">
      <c r="A15" s="330" t="s">
        <v>63</v>
      </c>
      <c r="B15" s="331"/>
      <c r="C15" s="332"/>
      <c r="D15" s="150" t="s">
        <v>64</v>
      </c>
      <c r="E15" s="151" t="s">
        <v>65</v>
      </c>
      <c r="F15" s="330" t="s">
        <v>66</v>
      </c>
      <c r="G15" s="332"/>
      <c r="H15" s="149" t="s">
        <v>67</v>
      </c>
      <c r="I15" s="152" t="s">
        <v>68</v>
      </c>
    </row>
    <row r="16" spans="1:9" x14ac:dyDescent="0.3">
      <c r="A16" s="333" t="s">
        <v>69</v>
      </c>
      <c r="B16" s="334"/>
      <c r="C16" s="335"/>
      <c r="D16" s="153"/>
      <c r="E16" s="153"/>
      <c r="F16" s="336"/>
      <c r="G16" s="337"/>
      <c r="H16" s="154">
        <f>+I42*0.1</f>
        <v>3375</v>
      </c>
      <c r="I16" s="155">
        <f t="shared" ref="I16" si="0">+H16</f>
        <v>3375</v>
      </c>
    </row>
    <row r="17" spans="1:9" ht="15" thickBot="1" x14ac:dyDescent="0.35">
      <c r="A17" s="340"/>
      <c r="B17" s="341"/>
      <c r="C17" s="342"/>
      <c r="D17" s="156"/>
      <c r="E17" s="156"/>
      <c r="F17" s="381"/>
      <c r="G17" s="382"/>
      <c r="H17" s="239"/>
      <c r="I17" s="158"/>
    </row>
    <row r="18" spans="1:9" ht="15" thickBot="1" x14ac:dyDescent="0.35">
      <c r="A18" s="146"/>
      <c r="B18" s="146"/>
      <c r="C18" s="146"/>
      <c r="D18" s="146"/>
      <c r="E18" s="146"/>
      <c r="F18" s="146"/>
      <c r="G18" s="146"/>
      <c r="H18" s="159" t="s">
        <v>70</v>
      </c>
      <c r="I18" s="160">
        <f>SUM(I16:I17)</f>
        <v>3375</v>
      </c>
    </row>
    <row r="19" spans="1:9" ht="15" thickBot="1" x14ac:dyDescent="0.35">
      <c r="A19" s="146"/>
      <c r="B19" s="146"/>
      <c r="C19" s="146"/>
      <c r="D19" s="146"/>
      <c r="E19" s="146"/>
      <c r="F19" s="146"/>
      <c r="G19" s="146"/>
      <c r="H19" s="159"/>
      <c r="I19" s="161"/>
    </row>
    <row r="20" spans="1:9" ht="15" thickBot="1" x14ac:dyDescent="0.35">
      <c r="A20" s="327" t="s">
        <v>71</v>
      </c>
      <c r="B20" s="328"/>
      <c r="C20" s="328"/>
      <c r="D20" s="328"/>
      <c r="E20" s="328"/>
      <c r="F20" s="328"/>
      <c r="G20" s="328"/>
      <c r="H20" s="328"/>
      <c r="I20" s="329"/>
    </row>
    <row r="21" spans="1:9" ht="15" thickBot="1" x14ac:dyDescent="0.35">
      <c r="A21" s="330" t="s">
        <v>63</v>
      </c>
      <c r="B21" s="331"/>
      <c r="C21" s="332"/>
      <c r="D21" s="150" t="s">
        <v>1</v>
      </c>
      <c r="E21" s="150" t="s">
        <v>72</v>
      </c>
      <c r="F21" s="150" t="s">
        <v>73</v>
      </c>
      <c r="G21" s="149" t="s">
        <v>74</v>
      </c>
      <c r="H21" s="149" t="s">
        <v>67</v>
      </c>
      <c r="I21" s="152" t="s">
        <v>68</v>
      </c>
    </row>
    <row r="22" spans="1:9" x14ac:dyDescent="0.3">
      <c r="A22" s="345" t="s">
        <v>224</v>
      </c>
      <c r="B22" s="346"/>
      <c r="C22" s="347"/>
      <c r="D22" s="162" t="s">
        <v>225</v>
      </c>
      <c r="E22" s="163">
        <v>1</v>
      </c>
      <c r="F22" s="164">
        <v>28000</v>
      </c>
      <c r="G22" s="165">
        <v>0.03</v>
      </c>
      <c r="H22" s="164">
        <f>(E22*G22+E22)*F22</f>
        <v>28840</v>
      </c>
      <c r="I22" s="166">
        <f>H22</f>
        <v>28840</v>
      </c>
    </row>
    <row r="23" spans="1:9" x14ac:dyDescent="0.3">
      <c r="A23" s="333"/>
      <c r="B23" s="334"/>
      <c r="C23" s="335"/>
      <c r="D23" s="153"/>
      <c r="E23" s="167"/>
      <c r="F23" s="168"/>
      <c r="G23" s="169"/>
      <c r="H23" s="170"/>
      <c r="I23" s="158">
        <f t="shared" ref="I23:I26" si="1">+H23</f>
        <v>0</v>
      </c>
    </row>
    <row r="24" spans="1:9" x14ac:dyDescent="0.3">
      <c r="A24" s="333"/>
      <c r="B24" s="334"/>
      <c r="C24" s="335"/>
      <c r="D24" s="153"/>
      <c r="E24" s="167"/>
      <c r="F24" s="168"/>
      <c r="G24" s="169"/>
      <c r="H24" s="170"/>
      <c r="I24" s="155">
        <f t="shared" si="1"/>
        <v>0</v>
      </c>
    </row>
    <row r="25" spans="1:9" x14ac:dyDescent="0.3">
      <c r="A25" s="333"/>
      <c r="B25" s="334"/>
      <c r="C25" s="335"/>
      <c r="D25" s="153"/>
      <c r="E25" s="167"/>
      <c r="F25" s="168"/>
      <c r="G25" s="169"/>
      <c r="H25" s="170"/>
      <c r="I25" s="155">
        <f t="shared" si="1"/>
        <v>0</v>
      </c>
    </row>
    <row r="26" spans="1:9" ht="15" thickBot="1" x14ac:dyDescent="0.35">
      <c r="A26" s="348"/>
      <c r="B26" s="349"/>
      <c r="C26" s="350"/>
      <c r="D26" s="172"/>
      <c r="E26" s="173"/>
      <c r="F26" s="174"/>
      <c r="G26" s="175"/>
      <c r="H26" s="176"/>
      <c r="I26" s="177">
        <f t="shared" si="1"/>
        <v>0</v>
      </c>
    </row>
    <row r="27" spans="1:9" ht="15" thickBot="1" x14ac:dyDescent="0.35">
      <c r="A27" s="146"/>
      <c r="B27" s="146"/>
      <c r="C27" s="146"/>
      <c r="D27" s="146"/>
      <c r="E27" s="146"/>
      <c r="F27" s="146"/>
      <c r="G27" s="146"/>
      <c r="H27" s="159" t="s">
        <v>70</v>
      </c>
      <c r="I27" s="178">
        <f>SUM(I22:I26)</f>
        <v>28840</v>
      </c>
    </row>
    <row r="28" spans="1:9" ht="15" thickBot="1" x14ac:dyDescent="0.35">
      <c r="A28" s="146"/>
      <c r="B28" s="146"/>
      <c r="C28" s="146"/>
      <c r="D28" s="146"/>
      <c r="E28" s="146"/>
      <c r="F28" s="146"/>
      <c r="G28" s="146"/>
      <c r="H28" s="159"/>
      <c r="I28" s="161"/>
    </row>
    <row r="29" spans="1:9" ht="15" thickBot="1" x14ac:dyDescent="0.35">
      <c r="A29" s="327" t="s">
        <v>75</v>
      </c>
      <c r="B29" s="328"/>
      <c r="C29" s="328"/>
      <c r="D29" s="328"/>
      <c r="E29" s="328"/>
      <c r="F29" s="328"/>
      <c r="G29" s="328"/>
      <c r="H29" s="328"/>
      <c r="I29" s="329"/>
    </row>
    <row r="30" spans="1:9" ht="15" thickBot="1" x14ac:dyDescent="0.35">
      <c r="A30" s="150" t="s">
        <v>76</v>
      </c>
      <c r="B30" s="150" t="s">
        <v>1</v>
      </c>
      <c r="C30" s="150" t="s">
        <v>77</v>
      </c>
      <c r="D30" s="150" t="s">
        <v>78</v>
      </c>
      <c r="E30" s="150" t="s">
        <v>79</v>
      </c>
      <c r="F30" s="330" t="s">
        <v>80</v>
      </c>
      <c r="G30" s="332"/>
      <c r="H30" s="143" t="s">
        <v>67</v>
      </c>
      <c r="I30" s="152" t="s">
        <v>68</v>
      </c>
    </row>
    <row r="31" spans="1:9" x14ac:dyDescent="0.3">
      <c r="A31" s="179"/>
      <c r="B31" s="180"/>
      <c r="C31" s="181"/>
      <c r="D31" s="181"/>
      <c r="E31" s="182"/>
      <c r="F31" s="338"/>
      <c r="G31" s="339"/>
      <c r="H31" s="182"/>
      <c r="I31" s="166"/>
    </row>
    <row r="32" spans="1:9" x14ac:dyDescent="0.3">
      <c r="A32" s="183"/>
      <c r="B32" s="184"/>
      <c r="C32" s="185"/>
      <c r="D32" s="185"/>
      <c r="E32" s="186"/>
      <c r="F32" s="351"/>
      <c r="G32" s="352"/>
      <c r="H32" s="186"/>
      <c r="I32" s="155"/>
    </row>
    <row r="33" spans="1:9" x14ac:dyDescent="0.3">
      <c r="A33" s="183"/>
      <c r="B33" s="184"/>
      <c r="C33" s="185"/>
      <c r="D33" s="185"/>
      <c r="E33" s="186"/>
      <c r="F33" s="351"/>
      <c r="G33" s="352"/>
      <c r="H33" s="186"/>
      <c r="I33" s="155"/>
    </row>
    <row r="34" spans="1:9" x14ac:dyDescent="0.3">
      <c r="A34" s="187"/>
      <c r="B34" s="188"/>
      <c r="C34" s="189"/>
      <c r="D34" s="189"/>
      <c r="E34" s="186"/>
      <c r="F34" s="351"/>
      <c r="G34" s="352"/>
      <c r="H34" s="186"/>
      <c r="I34" s="155"/>
    </row>
    <row r="35" spans="1:9" ht="15" thickBot="1" x14ac:dyDescent="0.35">
      <c r="A35" s="190"/>
      <c r="B35" s="191"/>
      <c r="C35" s="192"/>
      <c r="D35" s="193"/>
      <c r="E35" s="194" t="s">
        <v>81</v>
      </c>
      <c r="F35" s="353" t="s">
        <v>81</v>
      </c>
      <c r="G35" s="354"/>
      <c r="H35" s="194" t="s">
        <v>81</v>
      </c>
      <c r="I35" s="177"/>
    </row>
    <row r="36" spans="1:9" ht="15" thickBot="1" x14ac:dyDescent="0.35">
      <c r="A36" s="146"/>
      <c r="B36" s="146"/>
      <c r="C36" s="146"/>
      <c r="D36" s="146"/>
      <c r="E36" s="146"/>
      <c r="F36" s="146"/>
      <c r="G36" s="146"/>
      <c r="H36" s="159" t="s">
        <v>70</v>
      </c>
      <c r="I36" s="160">
        <f>SUM(I31:I35)</f>
        <v>0</v>
      </c>
    </row>
    <row r="37" spans="1:9" ht="15" thickBot="1" x14ac:dyDescent="0.35">
      <c r="A37" s="146"/>
      <c r="B37" s="146"/>
      <c r="C37" s="146"/>
      <c r="D37" s="146"/>
      <c r="E37" s="146"/>
      <c r="F37" s="146"/>
      <c r="G37" s="146"/>
      <c r="H37" s="159"/>
      <c r="I37" s="161"/>
    </row>
    <row r="38" spans="1:9" ht="15" thickBot="1" x14ac:dyDescent="0.35">
      <c r="A38" s="327" t="s">
        <v>82</v>
      </c>
      <c r="B38" s="328"/>
      <c r="C38" s="328"/>
      <c r="D38" s="328"/>
      <c r="E38" s="328"/>
      <c r="F38" s="328"/>
      <c r="G38" s="328"/>
      <c r="H38" s="328"/>
      <c r="I38" s="329"/>
    </row>
    <row r="39" spans="1:9" ht="15" thickBot="1" x14ac:dyDescent="0.35">
      <c r="A39" s="330" t="s">
        <v>83</v>
      </c>
      <c r="B39" s="332"/>
      <c r="C39" s="150" t="s">
        <v>84</v>
      </c>
      <c r="D39" s="150" t="s">
        <v>85</v>
      </c>
      <c r="E39" s="151" t="s">
        <v>86</v>
      </c>
      <c r="F39" s="330" t="s">
        <v>66</v>
      </c>
      <c r="G39" s="332"/>
      <c r="H39" s="150" t="s">
        <v>67</v>
      </c>
      <c r="I39" s="152" t="s">
        <v>68</v>
      </c>
    </row>
    <row r="40" spans="1:9" x14ac:dyDescent="0.3">
      <c r="A40" s="355" t="s">
        <v>87</v>
      </c>
      <c r="B40" s="356"/>
      <c r="C40" s="195">
        <v>65000</v>
      </c>
      <c r="D40" s="165">
        <v>0.25</v>
      </c>
      <c r="E40" s="196">
        <f>+(C40*D40)+C40</f>
        <v>81250</v>
      </c>
      <c r="F40" s="357">
        <v>5</v>
      </c>
      <c r="G40" s="358"/>
      <c r="H40" s="196">
        <f>+E40/F40</f>
        <v>16250</v>
      </c>
      <c r="I40" s="158">
        <f>+H40</f>
        <v>16250</v>
      </c>
    </row>
    <row r="41" spans="1:9" ht="15" thickBot="1" x14ac:dyDescent="0.35">
      <c r="A41" s="359" t="s">
        <v>88</v>
      </c>
      <c r="B41" s="360"/>
      <c r="C41" s="197">
        <v>70000</v>
      </c>
      <c r="D41" s="198">
        <v>0.25</v>
      </c>
      <c r="E41" s="199">
        <f>+(C41*D41)+C41</f>
        <v>87500</v>
      </c>
      <c r="F41" s="361">
        <v>5</v>
      </c>
      <c r="G41" s="362"/>
      <c r="H41" s="199">
        <f>+E41/F41</f>
        <v>17500</v>
      </c>
      <c r="I41" s="177">
        <f>+H41</f>
        <v>17500</v>
      </c>
    </row>
    <row r="42" spans="1:9" ht="15" thickBot="1" x14ac:dyDescent="0.35">
      <c r="A42" s="146"/>
      <c r="B42" s="146"/>
      <c r="C42" s="146"/>
      <c r="D42" s="146"/>
      <c r="E42" s="146"/>
      <c r="F42" s="146"/>
      <c r="G42" s="146"/>
      <c r="H42" s="159" t="s">
        <v>70</v>
      </c>
      <c r="I42" s="160">
        <f>SUM(I40:I41)</f>
        <v>33750</v>
      </c>
    </row>
    <row r="43" spans="1:9" ht="15" thickBot="1" x14ac:dyDescent="0.35">
      <c r="A43" s="146"/>
      <c r="B43" s="146"/>
      <c r="C43" s="146"/>
      <c r="D43" s="146"/>
      <c r="E43" s="146"/>
      <c r="F43" s="146"/>
      <c r="G43" s="146"/>
      <c r="H43" s="200"/>
      <c r="I43" s="147"/>
    </row>
    <row r="44" spans="1:9" ht="15" thickBot="1" x14ac:dyDescent="0.35">
      <c r="A44" s="84"/>
      <c r="B44" s="148"/>
      <c r="C44" s="148"/>
      <c r="D44" s="148"/>
      <c r="E44" s="148"/>
      <c r="F44" s="363" t="s">
        <v>89</v>
      </c>
      <c r="G44" s="363"/>
      <c r="H44" s="364"/>
      <c r="I44" s="152">
        <f>SUM(I42,I36,I27,I18)</f>
        <v>65965</v>
      </c>
    </row>
    <row r="45" spans="1:9" ht="15" thickBot="1" x14ac:dyDescent="0.35">
      <c r="A45" s="84"/>
      <c r="B45" s="84"/>
      <c r="C45" s="84"/>
      <c r="D45" s="84"/>
      <c r="E45" s="84"/>
      <c r="F45" s="84"/>
      <c r="G45" s="84"/>
      <c r="H45" s="84"/>
      <c r="I45" s="201"/>
    </row>
    <row r="46" spans="1:9" ht="15" thickBot="1" x14ac:dyDescent="0.35">
      <c r="A46" s="327" t="s">
        <v>90</v>
      </c>
      <c r="B46" s="328"/>
      <c r="C46" s="328"/>
      <c r="D46" s="328"/>
      <c r="E46" s="328"/>
      <c r="F46" s="328"/>
      <c r="G46" s="328"/>
      <c r="H46" s="328"/>
      <c r="I46" s="329"/>
    </row>
    <row r="47" spans="1:9" ht="15" thickBot="1" x14ac:dyDescent="0.35">
      <c r="A47" s="84"/>
      <c r="B47" s="84"/>
      <c r="C47" s="84"/>
      <c r="D47" s="84"/>
      <c r="E47" s="84"/>
      <c r="F47" s="84"/>
      <c r="G47" s="84"/>
      <c r="H47" s="84"/>
      <c r="I47" s="201"/>
    </row>
    <row r="48" spans="1:9" ht="15" thickBot="1" x14ac:dyDescent="0.35">
      <c r="A48" s="202" t="s">
        <v>91</v>
      </c>
      <c r="B48" s="365" t="s">
        <v>92</v>
      </c>
      <c r="C48" s="366"/>
      <c r="D48" s="365" t="s">
        <v>93</v>
      </c>
      <c r="E48" s="366"/>
      <c r="F48" s="367" t="s">
        <v>94</v>
      </c>
      <c r="G48" s="368"/>
      <c r="H48" s="203" t="s">
        <v>95</v>
      </c>
      <c r="I48" s="204" t="s">
        <v>96</v>
      </c>
    </row>
    <row r="49" spans="1:9" ht="15" thickBot="1" x14ac:dyDescent="0.35">
      <c r="A49" s="205"/>
      <c r="B49" s="205"/>
      <c r="C49" s="205"/>
      <c r="D49" s="205"/>
      <c r="E49" s="205"/>
      <c r="F49" s="84"/>
      <c r="G49" s="84"/>
      <c r="H49" s="84"/>
      <c r="I49" s="201"/>
    </row>
    <row r="50" spans="1:9" ht="15" thickBot="1" x14ac:dyDescent="0.35">
      <c r="A50" s="206"/>
      <c r="B50" s="369"/>
      <c r="C50" s="368"/>
      <c r="D50" s="369"/>
      <c r="E50" s="368"/>
      <c r="F50" s="367" t="s">
        <v>97</v>
      </c>
      <c r="G50" s="368"/>
      <c r="H50" s="207"/>
      <c r="I50" s="208">
        <f>+H50*I44</f>
        <v>0</v>
      </c>
    </row>
    <row r="51" spans="1:9" ht="15" thickBot="1" x14ac:dyDescent="0.35">
      <c r="A51" s="205"/>
      <c r="B51" s="205"/>
      <c r="C51" s="205"/>
      <c r="D51" s="205"/>
      <c r="E51" s="205"/>
      <c r="F51" s="84"/>
      <c r="G51" s="84"/>
      <c r="H51" s="209">
        <v>0</v>
      </c>
      <c r="I51" s="201"/>
    </row>
    <row r="52" spans="1:9" ht="15" thickBot="1" x14ac:dyDescent="0.35">
      <c r="A52" s="370" t="s">
        <v>98</v>
      </c>
      <c r="B52" s="371"/>
      <c r="C52" s="371"/>
      <c r="D52" s="371"/>
      <c r="E52" s="372"/>
      <c r="F52" s="367" t="s">
        <v>99</v>
      </c>
      <c r="G52" s="368"/>
      <c r="H52" s="207"/>
      <c r="I52" s="208">
        <f>+H52*I44</f>
        <v>0</v>
      </c>
    </row>
    <row r="53" spans="1:9" ht="15" thickBot="1" x14ac:dyDescent="0.35">
      <c r="A53" s="373"/>
      <c r="B53" s="374"/>
      <c r="C53" s="374"/>
      <c r="D53" s="374"/>
      <c r="E53" s="375"/>
      <c r="F53" s="84"/>
      <c r="G53" s="84"/>
      <c r="H53" s="209"/>
      <c r="I53" s="201"/>
    </row>
    <row r="54" spans="1:9" ht="15" thickBot="1" x14ac:dyDescent="0.35">
      <c r="A54" s="373"/>
      <c r="B54" s="374"/>
      <c r="C54" s="374"/>
      <c r="D54" s="374"/>
      <c r="E54" s="375"/>
      <c r="F54" s="367" t="s">
        <v>100</v>
      </c>
      <c r="G54" s="368"/>
      <c r="H54" s="207"/>
      <c r="I54" s="208">
        <f>+H54*I44</f>
        <v>0</v>
      </c>
    </row>
    <row r="55" spans="1:9" ht="15" thickBot="1" x14ac:dyDescent="0.35">
      <c r="A55" s="373"/>
      <c r="B55" s="374"/>
      <c r="C55" s="374"/>
      <c r="D55" s="374"/>
      <c r="E55" s="375"/>
      <c r="F55" s="84"/>
      <c r="G55" s="84"/>
      <c r="H55" s="84"/>
      <c r="I55" s="201"/>
    </row>
    <row r="56" spans="1:9" ht="15" thickBot="1" x14ac:dyDescent="0.35">
      <c r="A56" s="373"/>
      <c r="B56" s="374"/>
      <c r="C56" s="374"/>
      <c r="D56" s="374"/>
      <c r="E56" s="375"/>
      <c r="F56" s="367" t="s">
        <v>101</v>
      </c>
      <c r="G56" s="367"/>
      <c r="H56" s="368"/>
      <c r="I56" s="211">
        <f>SUM(I50,I52,I54)</f>
        <v>0</v>
      </c>
    </row>
    <row r="57" spans="1:9" ht="15" thickBot="1" x14ac:dyDescent="0.35">
      <c r="A57" s="373"/>
      <c r="B57" s="374"/>
      <c r="C57" s="374"/>
      <c r="D57" s="374"/>
      <c r="E57" s="375"/>
      <c r="F57" s="84"/>
      <c r="G57" s="84"/>
      <c r="H57" s="84"/>
      <c r="I57" s="201"/>
    </row>
    <row r="58" spans="1:9" ht="15" thickBot="1" x14ac:dyDescent="0.35">
      <c r="A58" s="376"/>
      <c r="B58" s="377"/>
      <c r="C58" s="377"/>
      <c r="D58" s="377"/>
      <c r="E58" s="378"/>
      <c r="F58" s="379" t="s">
        <v>54</v>
      </c>
      <c r="G58" s="379"/>
      <c r="H58" s="380"/>
      <c r="I58" s="212">
        <f>+I56+I44</f>
        <v>65965</v>
      </c>
    </row>
    <row r="59" spans="1:9" ht="15" thickBot="1" x14ac:dyDescent="0.35">
      <c r="A59" s="214"/>
      <c r="B59" s="214"/>
      <c r="C59" s="214"/>
      <c r="D59" s="214"/>
      <c r="E59" s="214"/>
      <c r="F59" s="214"/>
      <c r="G59" s="214"/>
      <c r="H59" s="214"/>
      <c r="I59" s="215"/>
    </row>
  </sheetData>
  <mergeCells count="48">
    <mergeCell ref="A4:C6"/>
    <mergeCell ref="D4:I6"/>
    <mergeCell ref="A8:I8"/>
    <mergeCell ref="A9:I9"/>
    <mergeCell ref="A10:D10"/>
    <mergeCell ref="E10:I10"/>
    <mergeCell ref="A12:I12"/>
    <mergeCell ref="A14:I14"/>
    <mergeCell ref="A15:C15"/>
    <mergeCell ref="F15:G15"/>
    <mergeCell ref="A16:C16"/>
    <mergeCell ref="F16:G16"/>
    <mergeCell ref="F31:G31"/>
    <mergeCell ref="A17:C17"/>
    <mergeCell ref="F17:G17"/>
    <mergeCell ref="A20:I20"/>
    <mergeCell ref="A21:C21"/>
    <mergeCell ref="A22:C22"/>
    <mergeCell ref="A23:C23"/>
    <mergeCell ref="A24:C24"/>
    <mergeCell ref="A25:C25"/>
    <mergeCell ref="A26:C26"/>
    <mergeCell ref="A29:I29"/>
    <mergeCell ref="F30:G30"/>
    <mergeCell ref="A46:I46"/>
    <mergeCell ref="F32:G32"/>
    <mergeCell ref="F33:G33"/>
    <mergeCell ref="F34:G34"/>
    <mergeCell ref="F35:G35"/>
    <mergeCell ref="A38:I38"/>
    <mergeCell ref="A39:B39"/>
    <mergeCell ref="F39:G39"/>
    <mergeCell ref="A40:B40"/>
    <mergeCell ref="F40:G40"/>
    <mergeCell ref="A41:B41"/>
    <mergeCell ref="F41:G41"/>
    <mergeCell ref="F44:H44"/>
    <mergeCell ref="B48:C48"/>
    <mergeCell ref="D48:E48"/>
    <mergeCell ref="F48:G48"/>
    <mergeCell ref="B50:C50"/>
    <mergeCell ref="D50:E50"/>
    <mergeCell ref="F50:G50"/>
    <mergeCell ref="A52:E58"/>
    <mergeCell ref="F52:G52"/>
    <mergeCell ref="F54:G54"/>
    <mergeCell ref="F56:H56"/>
    <mergeCell ref="F58:H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4</vt:i4>
      </vt:variant>
    </vt:vector>
  </HeadingPairs>
  <TitlesOfParts>
    <vt:vector size="23" baseType="lpstr">
      <vt:lpstr>RESUMEN</vt:lpstr>
      <vt:lpstr>PRESUPUESTO MANATI</vt:lpstr>
      <vt:lpstr>PRESUPUESTO SANTA LUCIA </vt:lpstr>
      <vt:lpstr>PRESUPUESTO RESUMEN </vt:lpstr>
      <vt:lpstr>APU - LIMPIEZA DE CANALES PRIMA</vt:lpstr>
      <vt:lpstr>APU - SACOS PEQUEÑOS </vt:lpstr>
      <vt:lpstr>APU - LIMPIEZA DE CANALE SEC </vt:lpstr>
      <vt:lpstr>APU COMPUERTAS NUEVAS </vt:lpstr>
      <vt:lpstr>CUADRO RESUMEN</vt:lpstr>
      <vt:lpstr>EXCAVACION MANUAL</vt:lpstr>
      <vt:lpstr>BASE EN CONCRETO</vt:lpstr>
      <vt:lpstr>tablero en concreto 3000 psi</vt:lpstr>
      <vt:lpstr>bordillo</vt:lpstr>
      <vt:lpstr>concreto 3000 PSI</vt:lpstr>
      <vt:lpstr>concreto 4000 PSI</vt:lpstr>
      <vt:lpstr>acero de refuerzo</vt:lpstr>
      <vt:lpstr>FORMALETA</vt:lpstr>
      <vt:lpstr>Hoja1</vt:lpstr>
      <vt:lpstr>Hoja2</vt:lpstr>
      <vt:lpstr>'APU - LIMPIEZA DE CANALE SEC '!Área_de_impresión</vt:lpstr>
      <vt:lpstr>'APU - LIMPIEZA DE CANALES PRIMA'!Área_de_impresión</vt:lpstr>
      <vt:lpstr>'APU - SACOS PEQUEÑOS '!Área_de_impresión</vt:lpstr>
      <vt:lpstr>RESUMEN!Área_de_impresión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SUBGERENCIA</dc:creator>
  <cp:lastModifiedBy>Andy Gutierrez</cp:lastModifiedBy>
  <cp:lastPrinted>2022-10-30T00:10:16Z</cp:lastPrinted>
  <dcterms:created xsi:type="dcterms:W3CDTF">2022-10-11T19:46:51Z</dcterms:created>
  <dcterms:modified xsi:type="dcterms:W3CDTF">2022-11-03T14:31:36Z</dcterms:modified>
</cp:coreProperties>
</file>