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codeName="ThisWorkbook"/>
  <mc:AlternateContent xmlns:mc="http://schemas.openxmlformats.org/markup-compatibility/2006">
    <mc:Choice Requires="x15">
      <x15ac:absPath xmlns:x15ac="http://schemas.microsoft.com/office/spreadsheetml/2010/11/ac" url="D:\PATTY ENERO 2022COPIA MEMORY\2022\NOVIEMBRE 2022\DOCUMENTOS INT. INTERNO 2022-2023 PARA RADICAR\"/>
    </mc:Choice>
  </mc:AlternateContent>
  <xr:revisionPtr revIDLastSave="0" documentId="13_ncr:1_{2830F4AD-80B7-4071-9F6C-3A7FB161A63C}" xr6:coauthVersionLast="47" xr6:coauthVersionMax="47" xr10:uidLastSave="{00000000-0000-0000-0000-000000000000}"/>
  <bookViews>
    <workbookView xWindow="20370" yWindow="-120" windowWidth="24240" windowHeight="13140" xr2:uid="{00000000-000D-0000-FFFF-FFFF00000000}"/>
  </bookViews>
  <sheets>
    <sheet name="SABANA INTERNO" sheetId="1" r:id="rId1"/>
  </sheets>
  <definedNames>
    <definedName name="_39kk8xu" localSheetId="0">'SABANA INTERNO'!#REF!</definedName>
    <definedName name="_xlnm._FilterDatabase" localSheetId="0" hidden="1">'SABANA INTERNO'!$A$7:$Q$237</definedName>
    <definedName name="_Hlk506060606" localSheetId="0">'SABANA INTERNO'!#REF!</definedName>
    <definedName name="_Hlk506060687" localSheetId="0">'SABANA INTERNO'!$B$109</definedName>
    <definedName name="_Toc30436205" localSheetId="0">'SABANA INTERNO'!$B$15</definedName>
    <definedName name="_Toc30436206" localSheetId="0">'SABANA INTERNO'!$B$17</definedName>
    <definedName name="_Toc30436207" localSheetId="0">'SABANA INTERNO'!$B$18</definedName>
    <definedName name="_Toc30436208" localSheetId="0">'SABANA INTERNO'!$B$19</definedName>
    <definedName name="_Toc30436209" localSheetId="0">'SABANA INTERNO'!$B$78</definedName>
    <definedName name="_Toc30436210" localSheetId="0">'SABANA INTERNO'!#REF!</definedName>
    <definedName name="_Toc30436211" localSheetId="0">'SABANA INTERNO'!$B$80</definedName>
    <definedName name="_Toc30436212" localSheetId="0">'SABANA INTERNO'!$B$90</definedName>
    <definedName name="_Toc30436213" localSheetId="0">'SABANA INTERNO'!#REF!</definedName>
    <definedName name="_Toc30436218" localSheetId="0">'SABANA INTERNO'!$B$94</definedName>
    <definedName name="_Toc30436219" localSheetId="0">'SABANA INTERNO'!$B$109</definedName>
    <definedName name="_Toc30436221" localSheetId="0">'SABANA INTERNO'!$B$123</definedName>
    <definedName name="_Toc30436222" localSheetId="0">'SABANA INTERNO'!$B$127</definedName>
    <definedName name="_Toc30436223" localSheetId="0">'SABANA INTERNO'!$B$138</definedName>
    <definedName name="_Toc30436224" localSheetId="0">'SABANA INTERNO'!#REF!</definedName>
    <definedName name="_Toc30436225" localSheetId="0">'SABANA INTERNO'!#REF!</definedName>
    <definedName name="_Toc30436226" localSheetId="0">'SABANA INTERNO'!#REF!</definedName>
    <definedName name="_Toc30436227" localSheetId="0">'SABANA INTERNO'!#REF!</definedName>
    <definedName name="_Toc30436231" localSheetId="0">'SABANA INTERNO'!#REF!</definedName>
    <definedName name="_Toc30498717" localSheetId="0">'SABANA INTERNO'!$B$184</definedName>
    <definedName name="_Toc30498718" localSheetId="0">'SABANA INTERNO'!$B$196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J237" i="1" l="1"/>
  <c r="K237" i="1" s="1"/>
  <c r="J200" i="1" l="1"/>
  <c r="N202" i="1"/>
  <c r="M202" i="1"/>
  <c r="N236" i="1"/>
  <c r="M236" i="1"/>
  <c r="N234" i="1" l="1"/>
  <c r="M234" i="1"/>
  <c r="M232" i="1"/>
  <c r="K32" i="1" l="1"/>
  <c r="K14" i="1"/>
  <c r="M163" i="1"/>
  <c r="P174" i="1"/>
  <c r="P167" i="1"/>
  <c r="M185" i="1"/>
  <c r="M172" i="1"/>
  <c r="Q191" i="1"/>
  <c r="P191" i="1"/>
  <c r="P190" i="1"/>
  <c r="P188" i="1"/>
  <c r="N185" i="1"/>
  <c r="N184" i="1"/>
  <c r="M184" i="1"/>
  <c r="N183" i="1"/>
  <c r="M183" i="1"/>
  <c r="P182" i="1"/>
  <c r="M178" i="1"/>
  <c r="Q177" i="1"/>
  <c r="P177" i="1"/>
  <c r="P176" i="1"/>
  <c r="N175" i="1"/>
  <c r="M175" i="1"/>
  <c r="Q174" i="1"/>
  <c r="M173" i="1"/>
  <c r="M171" i="1"/>
  <c r="M170" i="1"/>
  <c r="Q167" i="1"/>
  <c r="M166" i="1"/>
  <c r="M165" i="1"/>
  <c r="M164" i="1"/>
  <c r="N201" i="1"/>
  <c r="M201" i="1"/>
  <c r="M242" i="1" s="1"/>
  <c r="O225" i="1"/>
  <c r="O224" i="1"/>
  <c r="I218" i="1"/>
  <c r="O218" i="1"/>
  <c r="O215" i="1"/>
  <c r="O213" i="1"/>
  <c r="Q211" i="1"/>
  <c r="P211" i="1"/>
  <c r="O210" i="1"/>
  <c r="O209" i="1"/>
  <c r="O208" i="1"/>
  <c r="O207" i="1"/>
  <c r="O206" i="1"/>
  <c r="K204" i="1"/>
  <c r="O198" i="1"/>
  <c r="O197" i="1"/>
  <c r="Q196" i="1" l="1"/>
  <c r="P196" i="1"/>
  <c r="O195" i="1"/>
  <c r="O192" i="1"/>
  <c r="K227" i="1"/>
  <c r="M153" i="1"/>
  <c r="N153" i="1"/>
  <c r="K152" i="1" l="1"/>
  <c r="M151" i="1"/>
  <c r="N149" i="1"/>
  <c r="M149" i="1"/>
  <c r="K142" i="1"/>
  <c r="O141" i="1"/>
  <c r="K140" i="1"/>
  <c r="K139" i="1"/>
  <c r="O138" i="1"/>
  <c r="O137" i="1"/>
  <c r="O136" i="1"/>
  <c r="O135" i="1"/>
  <c r="Q134" i="1"/>
  <c r="P134" i="1"/>
  <c r="K130" i="1"/>
  <c r="K128" i="1"/>
  <c r="K127" i="1"/>
  <c r="K126" i="1"/>
  <c r="K125" i="1"/>
  <c r="O123" i="1"/>
  <c r="O121" i="1"/>
  <c r="K116" i="1"/>
  <c r="K114" i="1"/>
  <c r="K112" i="1"/>
  <c r="K111" i="1"/>
  <c r="K110" i="1"/>
  <c r="K109" i="1"/>
  <c r="O107" i="1"/>
  <c r="O106" i="1"/>
  <c r="K105" i="1"/>
  <c r="K103" i="1"/>
  <c r="I102" i="1"/>
  <c r="O102" i="1" s="1"/>
  <c r="O101" i="1"/>
  <c r="O100" i="1"/>
  <c r="K99" i="1"/>
  <c r="K98" i="1"/>
  <c r="K97" i="1"/>
  <c r="K96" i="1"/>
  <c r="K95" i="1"/>
  <c r="K94" i="1"/>
  <c r="O93" i="1"/>
  <c r="O92" i="1"/>
  <c r="K91" i="1"/>
  <c r="K90" i="1"/>
  <c r="K89" i="1"/>
  <c r="K88" i="1"/>
  <c r="K87" i="1"/>
  <c r="K86" i="1"/>
  <c r="K85" i="1"/>
  <c r="K84" i="1"/>
  <c r="K83" i="1"/>
  <c r="K82" i="1"/>
  <c r="K81" i="1"/>
  <c r="K79" i="1"/>
  <c r="K78" i="1"/>
  <c r="K77" i="1"/>
  <c r="K76" i="1"/>
  <c r="K75" i="1"/>
  <c r="K74" i="1"/>
  <c r="K73" i="1"/>
  <c r="K72" i="1"/>
  <c r="K70" i="1"/>
  <c r="K71" i="1"/>
  <c r="K69" i="1"/>
  <c r="K67" i="1"/>
  <c r="K66" i="1"/>
  <c r="K65" i="1"/>
  <c r="K64" i="1"/>
  <c r="K63" i="1"/>
  <c r="K62" i="1"/>
  <c r="K61" i="1"/>
  <c r="K60" i="1"/>
  <c r="K59" i="1"/>
  <c r="K58" i="1"/>
  <c r="K57" i="1"/>
  <c r="K56" i="1"/>
  <c r="K55" i="1"/>
  <c r="K54" i="1"/>
  <c r="K53" i="1"/>
  <c r="K52" i="1"/>
  <c r="K51" i="1"/>
  <c r="K49" i="1"/>
  <c r="K48" i="1"/>
  <c r="O47" i="1"/>
  <c r="K46" i="1"/>
  <c r="K45" i="1"/>
  <c r="K44" i="1"/>
  <c r="K43" i="1"/>
  <c r="K42" i="1"/>
  <c r="K41" i="1"/>
  <c r="K40" i="1"/>
  <c r="K39" i="1"/>
  <c r="K38" i="1"/>
  <c r="K37" i="1"/>
  <c r="K36" i="1"/>
  <c r="K35" i="1"/>
  <c r="K34" i="1"/>
  <c r="K33" i="1"/>
  <c r="K31" i="1"/>
  <c r="K29" i="1"/>
  <c r="K30" i="1"/>
  <c r="K28" i="1"/>
  <c r="K27" i="1"/>
  <c r="K26" i="1"/>
  <c r="K25" i="1"/>
  <c r="K21" i="1"/>
  <c r="K20" i="1"/>
  <c r="K19" i="1"/>
  <c r="K18" i="1"/>
  <c r="K17" i="1"/>
  <c r="K16" i="1"/>
  <c r="K15" i="1"/>
  <c r="O122" i="1" l="1"/>
  <c r="O203" i="1" l="1"/>
  <c r="N186" i="1"/>
  <c r="M186" i="1"/>
  <c r="N181" i="1"/>
  <c r="N180" i="1"/>
  <c r="M180" i="1"/>
  <c r="N179" i="1"/>
  <c r="M179" i="1"/>
  <c r="N172" i="1"/>
  <c r="N170" i="1"/>
  <c r="N169" i="1"/>
  <c r="M169" i="1"/>
  <c r="N168" i="1"/>
  <c r="M168" i="1"/>
  <c r="N166" i="1"/>
  <c r="N165" i="1"/>
  <c r="N163" i="1"/>
  <c r="O217" i="1" l="1"/>
  <c r="O216" i="1"/>
  <c r="O214" i="1"/>
  <c r="O212" i="1"/>
  <c r="O205" i="1"/>
  <c r="O193" i="1"/>
  <c r="K162" i="1"/>
  <c r="N150" i="1"/>
  <c r="N151" i="1"/>
  <c r="N154" i="1"/>
  <c r="N155" i="1"/>
  <c r="K161" i="1"/>
  <c r="K159" i="1"/>
  <c r="K158" i="1"/>
  <c r="K157" i="1"/>
  <c r="M154" i="1"/>
  <c r="M155" i="1"/>
  <c r="M150" i="1"/>
  <c r="K145" i="1"/>
  <c r="K143" i="1"/>
  <c r="O133" i="1"/>
  <c r="O132" i="1"/>
  <c r="O124" i="1"/>
  <c r="K119" i="1"/>
  <c r="K118" i="1"/>
  <c r="K117" i="1"/>
  <c r="K115" i="1"/>
  <c r="K104" i="1"/>
  <c r="K80" i="1"/>
  <c r="K50" i="1" l="1"/>
  <c r="K24" i="1"/>
  <c r="K23" i="1"/>
  <c r="K22" i="1"/>
  <c r="O221" i="1" l="1"/>
  <c r="O220" i="1"/>
  <c r="O219" i="1"/>
  <c r="J222" i="1" l="1"/>
  <c r="K222" i="1" s="1"/>
  <c r="J113" i="1"/>
  <c r="K113" i="1" s="1"/>
  <c r="J68" i="1"/>
  <c r="K68" i="1" s="1"/>
  <c r="J235" i="1"/>
  <c r="K235" i="1" s="1"/>
  <c r="K200" i="1"/>
  <c r="J156" i="1"/>
  <c r="M156" i="1" s="1"/>
  <c r="J160" i="1"/>
  <c r="K160" i="1" s="1"/>
  <c r="J108" i="1"/>
  <c r="K108" i="1" s="1"/>
  <c r="J194" i="1"/>
  <c r="O194" i="1" s="1"/>
  <c r="J147" i="1"/>
  <c r="M147" i="1" s="1"/>
  <c r="J148" i="1"/>
  <c r="J120" i="1"/>
  <c r="K120" i="1" s="1"/>
  <c r="J226" i="1"/>
  <c r="O226" i="1" s="1"/>
  <c r="J129" i="1"/>
  <c r="K129" i="1" s="1"/>
  <c r="N10" i="1"/>
  <c r="N11" i="1"/>
  <c r="N12" i="1"/>
  <c r="N13" i="1"/>
  <c r="N9" i="1"/>
  <c r="M10" i="1"/>
  <c r="M11" i="1"/>
  <c r="M12" i="1"/>
  <c r="M13" i="1"/>
  <c r="M9" i="1"/>
  <c r="K233" i="1"/>
  <c r="N232" i="1"/>
  <c r="O223" i="1"/>
  <c r="N199" i="1"/>
  <c r="M199" i="1"/>
  <c r="Q190" i="1"/>
  <c r="N189" i="1"/>
  <c r="M189" i="1"/>
  <c r="Q188" i="1"/>
  <c r="M187" i="1"/>
  <c r="N187" i="1"/>
  <c r="M181" i="1"/>
  <c r="Q182" i="1"/>
  <c r="N178" i="1"/>
  <c r="P6" i="1"/>
  <c r="Q176" i="1"/>
  <c r="N173" i="1"/>
  <c r="N171" i="1"/>
  <c r="N164" i="1"/>
  <c r="K146" i="1"/>
  <c r="K144" i="1"/>
  <c r="O131" i="1"/>
  <c r="K6" i="1" l="1"/>
  <c r="O6" i="1"/>
  <c r="Q6" i="1"/>
  <c r="N148" i="1"/>
  <c r="M148" i="1"/>
  <c r="N147" i="1"/>
  <c r="N156" i="1"/>
  <c r="N6" i="1" l="1"/>
  <c r="M6" i="1"/>
</calcChain>
</file>

<file path=xl/sharedStrings.xml><?xml version="1.0" encoding="utf-8"?>
<sst xmlns="http://schemas.openxmlformats.org/spreadsheetml/2006/main" count="2068" uniqueCount="512">
  <si>
    <t>CANTIDAD</t>
  </si>
  <si>
    <t>Madejas hilo de hilvanar</t>
  </si>
  <si>
    <t>Bobinas de hilo de diferentes colores de 40 gms</t>
  </si>
  <si>
    <t>Agujas de tapicería con punta afilada</t>
  </si>
  <si>
    <t>Aros o bastidores en madera tamaño grande</t>
  </si>
  <si>
    <t>Ovillos de lana lisa – diferentes colores</t>
  </si>
  <si>
    <t>Ovillos de lana mezcla – diferentes colores</t>
  </si>
  <si>
    <t>Ovillos de lana jumbo – diferentes colores</t>
  </si>
  <si>
    <t>Ovillos de lana fantasía – diferentes colores</t>
  </si>
  <si>
    <t>Bolsas de empaque de plántulas negro medianas</t>
  </si>
  <si>
    <t>Pares de botas de caucho tallas diversas</t>
  </si>
  <si>
    <t>Pares de Guantes de caucho</t>
  </si>
  <si>
    <t>Pares de Botas de caucho con Zuela antideslizante en diferentes números.</t>
  </si>
  <si>
    <t>Delantales o petos plásticos</t>
  </si>
  <si>
    <t>Kits de aseo para pisos (recogedor, escoba,  trapero y  balde mediano).</t>
  </si>
  <si>
    <t>Docenas de Pintura al frio acrílico 30 ml</t>
  </si>
  <si>
    <t>Paquetes Servilletas decoupage de 6 unidades</t>
  </si>
  <si>
    <t>Galón de resina</t>
  </si>
  <si>
    <t>Cajas de Te en madera cruda</t>
  </si>
  <si>
    <t>Bandejas en madera cruda</t>
  </si>
  <si>
    <t>Costureros en madera para pintar</t>
  </si>
  <si>
    <t>Baules joyeros madera cruda</t>
  </si>
  <si>
    <t>Portallaves en madera cruda</t>
  </si>
  <si>
    <t>Hueveras en madera cruda diferentes tamaños</t>
  </si>
  <si>
    <t>AREA</t>
  </si>
  <si>
    <t>TRANSPORTE</t>
  </si>
  <si>
    <t>SERVICIOS FUNERARIOS</t>
  </si>
  <si>
    <t>ASEO INSTITUCIONAL</t>
  </si>
  <si>
    <t>DESGASTE Y USO DE LOS BIENES NO CONSUMIBLES</t>
  </si>
  <si>
    <t xml:space="preserve">ELEMENTOS DE ASEO PERSONAL </t>
  </si>
  <si>
    <t>PIEZAS COMUNICATIVAS</t>
  </si>
  <si>
    <t>RUBRO</t>
  </si>
  <si>
    <t>TIPO DE BIEN</t>
  </si>
  <si>
    <t>Area Administrativa</t>
  </si>
  <si>
    <t>#TABLA</t>
  </si>
  <si>
    <t>Area Sala de atención a Familias</t>
  </si>
  <si>
    <t xml:space="preserve">Area de talleres </t>
  </si>
  <si>
    <t xml:space="preserve">Area de implementación de terapias complementarias </t>
  </si>
  <si>
    <t xml:space="preserve">COSTOS POR REALIZACIÓN </t>
  </si>
  <si>
    <t xml:space="preserve">Area de talleres  para desarrollar el programa de habilidades motoras </t>
  </si>
  <si>
    <t>Area talleres para desarrollar el programa de competencias adaptativas</t>
  </si>
  <si>
    <t xml:space="preserve">Area talleres para la implementación del programa de competencias ocupacionales </t>
  </si>
  <si>
    <t xml:space="preserve">BIENES CONSUMIBLES </t>
  </si>
  <si>
    <t>Pegante para papel</t>
  </si>
  <si>
    <t>Resma de papel tamaño carta</t>
  </si>
  <si>
    <t xml:space="preserve">COSTOS VARIABLES </t>
  </si>
  <si>
    <t>Madejas hilo para bordar  de diferentes colores</t>
  </si>
  <si>
    <t xml:space="preserve">Paquetes de Semillas 125 gms de mínimo 10 especies de acuerdo al clima. </t>
  </si>
  <si>
    <t>Caja x 100 de Puntillas 1 ½ pulgadas</t>
  </si>
  <si>
    <t>Kilo de cal</t>
  </si>
  <si>
    <t>Overoles en dril</t>
  </si>
  <si>
    <t>CONSUMIBLES</t>
  </si>
  <si>
    <t xml:space="preserve">Brochas pequeñas de diferentes pulgadas </t>
  </si>
  <si>
    <t>Paquetes de palos de paleta X 100</t>
  </si>
  <si>
    <t>Paquetes de palos para pinchos X 100</t>
  </si>
  <si>
    <t xml:space="preserve">Barras de silicona </t>
  </si>
  <si>
    <t>Area de Lavanderia</t>
  </si>
  <si>
    <t>Area de Habitaciones - Dormitorio</t>
  </si>
  <si>
    <t xml:space="preserve">1 x persona </t>
  </si>
  <si>
    <t xml:space="preserve">Area de Nutrición y Salubridad </t>
  </si>
  <si>
    <t>Bolsa de polietileno de cierre hermético tipo sello pack o ziplock o sello clic, de baja densidad</t>
  </si>
  <si>
    <t xml:space="preserve">Area de alistamiento del personal </t>
  </si>
  <si>
    <t>Area para plan de Saneamiento</t>
  </si>
  <si>
    <t xml:space="preserve">Desinfectante Bidón mínimo por 20 litros </t>
  </si>
  <si>
    <t xml:space="preserve">Amonio cuaternario Bidón mínimo 4 litros </t>
  </si>
  <si>
    <t>Escoba, Acople plástico roscado, material de las cerdas en fibra plástica, material de la base en plástico. Mango  en material sanitario e identificado con color verde</t>
  </si>
  <si>
    <t>Escoba, Acople plástico roscado, material de las cerdas en fibra plástica, material de la base en plástico.  Mango  en material sanitario e identificado con color amarillo.</t>
  </si>
  <si>
    <t>Escoba,  Acople plástico roscado, material de las cerdas en fibra plástica, material de la base en plástico.  Mango  en material sanitario e identificado con color rojo.</t>
  </si>
  <si>
    <t>Escoba, Acople plástico roscado, material de las cerdas en fibra plástica, material de la base en plástico.  Mango  en material sanitario e identificado con color negro.</t>
  </si>
  <si>
    <t xml:space="preserve">Trapero, Tipo pabilo o de mopa seca. Mango en material sanitario e identificado con color verde. </t>
  </si>
  <si>
    <t>Trapero, Tipo pabilo o de mopa seca. Mango en material sanitario e identificado con color amarillo.</t>
  </si>
  <si>
    <t>Trapero, Tipo pabilo o de mopa seca. Mango en material sanitario e identificado con color rojo.</t>
  </si>
  <si>
    <t>Trapero, Tipo pabilo o de mopa seca. Mango en material sanitario e identificado con color negro.</t>
  </si>
  <si>
    <t xml:space="preserve">Recogedor, Base y soporte en plástico,  Mango en material sanitario e identificado con color  verde. </t>
  </si>
  <si>
    <t xml:space="preserve">Jabón lava loza biodegradable, Bidón mínimo por 20 litros </t>
  </si>
  <si>
    <t>Desengrasante, Bidón mínimo por 15 litros</t>
  </si>
  <si>
    <t>Cepillo multiusos, Cepillo plancha con asa</t>
  </si>
  <si>
    <t xml:space="preserve">Toallas desechables,  1 rollo, de 80 a 100 unidades </t>
  </si>
  <si>
    <t>Paños absorbentes, Material celulosa, color claro, medidas mínimas 8X20X18 cm</t>
  </si>
  <si>
    <t xml:space="preserve">Recipiente con atomizador, Plástico, capacidad mínima 1 litro </t>
  </si>
  <si>
    <t>Balde plástico, Color rojo, capacidad 10 litros</t>
  </si>
  <si>
    <t>1 Unidad cada tres meses</t>
  </si>
  <si>
    <t>Balde plástico, Color verde, capacidad 10 litros</t>
  </si>
  <si>
    <t>Balde plástico, Color negro, capacidad 10 litros</t>
  </si>
  <si>
    <t>Balde plástico, Color amarillo, capacidad 10 litros</t>
  </si>
  <si>
    <t xml:space="preserve">Area Elementos de dotación mínima para el personal manipulador de alimentos </t>
  </si>
  <si>
    <t>Cofia o gorro, Material: tela o malla.</t>
  </si>
  <si>
    <t>Calzado, Cerrado, impermeable, antideslizante y de tacón bajo</t>
  </si>
  <si>
    <t>Peto, Material impermeable liviano, color claro</t>
  </si>
  <si>
    <t xml:space="preserve">Gorros desechables, Caja por 100 unidades </t>
  </si>
  <si>
    <t>2 unidades por manipulador de alimentos cada seis meses.</t>
  </si>
  <si>
    <t xml:space="preserve">Dotación para las personas con discapacidad </t>
  </si>
  <si>
    <t xml:space="preserve">CONSUMIBLES </t>
  </si>
  <si>
    <t xml:space="preserve">VESTUARIO Y CALZADO </t>
  </si>
  <si>
    <t xml:space="preserve">Area de Aseo personal Para Hombre </t>
  </si>
  <si>
    <t xml:space="preserve">1 cada dos meses </t>
  </si>
  <si>
    <t xml:space="preserve">1  mensual </t>
  </si>
  <si>
    <t xml:space="preserve">Area de Aseo personal Para Mujer </t>
  </si>
  <si>
    <t>Servicios Públicos y Vigilancia</t>
  </si>
  <si>
    <t xml:space="preserve">Area Servicios Funerarios </t>
  </si>
  <si>
    <t xml:space="preserve">Area subsistema de gestión Ambiental </t>
  </si>
  <si>
    <t>Elementos organizadores de papel: Es un contenedor compuesto por tres gavetas, cada una con un logo en la parte frontal 1 contenedor o elemento adaptado.1 contenedor o elemento adaptado. La función de los elementos organizadores es la clasificación del papel que ya ha sido usado por una sola cara, de acuerdo a sus características físicas (oficio y carta); para que sea reutilizado en otras actividades.</t>
  </si>
  <si>
    <t xml:space="preserve">Area subsistema de Gestión Documental y Archivo </t>
  </si>
  <si>
    <t>Carné para la población.  Tener en cuenta los datos que debe contener según anexo Técnico</t>
  </si>
  <si>
    <t>Carné para  el talento humano.  Tener en cuenta los datos que debe contener según anexo Técnico</t>
  </si>
  <si>
    <t xml:space="preserve">Area piezas comunicativas </t>
  </si>
  <si>
    <t xml:space="preserve">2 Unidades  MENSUAL </t>
  </si>
  <si>
    <t>5 unidades  MENSUAL</t>
  </si>
  <si>
    <t>3 unidades  MENSUAL</t>
  </si>
  <si>
    <t>Area Transporte</t>
  </si>
  <si>
    <t>COSTOS POR REALIZACIÓN</t>
  </si>
  <si>
    <t>COSTOS VARIABLES</t>
  </si>
  <si>
    <t>10 Única</t>
  </si>
  <si>
    <t>1 Mensual</t>
  </si>
  <si>
    <t>10 Mensual</t>
  </si>
  <si>
    <t xml:space="preserve">5 Única </t>
  </si>
  <si>
    <t xml:space="preserve">10 Única </t>
  </si>
  <si>
    <t>50 Mensual</t>
  </si>
  <si>
    <t>NO CONSUMIBLES</t>
  </si>
  <si>
    <t xml:space="preserve">Pinceles de pelo sintetico; pincel de tamponado, pincel de abanico, pincel lengua de gato, pincel plano, pincel punta redonda,  pincel de detalles. </t>
  </si>
  <si>
    <t>24 Única</t>
  </si>
  <si>
    <t xml:space="preserve">15 Única </t>
  </si>
  <si>
    <t xml:space="preserve">Desinfectante para ropa color: Bidón minimo por 20 litros </t>
  </si>
  <si>
    <t xml:space="preserve">1 Unidades  MENSUAL </t>
  </si>
  <si>
    <t xml:space="preserve">Jabón desinfectante inoloro.  Recipiente con tapa tipo válvula. Capacidad mínima: 500 ml </t>
  </si>
  <si>
    <t xml:space="preserve">3 Unidades  Mensual </t>
  </si>
  <si>
    <t>Jabón detergente líquido para lavadora. Galón de jabón detergente líquido para lavadora</t>
  </si>
  <si>
    <t xml:space="preserve">8 Unidades Mensuales </t>
  </si>
  <si>
    <t xml:space="preserve">1 unidad cada 3 meses </t>
  </si>
  <si>
    <t xml:space="preserve">1 unidad mensual </t>
  </si>
  <si>
    <t xml:space="preserve">1 galón cada 2 meses </t>
  </si>
  <si>
    <t>Cepillo sanitario plástico</t>
  </si>
  <si>
    <t xml:space="preserve">5 cada 3 meses </t>
  </si>
  <si>
    <t xml:space="preserve">Area  de plan de emergencias y contingencias </t>
  </si>
  <si>
    <t xml:space="preserve">1 por cocina </t>
  </si>
  <si>
    <t xml:space="preserve">1 por centro </t>
  </si>
  <si>
    <t xml:space="preserve">20 señales luminiscentes minimo </t>
  </si>
  <si>
    <t xml:space="preserve">Piezas comunicativas, Señalética acorde al tipo de discapacidad de la población de cada centro. El tipo de señalética que se va a implementar, deberá ser presentada con el Plan de Intervención del Centro. </t>
  </si>
  <si>
    <t xml:space="preserve">Proporcionar tablero de identificación para las rutas transportadoras de la población, el cual debe estar elaborado en material acrílico y contar con diseño avalado previamente por la oficina de comunicaciones. </t>
  </si>
  <si>
    <t xml:space="preserve">DESGASTE Y USO DE LOS BIENES NO CONSUMIBLES </t>
  </si>
  <si>
    <t>COSTOS FIJOS</t>
  </si>
  <si>
    <t xml:space="preserve">Area Espacio Fisico Funcional </t>
  </si>
  <si>
    <t>Guantes de Nitrilo Caja x 100</t>
  </si>
  <si>
    <t xml:space="preserve">Area de subcomponente aporte alimentario y nutricional </t>
  </si>
  <si>
    <t xml:space="preserve">1 cada día para cada persona beneficiaria del centro integrarte </t>
  </si>
  <si>
    <t xml:space="preserve">ALIMENTOS </t>
  </si>
  <si>
    <t xml:space="preserve">COSTOS FIJOS </t>
  </si>
  <si>
    <t xml:space="preserve">ELEMENTOS </t>
  </si>
  <si>
    <t>15 Mes</t>
  </si>
  <si>
    <t>10 Mes</t>
  </si>
  <si>
    <t>1 Mes</t>
  </si>
  <si>
    <t>20 Mes</t>
  </si>
  <si>
    <t>5 Mes</t>
  </si>
  <si>
    <t>8 Mes</t>
  </si>
  <si>
    <t>30 Mes</t>
  </si>
  <si>
    <t>2 Mes</t>
  </si>
  <si>
    <t>4 Mes</t>
  </si>
  <si>
    <t xml:space="preserve"> CONSUMIBLES</t>
  </si>
  <si>
    <t>6 Mes</t>
  </si>
  <si>
    <t>2 Paquetes Mes</t>
  </si>
  <si>
    <t>2 Paquetes  Mes</t>
  </si>
  <si>
    <t>Elementos Mínimos para la Implementación del Programa de Competencias Ocupacionales</t>
  </si>
  <si>
    <t xml:space="preserve"> Elementos Mínimos para la Implementación del Programa de Competencias Ocupacionales</t>
  </si>
  <si>
    <t xml:space="preserve"> Dotación del area administrativa</t>
  </si>
  <si>
    <t xml:space="preserve"> Dotación del área de alistamiento de personal</t>
  </si>
  <si>
    <t>Dotación del área de atención a familias</t>
  </si>
  <si>
    <t xml:space="preserve"> Dotación del área de lavandería</t>
  </si>
  <si>
    <t xml:space="preserve"> Elementos mínimos para vigilancia nutricional</t>
  </si>
  <si>
    <t xml:space="preserve"> Elementos mínimos para la toma de muestra de alimentos (bienes consumibles)</t>
  </si>
  <si>
    <t xml:space="preserve"> Dotación área de cuidado programa de salud</t>
  </si>
  <si>
    <t>Dotación del área de dormitorios para cada uno de los Centros Integrarte</t>
  </si>
  <si>
    <t xml:space="preserve"> Dotación del área de dormitorios para cada uno de los Centros Integrarte</t>
  </si>
  <si>
    <t xml:space="preserve"> Dotación del área de talleres</t>
  </si>
  <si>
    <t xml:space="preserve"> Kit de aseo para mujer</t>
  </si>
  <si>
    <t>Kit de aseo para hombre</t>
  </si>
  <si>
    <t xml:space="preserve"> Elementos para la implementación de terapias complementarias</t>
  </si>
  <si>
    <t xml:space="preserve"> Kit de aseo para hombre</t>
  </si>
  <si>
    <t xml:space="preserve"> Elementos para el Plan de Emergencias y Contingencias-PEC</t>
  </si>
  <si>
    <t xml:space="preserve"> Elementos mínimos para la implementación del plan de saneamiento en el servicio de alimentación</t>
  </si>
  <si>
    <t>Bolsas para manejo de residuos</t>
  </si>
  <si>
    <t>Elementos dotación mínima para el personal manipulador de alimentos</t>
  </si>
  <si>
    <t xml:space="preserve"> Elementos componente de gestión ambiental</t>
  </si>
  <si>
    <t xml:space="preserve"> Elementos Subsistema de Gestión Documental y Archivo.</t>
  </si>
  <si>
    <t>Elementos Subsistema de Gestión Documental y Archivo.</t>
  </si>
  <si>
    <t xml:space="preserve">Minuta patrón de alimentos </t>
  </si>
  <si>
    <t xml:space="preserve">Ambientes Adecuados y Seguros </t>
  </si>
  <si>
    <t xml:space="preserve">Númeral 6 Servicios Públicos </t>
  </si>
  <si>
    <t xml:space="preserve">Minuta Propuesta </t>
  </si>
  <si>
    <t>Númeral 9</t>
  </si>
  <si>
    <t>Númeral 8</t>
  </si>
  <si>
    <t>Pendón o aviso de identificación del Centro Integrarte, el cual debe tener el logotipo de la Secretaría Distrital de Integración Social y el nombre del proyecto, este debe estar ubicado en un lugar visible de referenciación para la población y la comunidad vecinal al Centro. El pendón debe estar instalado antes de finalizar el primer mes de ejecución del convenio de asociación y estar acorde al diseño avalado por la oficina asesora de comunicaciones de la SDIS.</t>
  </si>
  <si>
    <t xml:space="preserve"> Prendas de Vestir </t>
  </si>
  <si>
    <t>ABSORBENTES</t>
  </si>
  <si>
    <t>Absorbentes por lote entrega mensual</t>
  </si>
  <si>
    <t>Bolsa blanca, Punto ecológico caneca blanca, 90x60 Calibre 1.4</t>
  </si>
  <si>
    <t>Bolsa negra, Punto ecológico caneca negra, 90x60 Calibre 1.4</t>
  </si>
  <si>
    <t>100 mensual negra</t>
  </si>
  <si>
    <t>Bolsa blanca,  zona de almacenamiento de residuos bolsa reciclables, 90x60 Calibre 1.4</t>
  </si>
  <si>
    <t>570 bolsas x mes</t>
  </si>
  <si>
    <t>Nueves 
Tener en cuenta  la Minuta propuesta</t>
  </si>
  <si>
    <t>Onces 
Tener en cuenta  la Minuta propuesta</t>
  </si>
  <si>
    <t>Comida 
Tener en cuenta  la Minuta propuesta</t>
  </si>
  <si>
    <t>ELEMENTOS SABANA DE COSTOS CENTROS INTEGRARTE ATENCIÓN INTERNA</t>
  </si>
  <si>
    <t>Area Programa acciones de cuidado para la salud</t>
  </si>
  <si>
    <t>Dotación área de cuidado programa de salud</t>
  </si>
  <si>
    <t xml:space="preserve">Botiquín tipo A - fijo botiquín de primeros auxilios fabricado en lámina. Fijo con dos entrepaños y cavidad para variedad de frascos. Puerta de vidrio enmarcada con cerradura. Terminado en pintura electrostática. De acuerdo a la resolución 0705 DE 2007.
*1 Botiquin para la ejecución de todo el convenio. </t>
  </si>
  <si>
    <t xml:space="preserve">6 cajas mensuales </t>
  </si>
  <si>
    <t>6 cajas mensuales</t>
  </si>
  <si>
    <t>Elementos para el Plan de Emergencias y Contingencias-PEC</t>
  </si>
  <si>
    <t xml:space="preserve">1 entrega mensual </t>
  </si>
  <si>
    <t>Frasco jabón anti bacterial combinación de tensoactivos, espesantes, estabilizantes emulsificantes, solventes, secuestrantes, bactericidas, germicidas, humectante, preservantes, sin aroma o fragancia.  presentación por 3800 - 4000 ml. Datos en el empaque que incluya nombre del producto, nombre del fabricante, fecha de vencimiento y número de registro sanitario.</t>
  </si>
  <si>
    <t>200 Unidades para el lote de 60  cupos
260 carpetas para el lote de 80 cupos</t>
  </si>
  <si>
    <t>Carpeta física ambiental 150 Folios,  1 Carpeta que incluya 150 folios impresos o copias. Actas de socializaciones, listados de asistencia, Actas de campañas de sensibilizaciones de todos los programas.</t>
  </si>
  <si>
    <t xml:space="preserve">1 mensual </t>
  </si>
  <si>
    <t>Desayuno: 
Tener en cuenta  la Minuta propuesta</t>
  </si>
  <si>
    <t>Almuerzo 
Tener en cuenta  la Minuta propuesta</t>
  </si>
  <si>
    <t>Según cuadro de absorbentes por lote Entrega Mensual</t>
  </si>
  <si>
    <t xml:space="preserve">Jabón detergente  biodegradable, Bidón mínimo por 20 litros </t>
  </si>
  <si>
    <t>Jabón líquido biodegradable para lavado de manos. Recipiente con tapa tipo válvula. 
Capacidad mínima: 500 ml</t>
  </si>
  <si>
    <t>Frascos de 250 ml. Vinilos  de colores variados</t>
  </si>
  <si>
    <t>Pinceles planos, planos con angulo y planos redondeados, números 10,12,14 y 16</t>
  </si>
  <si>
    <t xml:space="preserve">Papel crepe en colores diversos  (Paquetes x 10 unidades). </t>
  </si>
  <si>
    <t>15 paquetes Mes</t>
  </si>
  <si>
    <t>Papel seda en diferentes colores (Paquetes x 10 unidades)</t>
  </si>
  <si>
    <t xml:space="preserve"> 10 paquetes Mes</t>
  </si>
  <si>
    <t xml:space="preserve">Papel Iris (Paquetes x 10 unidades) </t>
  </si>
  <si>
    <t>10 paquetes Mes</t>
  </si>
  <si>
    <t xml:space="preserve"> 1 Rollo Mes</t>
  </si>
  <si>
    <t xml:space="preserve">Papel de periódico pliegos. </t>
  </si>
  <si>
    <t>50 pliegos Mes</t>
  </si>
  <si>
    <t>Paquetes de cartón paja tamño oficio. ( Paquetes X 25)</t>
  </si>
  <si>
    <t>5 Paquetes Mes</t>
  </si>
  <si>
    <t>Brochas de 2 pulgadas</t>
  </si>
  <si>
    <t>Frascos  de 250 ml de pintura para telas diferentes colores.</t>
  </si>
  <si>
    <t>Metros de tela: satín, lino, organza, popelina, percal y aida entre otras (piezas de 50 cmsx50 cms).</t>
  </si>
  <si>
    <t>Unidades de bayetillas</t>
  </si>
  <si>
    <t xml:space="preserve">Galon de Jabón detergente líquido para pisos  </t>
  </si>
  <si>
    <t xml:space="preserve">Galon de Líquido para desinfección – hipoclorito </t>
  </si>
  <si>
    <t>Portarretratos madera cruda</t>
  </si>
  <si>
    <t>24 Mes</t>
  </si>
  <si>
    <t xml:space="preserve">Uniforme: Camisa y pantalón, Material: Tela, color claro con cierres o cremalleras y/o broches. 
Sin bolsillos en la parte superior. </t>
  </si>
  <si>
    <t>2 Caja por mes</t>
  </si>
  <si>
    <t xml:space="preserve">1 única entrega </t>
  </si>
  <si>
    <t>Tapabocas desechables, Caja por 50 unidades</t>
  </si>
  <si>
    <t>Tapabocas desechables, Caja por 50 unidades
*Para todas las opciones ocupacionales</t>
  </si>
  <si>
    <t>4 Cajas por mes</t>
  </si>
  <si>
    <t>Tapabocas desechables, Caja por 50 unidades para el manejo del archivo.</t>
  </si>
  <si>
    <t>10 Cajas para la ejecución de todo el convenio</t>
  </si>
  <si>
    <t>Guantes estériles en látex  Caja por 100 unidades</t>
  </si>
  <si>
    <t>Botiquín tipo B - Botiquín de primeros auxilios .Elaborado en lona o reata para cargar en hombros con el cual se apoyaran las salidas extramurales. De acuerdo a la resolución 0705 DE 2007.
*1 Botiquin tipo B para la ejecución de todo el convenio para contingencias el cual debe permanecer en el centro.</t>
  </si>
  <si>
    <t>Botiquín tipo B - Botiquín de primeros auxilios .Elaborado en lona o reata para cargar en hombros con el cual se apoyaran las salidas extramurales. De acuerdo a la resolución 0705 DE 2007.
*1 Botiquin tipo B para la ejecución de todo el convenio para las salidas extramurales.</t>
  </si>
  <si>
    <t xml:space="preserve">CARPETAS: Dimensiones Ancho de cartulina: 28 cm. (sin el doblez) Largo de cartulina: 35 cm. Diseño y material: Juego de carátulas y contra carátulas para el almacenamiento de folios tamaño oficio, elaborado en cartón rígido de 350 gramos (para almacenar 280 folios máximo), con refuerzo en tela coleta que debe incluir refuerzo para gancho por dentro. Debe tener impresión a una cara (externa), a una tinta (color negro), que contiene el logo oficial de la entidad y la impresión de los datos de la información que se ha de consignar en la carpeta. Cada cartulina debe presentar unas pestañas en tela coleta con dos perforaciones circulares para introducir los ganchos y a su vez, los folios. Esta pestañas deben doblarse (troquelado) hacia la parte interior, sin perder el tamaño de la carpeta (oficio), reforzando el lomo del expediente en donde se agrupan los documentos con el gancho. </t>
  </si>
  <si>
    <t xml:space="preserve">60 Unidades de cajas para la ejecución de todo el convenio. </t>
  </si>
  <si>
    <t>3 Paquetes para la ejecución de todo el convenio</t>
  </si>
  <si>
    <t xml:space="preserve">Cajas X 200- Dimensiones internas: ancho: 20 cm. x alto: 28.5 cm. x largo: 39 cm. Dimensiones externas: ancho: 21 cm. x alto: 30 cm. x largo: 40 cm. Diseño: Incluye una apertura frontal con pliegue en el costado izquierdo y pestaña para su manipulación. Las cajas no deben tener perforaciones. Diseño y Material: Cajas producidas con cartón kraft corrugado de doble pared de calibre de 790gr; espesor de 4.1 milímetros aprox. </t>
  </si>
  <si>
    <t>Ganchos Legajadores: Ganchos plásticos de polipropileno, de tamaño mediano compuestos por 2 piezas, una de filamento cilíndrico, la otra como pisador de cierre lateral. Paquete por 100 Unidades.</t>
  </si>
  <si>
    <t>5 Cajas por 100 Unidades para la ejecución de todo el convenio.</t>
  </si>
  <si>
    <t>Guantes de Nitrilo, no estériles, desechables.  Caja por 100 unidades para el manejo del archivo.</t>
  </si>
  <si>
    <t>N/A</t>
  </si>
  <si>
    <t>Desgaste y uso de Cama sencilla con su tablado.1.90 x 1.00 MT Metálica 1 para cada persona durante la ejecución de todo el convenio.</t>
  </si>
  <si>
    <t xml:space="preserve">Desgaste y uso de Colchón para la cama, de 100 x 1.90 x 20 cms,  de espuma flexible, densidad 30. 1 para cada persona durante la ejecución de todo el convenio. </t>
  </si>
  <si>
    <t xml:space="preserve">Desgaste y uso de bienes no consumibles Area Textiles Habitaciones - Dormitorios:
Forros para colchoneta de 100 x 1.90 x 20 cms densidad 30, en tela de lona impermeable, cremallera lateral, dos agarraderas y dos respiradores. 1 para cada persona durante la ejecución de todo el convenio. </t>
  </si>
  <si>
    <t xml:space="preserve">Almohada para adulto, medidas aproximadas de 65 cm. X 45 cm., color blanco, con forro en dacrón 1 para cada persona durante la ejecución de todo el convenio. </t>
  </si>
  <si>
    <t xml:space="preserve">Forros para almohada medidas aproximadas de 65 cm. X 45 cm, en tela lona impermeable, cremallera lateral. 1 para cada persona durante la ejecución de todo el convenio. </t>
  </si>
  <si>
    <t xml:space="preserve">Cortinas para ventanas, en material  jackard o tela burda pesada, color blanco, crudo o beige, que evite el ingreso de luz  y frio en las noches.  Se debe instalar una cortina por cada ventana en cada habitación.   </t>
  </si>
  <si>
    <t xml:space="preserve">Juegos de Tendido para Cama, en poliéster 100%, compuesto por sabana ajustable, sobre sabana y funda. Donde debe quedar dos juegos de tendidos completos adicionales, que se encuentren en reserva. 3 para cada persona durante la ejecución de todo el convenio. </t>
  </si>
  <si>
    <t xml:space="preserve">Cobija 130 X 190 CMS de algodón 3 para cada persona durante la ejecución de todo el convenio. </t>
  </si>
  <si>
    <t xml:space="preserve">Cubrelecho 130 X 190 CMS para cama sencilla Material: 50% Algodón - 50% Poliester 2 para cada persona durante la ejecución de todo el convenio. </t>
  </si>
  <si>
    <t xml:space="preserve">Desgaste y uso de armario Plástico mediano uno para cada persona durante la ejecución de todo el convenio.  </t>
  </si>
  <si>
    <t xml:space="preserve">Desgaste y uso de bienes no consumibles Area de Talleres:
Tablero acrílico borrable marco en aluminio 1.60 x 1.20. *3 Unidades para la ejecución de todo el convenio. 
Mesas Plástica desarmables de 4  puestos. *15 Unidades para la ejecución de todo el convenio. 
Sillas plásticas con espaldar, diferentes a las del comedor. *60 Unidades para la ejecución de todo el convenio. 
Colchoneta grande 100 cms x 1.20 cms x 10 cms en lona vinilica con cremallera. *5 Unidades para la ejecución de todo el convenio. </t>
  </si>
  <si>
    <t xml:space="preserve">Desgaste y uso de bienes no consumibles Àrea de Terapias Complementarias:
Cabina torre bafle tipo columna 220 watts. *Una unidad para la ejecución de todo el convenio. 
Instrumentos de percusión (panderos oceánicos, castañuelas, marimbas, maracas, chajchas, tambores). *20 unidades para la ejecución de todo el convenio. 
Instrumentos de metal (Xilófonos, triángulos, campanas tubulares, crótalos, campanas, gongs, timbales). *20 unidades para la ejecución de todo el convenio. 
Difusor de aroma. *2 unidades para la ejecución de todo el convenio. 
Música variada música relajante instrumental, música de alta vibración y energía positiva, cuencos tibetanos, frecuencia de la felicidad, rock instrumental sinfónico, música clásica instrumental, cumbias instrumentales, flauta indígena,  música de la naturaleza, música instrumental Zen, salsa instrumental). *Una memoria de 500 canciones minimo para la ejecución de todo el convenio. </t>
  </si>
  <si>
    <t>Area programa de cuidado de la Salud</t>
  </si>
  <si>
    <t xml:space="preserve">Cepillo de dientes, Cepillo de dientes forma del mango curvo; tipo de cabeza  redondeada, con limpiador de lengua y mejillas internas,  con cerdas de dureza media. </t>
  </si>
  <si>
    <t xml:space="preserve">Crema dental,  Crema dental frasco plástico de 100 cm³ , tapa dosificadora para enroscar; para adultos. Anti caries -  triple acción sabor menta clásica. </t>
  </si>
  <si>
    <t xml:space="preserve">Jabón de baño liquido, Jabón de baño liquido tapa tipo válvula 300 ml. </t>
  </si>
  <si>
    <t>1 Frasco 300 ml mensual. por persona hasta la finalización del Convenio</t>
  </si>
  <si>
    <t xml:space="preserve">Champú normal, 1 Frasco de 250 ml. </t>
  </si>
  <si>
    <t>1 por persona mensual</t>
  </si>
  <si>
    <t xml:space="preserve">Desodorante antitranspirante Roll-On,  1 Frasco de 50 Ml </t>
  </si>
  <si>
    <t xml:space="preserve">Crema humectante– Frasco de 200 ml. </t>
  </si>
  <si>
    <t xml:space="preserve">Máquinas de afeitar desechables para mujer </t>
  </si>
  <si>
    <t>2  unidades por mes para cada persona.</t>
  </si>
  <si>
    <t xml:space="preserve">Talco antibacterial para pies, 1 Frasco de 85 gramos </t>
  </si>
  <si>
    <t xml:space="preserve">1 Paquete x 10 unidades mensual </t>
  </si>
  <si>
    <t>Toallas higiénicas, Toallas higiénicas tipo tela tamaño normal con alas- presentación por 10 unidades. Datos en el empaque que incluya nombre del producto, nombre del fabricante y número de registro sanitario.</t>
  </si>
  <si>
    <t xml:space="preserve"> Papel higiénico doble hoja; metraje mínimo de 25 mts; color blanco, acolchado.  </t>
  </si>
  <si>
    <t xml:space="preserve"> Cortaúñas material acero inoxidable, tamaño 60mm. </t>
  </si>
  <si>
    <t xml:space="preserve">1 Única entrega.  </t>
  </si>
  <si>
    <t xml:space="preserve">Dos entregas durante el convenio               </t>
  </si>
  <si>
    <t xml:space="preserve">Peinillas mujeres: dimensiones mínimo 10 cm de largo; material plástico; tipo de cerda plástico; tipo de peinilla para bolsillo.    </t>
  </si>
  <si>
    <t xml:space="preserve"> Cepillo de dientes forma del mango curvo; tipo de cabeza  redondeada, con limpiador de lengua y mejillas internas,  con cerdas de dureza media. </t>
  </si>
  <si>
    <t>Crema dental frasco plástico de 100 cm³ , tapa dosificadora para enroscar; para adultos. Anti caries -  triple acción sabor menta clásica.</t>
  </si>
  <si>
    <t xml:space="preserve"> Jabón de baño liquido tapa tipo válvula 300 ml. 1 Frasco 300 ml </t>
  </si>
  <si>
    <t>Champú normal, 1 Frasco de 250 ml.</t>
  </si>
  <si>
    <t>Desodorante antitranspirante Roll-On,  1 Frasco de 50 Ml</t>
  </si>
  <si>
    <t xml:space="preserve">Crema humectante– Frasco de 200 ml. Frasco de 200 ml. </t>
  </si>
  <si>
    <t xml:space="preserve">Máquinas de afeitar desechables </t>
  </si>
  <si>
    <t>4 rollos mensuales</t>
  </si>
  <si>
    <t xml:space="preserve">Cortaúñas material acero inoxidable, tamaño 60mm. </t>
  </si>
  <si>
    <t xml:space="preserve">Papel higiénico doble hoja; metraje mínimo de 30 mts; color blanco, acolchado.  </t>
  </si>
  <si>
    <t xml:space="preserve"> Peinillas hombre: dimensiones mínimo 10 cm de largo; material plástico; tipo de cerda plástico; tipo de peinilla para bolsillo. </t>
  </si>
  <si>
    <t xml:space="preserve">2 entregas durante el convenio. </t>
  </si>
  <si>
    <t xml:space="preserve">4 rollos mensuales por persona. </t>
  </si>
  <si>
    <t>Tablero informativo para punto ecológico,</t>
  </si>
  <si>
    <t>Caneca para el descomide  negra  con rótulo informativo.</t>
  </si>
  <si>
    <t xml:space="preserve">Caneca para pañales negra con rótulo informativo (En caso de que se requiera).  
Se requiere 1 caneca para pañales. (según generacion) </t>
  </si>
  <si>
    <t>Contenedores para aceite vegetal usado Debe contar con 1 bidón o galón traslucido rotulados, con filtro para el encapsulamiento del mismo  (si tiene más servicios en una sola cocina solo presentara un contenedor colectivo)}</t>
  </si>
  <si>
    <t>Cartelera para difusión de piezas comunicativas</t>
  </si>
  <si>
    <t>Báscula tipo dinamómetro</t>
  </si>
  <si>
    <t xml:space="preserve">Contrato y entrega mensual de elementos residuos qumicos - empaques de medicamentos, biosanitarios, cortopunzantes,  contenedores presurizados con gestor respel autorizado. </t>
  </si>
  <si>
    <t xml:space="preserve"> 1 Unidad para la Ejecución del convenio</t>
  </si>
  <si>
    <t>1 unidad para cada participante</t>
  </si>
  <si>
    <t>1 Unidad por cada persona del talento humano</t>
  </si>
  <si>
    <t xml:space="preserve"> 1  unidad para la ejecución del convenio</t>
  </si>
  <si>
    <t>Remitirse al Anexo Técnico</t>
  </si>
  <si>
    <t>1 unidad por auxiliar de servicios generales (cada 2 meses)</t>
  </si>
  <si>
    <t>Guantes, Par Color Rojo calibre 35</t>
  </si>
  <si>
    <t>Guantes, Par Color verde calibre 35</t>
  </si>
  <si>
    <t xml:space="preserve"> 1 unidad por auxiliar de servicios generales (cada 2 meses)</t>
  </si>
  <si>
    <t>Guantes, Par Color negro calibre 35</t>
  </si>
  <si>
    <t>1 unidad por manipulador (cada 2 meses)</t>
  </si>
  <si>
    <t>Guantes, Par Color amarillo calibre 35</t>
  </si>
  <si>
    <t xml:space="preserve">1 por persona para toda la ejecución del convenio. </t>
  </si>
  <si>
    <t xml:space="preserve">Champú Anti piojos Frasco de 400 ML </t>
  </si>
  <si>
    <t xml:space="preserve">Bloqueador Solar frasco de 100 ML FPS 50 y a prueba de agua. </t>
  </si>
  <si>
    <t xml:space="preserve"> Bloqueador Solar  frasco de 100 ML FPS 50 y a prueba de agua. </t>
  </si>
  <si>
    <t xml:space="preserve">Resmas de papel: Tamaño Carta </t>
  </si>
  <si>
    <t>Resmas de papel:  Tamaño Oficio</t>
  </si>
  <si>
    <t xml:space="preserve"> Mantenimiento y Adecuaciones </t>
  </si>
  <si>
    <t>6 unidades para dormitorios y 1 para cocina</t>
  </si>
  <si>
    <t>Lavamanos de accionamiento no manual para cocina (Exigencia normativa)</t>
  </si>
  <si>
    <t xml:space="preserve">Adecuaciones, mantenimientos, ayudas tecnicas, entre otros, que requiera el inmueble para la prestación del servicio de atención a los usuarios, además los costos derivados de reparaciones por daños a la propiedad y durante toda la ejecución del convenio.
Sera obligación del asociado garantizar el debido cuidado, mantenimiento y reparaciones del espacio físico funcional en las que se desarrolla el servicio. </t>
  </si>
  <si>
    <t xml:space="preserve">Contratar un diagnóstico y la revisión de sistemas de transporte vertical. Los administradores y/o propietarios de sistemas de transporte vertical en edificaciones y puertas eléctricas que estén al servicio público o privado en el Distrito Capital, Contratarán el diagnóstico y la revisión del funcionamiento de aparatos con personas naturales y/o jurídicas calificadas y acreditadas por el Organismo Nacional de Acreditación de Colombia-ONAC o entidad que la reemplace o sustituya, las cuales certificarán su óptima operación.
* Unicamente se reconocera a quien le aplique. </t>
  </si>
  <si>
    <t>Bolsa verde, para la cocina residuos organicos aprovechables  55x40 Calibre 1.4</t>
  </si>
  <si>
    <t xml:space="preserve">100 Mensual Verde </t>
  </si>
  <si>
    <t>Bolsa negra , para la cocina residuos organicos  NO aprovechables  55x40 Calibre 1.4</t>
  </si>
  <si>
    <t>150 Mensual Negra</t>
  </si>
  <si>
    <t>50 mensual blanca</t>
  </si>
  <si>
    <t>70 mensual negra</t>
  </si>
  <si>
    <t>Bolsa verde,zona de almacenamiento de residuos ordinarios aprovechables, 90x60 Calibre 1.4</t>
  </si>
  <si>
    <t xml:space="preserve">50 mensual verde </t>
  </si>
  <si>
    <t>Bolsa negra,zona de almacenamiento de residuos bolsa negra, 90x60 Calibre 1.4</t>
  </si>
  <si>
    <t>200 mensual  negro</t>
  </si>
  <si>
    <t>Bolsa negra, Descomide, 55x40 Calibre 1.4</t>
  </si>
  <si>
    <t>Bolsa negra, Caneca área de servicios, 55x40 Calibre 1.4</t>
  </si>
  <si>
    <t>150 mensual negra</t>
  </si>
  <si>
    <t>Bolsa negra, Caneca para baño, 55x40 Calibre 1.4</t>
  </si>
  <si>
    <t xml:space="preserve"> 350 mensual negra</t>
  </si>
  <si>
    <t>Bolsa negra, Pañales, 90x60 Calibre 1.4</t>
  </si>
  <si>
    <t>250 mensual negra</t>
  </si>
  <si>
    <t xml:space="preserve">Bolsa roja, Caneca biosanitarios, peligrosos, cortopunzantes y presurizados  55x40 Calibre 3 </t>
  </si>
  <si>
    <t xml:space="preserve">100 mensual roja </t>
  </si>
  <si>
    <t>Medios Técnologicos</t>
  </si>
  <si>
    <t xml:space="preserve">Numeral 7. Medios Técnologicos </t>
  </si>
  <si>
    <t>Numeral 6.2 Vigilancia</t>
  </si>
  <si>
    <t xml:space="preserve">Númeral 8.  Transporte </t>
  </si>
  <si>
    <t>Toallas para el cuerpo, de 60 cms de ancho por 120 cms largo. 
Para las personas que ingresan nuevas al Servicio y que no cuenten con este elemento, las dos unidades se harán en la primera entrega.  Para las personas que vienen siendo atendidas, una se entregara con el primer kit y la segunda  tres meses antes de finalizar el Convenio de asociación</t>
  </si>
  <si>
    <t xml:space="preserve"> 2 (Dos) unidades por persona</t>
  </si>
  <si>
    <t xml:space="preserve"> 2 (Dos) unidades por persona </t>
  </si>
  <si>
    <t xml:space="preserve"> Toallas para el cuerpo de 60 cms de ancho por 120 cms largo. 
Para las personas que ingresan nuevas al Servicio y que no cuenten con este elemento, las dos unidades se harán en la primera entrega.  Para las personas que vienen siendo atendidas, una se entregara con el primer kit y la segunda  tres meses antes de finalizar el Convenio de asociación</t>
  </si>
  <si>
    <t>COSTO</t>
  </si>
  <si>
    <t>Programa de competencias adaptativas</t>
  </si>
  <si>
    <t>Actividades recreativas y de expresión artistica y cultural</t>
  </si>
  <si>
    <t>SALIDA RECREATIVA</t>
  </si>
  <si>
    <t>MEDIOS TECNOLÓGICOS</t>
  </si>
  <si>
    <t>Ciucuito Cerrado de TV de 16 Camaras</t>
  </si>
  <si>
    <t xml:space="preserve">VIGILANCIA </t>
  </si>
  <si>
    <t>Ambientador Liquido, 1 Galón cada 2 meses</t>
  </si>
  <si>
    <t>Cajas de Alfileres x 100 Unidades</t>
  </si>
  <si>
    <t>Docenas de lijas para pulir / Lija mediana - Medida 100</t>
  </si>
  <si>
    <t>Docenas de lijas para pulir  / Lija gruesa - Medida 150</t>
  </si>
  <si>
    <t xml:space="preserve">1 caneca para residuos negra-área de servicios.  </t>
  </si>
  <si>
    <t>1 Contenedor hermético-galón para contenedores presurizados – inhaladores (En los casos en que se requiera)</t>
  </si>
  <si>
    <t>1 contenedor tipo guardián para elementos cortopunzantes como agujas, cuchilas y lancetas (En los casos en que se requiera).</t>
  </si>
  <si>
    <t>Caneca áreas Programa de cuidado de la salud. Canecas por tipo de residuo generado. 
1 caneca para residuos biosanitarios (En los casos en que se requiera). Color Rojo</t>
  </si>
  <si>
    <t>1 caneca para residuos químicos (En los casos en que se requiera). Color Rojo</t>
  </si>
  <si>
    <t xml:space="preserve"> Elementos para desarrollar el programa de Competencias Adaptativas – Actividades de Ocio (para cada centro)</t>
  </si>
  <si>
    <t xml:space="preserve">Elementos Mínimos para la Implementación del Programa de Competencias Ocupacionales </t>
  </si>
  <si>
    <t xml:space="preserve"> Elementos Mínimos para desarrollar el programa de habilidades motoras (para cada centro)</t>
  </si>
  <si>
    <t>7 resmas mensuales</t>
  </si>
  <si>
    <t>3 resmas mensuales</t>
  </si>
  <si>
    <t xml:space="preserve">30 Mes </t>
  </si>
  <si>
    <t>Bolsa verde 90x60 Calibre 1.4</t>
  </si>
  <si>
    <t>Papel kraft Rollo medidas 100 cm, 125 g/m2 kg</t>
  </si>
  <si>
    <t xml:space="preserve">Desgaste y Uso de Bienes no Consumubles:
Durakart para el transporte interno de los residuos, uno para los residuos solidos ordinarios y/o aprovechables y otro para el transporte de los residuos hospitalarios y/o peligrosos 
Capacidad mínima: 80 Litros 
Capacidad máxima: 360 Litros </t>
  </si>
  <si>
    <t>MEMORANDO DE VIABILIDAD</t>
  </si>
  <si>
    <t>PRECIO DE REFERENCIA AVALADO</t>
  </si>
  <si>
    <t xml:space="preserve">PRECIO TOTAL DE REFERENCIA </t>
  </si>
  <si>
    <t>UNIDAD DE MEDIDA</t>
  </si>
  <si>
    <t>VALOR MENSUAL DE MANTENIMIENTO POR PERSONA</t>
  </si>
  <si>
    <t>VALOR UNITARIO</t>
  </si>
  <si>
    <t>VALOR MENSUAL</t>
  </si>
  <si>
    <t>VALOR UNITARIO POR PERSONA</t>
  </si>
  <si>
    <t>Rad: I2022032818 del 28 de Septiembre de 2022 de la Subdirección de abastecimeinto</t>
  </si>
  <si>
    <t>VALOR MENSUAL SERVICIOS PÚBLICOS POR PERSONA</t>
  </si>
  <si>
    <t>VALOR ARRIENDO MENSUAL POR PERSONA</t>
  </si>
  <si>
    <t>Rad: I2022034679 del 13 de octubre de 2022 Internos 2023</t>
  </si>
  <si>
    <t>VALOR MENSUAL POR PERSONA</t>
  </si>
  <si>
    <t>Rad: I2022034679 del 13 de otubre de 2022 Int Internos 2023</t>
  </si>
  <si>
    <t>Tiempo de comida por persona</t>
  </si>
  <si>
    <t>COBERTURA 60</t>
  </si>
  <si>
    <t>COBERTURA 80</t>
  </si>
  <si>
    <t xml:space="preserve">COBERTURA COMPLETA </t>
  </si>
  <si>
    <t>MITAD COBERTURA</t>
  </si>
  <si>
    <t>UNICA ENTREGA COBERTURA 60</t>
  </si>
  <si>
    <t>UNICA ENTREGA COBERTURA 80</t>
  </si>
  <si>
    <t xml:space="preserve">UNICA ENTREGA </t>
  </si>
  <si>
    <t>Canecas para punto ecológico: Conjunto de dos canecas unidas entre sí, del mismo tamaño y la misma capacidad, caracterizadas por los colores institucionales, rotulada cada una con su aviso informativo que describe el tipo de elementos a disponer en cada una de las canecas. El punto ecologico se conforma por una caneca negra y una blanca</t>
  </si>
  <si>
    <t xml:space="preserve">Canecas herméticas para zona de almacenamiento de residuos sólidos  con rótulos informativos, 4 canecas distribuidas así:  2 para residuos ordinarios color negro y 2 para residuos reciclables color blanco con capacidad de almacenamiento para los residuos de  30 a 50 galones en promedio. 2 para residuos ordinarios color negro y 2 para residuos reciclables color blanco </t>
  </si>
  <si>
    <t xml:space="preserve">Minimo 6 unidades </t>
  </si>
  <si>
    <t>1 por persona</t>
  </si>
  <si>
    <t xml:space="preserve">1 por persona </t>
  </si>
  <si>
    <t>3 por persona</t>
  </si>
  <si>
    <t xml:space="preserve">3 por persona </t>
  </si>
  <si>
    <t xml:space="preserve">2 por persona </t>
  </si>
  <si>
    <t xml:space="preserve">1 Para toda la ejeución del convenio </t>
  </si>
  <si>
    <t xml:space="preserve">1 Única entrega </t>
  </si>
  <si>
    <t xml:space="preserve">4 Única entrega </t>
  </si>
  <si>
    <t>1 Única entrega</t>
  </si>
  <si>
    <t xml:space="preserve">1 ÚÍnica entrega </t>
  </si>
  <si>
    <t>2 Basculas tipo dinamómetro (1 para residuos no peligrosos y 1 para residuos hospitalarios- en caso de que se requiera). Única entrega</t>
  </si>
  <si>
    <t xml:space="preserve">UNIDAD </t>
  </si>
  <si>
    <t xml:space="preserve">Rad I2022006259 del 18 de febrero de 2022   de la Subdirección  de  Infancia </t>
  </si>
  <si>
    <t xml:space="preserve">Rad I2022008215 del 03 de abril de 2022  de Internos 2022. </t>
  </si>
  <si>
    <t>Unidad</t>
  </si>
  <si>
    <t xml:space="preserve">Unidad </t>
  </si>
  <si>
    <t>Toalla de papel: Toalla desechable de manos biodegradable, tipo dobladas en Z, presentación paquete por 150 unidades. Dimensiones aproximadas 22 X 24 CM, No de hojas doble.</t>
  </si>
  <si>
    <t xml:space="preserve">Valor Mensual </t>
  </si>
  <si>
    <t>Unidad Mensual</t>
  </si>
  <si>
    <t>Valor Unitario</t>
  </si>
  <si>
    <t>8 extintores por centro</t>
  </si>
  <si>
    <t>Extintores tipo multiproposito. Única entrega</t>
  </si>
  <si>
    <t>Chaleco o brazalete con identificaciòn de brigadista. Debe haber 4 brigadistas titulares. 4 Unidades para la ejecución de todo el convenio. Única entrega</t>
  </si>
  <si>
    <t>Señalética para emergencias luminiscente de fácil limpieza y desinfección. Para toda la ejecución del convenio</t>
  </si>
  <si>
    <t>Biciparqueadero (minimo uno). Para toda la ejecución del convenio</t>
  </si>
  <si>
    <t>Servicio Mensual</t>
  </si>
  <si>
    <t>Valor mensual del Servicio</t>
  </si>
  <si>
    <t>Aceites esenciales de:  Ciprés 4 - cedro 3- lavanda 3, jazmín 3 y manzanilla 3  . Total 12 frascos de 250 ML.Única entrega</t>
  </si>
  <si>
    <t xml:space="preserve">2  Única entrega </t>
  </si>
  <si>
    <t>Canecas para baños tipo pedal de color negro con rótulos informativos  canecas tipo pedal/hueco/vaiven de 10 a 20 litros de capacidad (a necesidad de acuerdo a unidades sanitarias presentadas en áreas de servicio). 15 para grupo de 60 y 20 para grupo de 80</t>
  </si>
  <si>
    <t xml:space="preserve">12 Según la cantidad de puntos sanitarios, luminicos y ecologicos, una unidad por punto para la ejecución de todo el convenio Única entrega . </t>
  </si>
  <si>
    <t xml:space="preserve">Recogedor, Base y soporte en plástico, mango en material sanitario 
Mango identificado con color amarillo.  Trimestral
</t>
  </si>
  <si>
    <t xml:space="preserve">Recogedor, Base y soporte en plástico, mango en material sanitario 
Mango identificado con color rojo.    Trimestral
</t>
  </si>
  <si>
    <t xml:space="preserve">Recogedor, Base y soporte en plástico, mango en material sanitario 
Mango identificado con color negro.   Trimestral  
</t>
  </si>
  <si>
    <t>Esponjilla de brillo paquete por  6 unidades. Mensual</t>
  </si>
  <si>
    <t>Esponja de alambre inoxidable . Mensual</t>
  </si>
  <si>
    <t>Esponjilla multiusos, paquete por 6 unidades :Mensual</t>
  </si>
  <si>
    <t>1 unidad  mensual</t>
  </si>
  <si>
    <t xml:space="preserve">2 unidad mensual </t>
  </si>
  <si>
    <t>6 unidades mensual</t>
  </si>
  <si>
    <t>8 unidades  única entrega</t>
  </si>
  <si>
    <t xml:space="preserve">Minimo 20 por centro </t>
  </si>
  <si>
    <t>1 Galón  cada tres  meses</t>
  </si>
  <si>
    <t>20 frascos  de 250 ml cada 2 meses</t>
  </si>
  <si>
    <t>Canecas rojas de residuos sólidos hospitalarios para zona de almacenamiento. Se pueden tener canecas colectivas para varios Centros siempre y cuando se garanticen en esta zona canecas por tipo de residuo  para una adecuada presentación (las bolsas no pueden estar fuera de las canecas) y deberá aplicar normatividad vigente.
1 caneca para residuos biosanitarios. (En los casos en que se requiera)
1 caneca para residuos químicos. (En los casos en que se requiera)
1 caneca para residuos negra 
1 Contenedor hermético-galón para contenedores presurizados – inhaladores. (En los casos en que se requiera)
1 caneca para residuos tipo contenedor o tipo guardián si es requerido. 
2 canecas para residuos biosanitarios de 10 a 20 litros. (Estas canecas permanecerán en bodega y solo se usaran en caso de contingencias –aislamientos o cuarentenas).
Nota: todos los contenedores para residuos hospitalarios deben ser hermeticos de pedal. Única entrega</t>
  </si>
  <si>
    <t>1 unidad Trimestral</t>
  </si>
  <si>
    <t>1 UNIDAD  Mensual</t>
  </si>
  <si>
    <t>5 unidades  Mensual</t>
  </si>
  <si>
    <t>3 unidades  Mensual</t>
  </si>
  <si>
    <t>12 Frascos de 250 ML Única entrega</t>
  </si>
  <si>
    <t xml:space="preserve">Única entrega </t>
  </si>
  <si>
    <t>PRECIO DE REFERENCIA INDEXADO</t>
  </si>
  <si>
    <t>10 Frascos de 250 ml mensuales</t>
  </si>
  <si>
    <t>Extintor tipo k .Única entrega</t>
  </si>
  <si>
    <t xml:space="preserve">Camillas con inmovilizador y cinta de amarre. Ünica entrega </t>
  </si>
  <si>
    <t>MENSUAL</t>
  </si>
  <si>
    <t>Circualr de Vigilancia 2022 Indexado IPC promedio cierre 2021 y corrido del años 2022 a septiembre</t>
  </si>
  <si>
    <t>Rad I2022008215 del 03 de abril de 2022  de Internos 2023</t>
  </si>
  <si>
    <t>3 Rollo de Toallas mensuales</t>
  </si>
  <si>
    <t xml:space="preserve">DESGASTE Y USO DE LOS BIENES NO CONSUMIBLES ÁREA ADMINISTRATIVA:
-4 Computador Intel Core I3 Windows 10Pro memoria RAM4GB Disco Duro de 500GB Grafico Intel 530 Peso 3,6KG Puerto USB HDMI VGA con teclado y mouse y licencia Office 
-1 Impresora Multifuncional Sistema de tintas Integrado. Función para copiar y escanear. Rendimiento de página de hasta 6,000 páginas en blanco y negro y 7,000 páginas a color. Compatible con Windows® 10, Windows® 8, Windows 8.1, Windows 7, Windows 7 SP1, Windows Vista® SP1. 
-4 Puesto de trabajo- escritorio metálico de tres cajones. 
-4 Sillas ergonómicas ejecutivas tapizada con brazos.  
</t>
  </si>
  <si>
    <t xml:space="preserve">DESGASTE Y USO DE LOS BIENES NO CONSUMIBLES ÁREA DE ALISTAMIENTO DE PERSONAL:
Lockers metálicos o plasticos  para el talento humano de servicios generales y manipuladores de alimentos.
</t>
  </si>
  <si>
    <t>Un bloque de lockers de 6 unidades para el talento humano de servicios generales y manipulador de alimentos.</t>
  </si>
  <si>
    <t xml:space="preserve">DESGASTE Y USO DE LOS BIENES NO CONSUMIBLES ÁREA SALA DE ATENCIÓN DE FAMILIAS:
-1 Proyector Video Beam 3000 Tecnología LCD 1280X800 MEGAPIXELES CONTRASTE 15,000:1 Ciclo de reemplazo de lámpara modo normal lámpara 200WUEH conectividad HDMI X1 VIDEO DE COMPUTADORA COMPONENTE D SUB 15PIN Entrada de audio RCAx2 proyecta audio y video compatible con PC Y Mac. Con cables y estuche.
-1 Tablero acrílico borrable marco en aluminio 1.60 x 1.20
-1 Televisor SMART TV LED de 42 pulgadas Calidad de Imagen pantalla panel LCD LED relación aspecto 16:9 Control de panel 120BLB modos de imagen dinámico /normal/cinema juegos Angulo de visión 176 grados reducción de ruido. CALIDAD DE SONIDO Alta voces rango total x2 salida de bocinas 20w reproductor de medios (fotos películas música) FORMATOS COMPATIBLES AVI/MKV/MP4/M4V/FLV/3GPP/VRO/VOB/TS/MP3/ACC/WMAJGP. Incluye Control remoto normal/cable de poder/ base para televisor y manual
</t>
  </si>
  <si>
    <t xml:space="preserve">DESGASTE Y USO DE LOS BIENES NO CONSUMIBLES ÁREA DE LAVANDERIA
-1 Lavadora Carga Frontal  superior a  20 kg 
-1 Secadora frontal o superior a 20 kg. 
-15  Tendedero Tradicional 
</t>
  </si>
  <si>
    <t xml:space="preserve"> </t>
  </si>
  <si>
    <t xml:space="preserve">Desgaste y uso de bienes no consumibles Area Nutriciòn y Salubridad:
Incluye:
Pesas Patrón. Pesa patrón con manija de agarre
Material: hierro fundido superficie: superficie lisa sin grietas, marcas ni bordes afilados.
Agarre: las pesas con manija de agarre.
Peso: 20 kg
Garantía: garantía mínima de un (1) año.
Certificado de calibración por laboratorio acreditado por la ONAC.
Un Tallímetro. Tallímetro en un material Resistente Liviano y no deformable.
Capacidad de dos (2) metros, Sensibilidad 1mm. – no se aceptarán cintas o metros de modistería ni cintas métricas, de papel o 
plástico, adheridos a la pared. 
Una Cinta Métrica. Con características flexibles, inextensible e impermeable con divisiones cada 1mm, con máximo 0,5 cm de 
ancho y alcance de 150cm. 
Una Báscula Electrónica Industrial. Material: acero inoxidable. Capacidad mínima: 150 kg, capacidad máxima: 300 kg., división/ 
precisión mínima: 50 g., precisión máxima: 100g. Dimensión plataforma: mínima de 70 cm x 70 cm x 15cm de altura. Certificado 
de calibración por laboratorio acreditado por la ONAC para garantizar su correcta trazabilidad en las mediciones. 
Balanza para alimentos Capacidad hasta de 150 Kg. Sensibilidad mínima de 50 gramos. 
Balanza para alimentos Capacidad hasta de 30 Kg. Sensibilidad mínima de 5 gramos. 
Gramera digital para Alimentos con sensibilidad de 0.1 gramo 
1 báscula con capacidad suficiente para el pesaje de los residuos sólidos o 1 dinamómetro 
Termómetro digital con sonda *2 Termómetros 
Termómetro de punzón para control de temperatura de alimentos fríos 
Termómetro de punzón para control de temperatura de alimentos calientes 
Equipo de congelación de Capacidad mínima de 100 litros. 
Equipo mixto de refrigeración de Capacidad mínima de 300 litros 
Termo con capacidad para 10 litros. Material Plástico Poliuretano *2 Termos
Estufa (4 fogones - 4 puestos) 
Licuadora Industrial grande Capacidad mínima 15 litros 
Licuadora semiindustrial de 2 litros 
Procesador de alimentos 2 litros, Campanas tipo pared, central o lisa manufacturada en acero inoxidable calibre 18/20 tipo 304-430 antiácidos, dotada con filtros. Mesa De Trabajo lisa en acero inoxidable, bordes sin aristas. 
Anaquel 
Estantería en acero 
Estibas plásticas *2 Unidades 
Escurridor de Pared para Loza Lavable En Acero Inoxidable 
Canastillas 120 cm largo, 100 ancho, 15 alto. *6 Canastillas 
Mesas plásticas mínimo de 4 puestos que permita garantizar un puesto en mesa por participante.
Sillas beneficiarios, plástica con espaldar y brazos. *Una unidad por participante.
Kit de 5 piezas (1 plato sopero, 1plato pando, 1 plato hondo pequeño para fruta o postre,1 pocillo y 1 vaso) *Entre 60 y 80 Kits
Kit de Cubiertos (Cuchara sopera en acero inoxidable, Cuchara para postre en acero inoxidable, Tenedor en acero inoxidable, 
Cuchillo en acero inoxidable) *Entre 60 y 80 Kits
Caldero en aluminio fundido entre 15 - 20 litros 
Olla a presión entre 9 -13 litros 
Ollas en aluminio *2 Unidades entre 8 - 13 litros 
Ollas en aluminio *1 Unidad entre 15 - 20 litros 
Fondos u ollas de aluminio de 30 litros 
Paila en aluminio entre 5 - 8 litros 
Recipiente plástico para almacenamiento de alimentos con tapa. Capacidad mínima 5 litros 
Recipiente plástico para almacenamiento de alimentos con tapa. Capacidad mínima 8 litros *2 unidades 
Recipiente plástico para almacenar queso con tapa y capacidad mínima de 2,5 kg *2 unidades 
Caneca plástica con tapa para jugo de mínimo 12 litros o su equivalencia. *2 unidades
Jarra Plástica para jugo capacidad mínima de 4 litros 
Cuchara para preparación en acero inoxidable y/o aluminio *2 unidades 
Cucharon de espagueti 
Espumadera tipo industrial 
Colador en acero inoxidable *2 unidades 
Tenedor de mango largo en acero inoxidable 
Set de Cucharas Medidoras, set de 5 cucharas. *3 Unidades 
Juego de Tazas medidoras *3 Unidades 
Juego de Cucharones en acero inoxidable 
Set de cuchillos para cocina (1 para carne, 1 para fruta, 1 para verdura, 1 para lácteos) 
Juego de tablas para picar por 6 unidades, en acrílico con código de colores. 
Molinillo de Plástico 
Pinza para alimentos 
Rallador de 4 caras en acero inoxidable 
Tijeras para cocina largo mínimo 20 cm, con mango en polipropileno 
Espátula con mango plástico 
Escurridor de fritos 
Plancha para asar sencilla 
Taza plástica grande 50 litros *2 Unidades 
Bandeja en acero inoxidable *8 Unidades 
Abrelatas"
</t>
  </si>
  <si>
    <t>Incluye:
Tensiómetro genérico para adulto Portátil aneroide manómetro y bomba 300hg brazalete ajustable en velcro y gancho
*2 Unidades
Fonendoscopio genérico para adulto *2 Unidades
Pulsoximetros pantalla LED con SpO2, PR y las medidas de fuerza del pulso interfaz de un solo botón, Apagado automático. Pilas
comunes AAA alcalinas o pilas recargables de soporte de 3 horas continuas de trabajo *2 Unidades
Termómetro Clínico Digital para adulto *6 Unidades
Camilla fija con Barandas, colchoneta de fácil limpieza y desinfección *1 Unidad
Tablero acrílico borrable marco en aluminio 1.60 x 1.20 *1 Unidad
Vitrina mostrador en aluminio de 120 cm vitrinas con entrepaño variables, para almacenamiento de medicamentos, que permita el
almacenamiento bajo llave de los medicamentos de control. *1 Unidad
Contenedores plásticos con tapa para el almacenamiento individual de medicamentos- 1 Por cada participante *60 a 80 Unidades
Nevera tipo bar 45Litros, congelador, Luz/control de temperatura, estante o bandejas en parrilla, una sola puerta y Terminación
Electrostática) *1 Unidad</t>
  </si>
  <si>
    <t>Desgaste y uso de bienes no consumibles Àrea de Talleres para el Programa de Competencias Adaptativas:
Incluye:
Juegos de mesa - 4 parques - 3 domino -  2 loterías de animales - tamaño grande resistentes (fabricados en pasta o madera); 2 loterías de frutas - tamaño grande resistentes (fabricados en pasta o madera).  
* 11 unidades para la ejecución del convenio. 
Juego de Bolos Adulto. * 2 unidades para la ejecución del convenio
Rompecabezas de 12 piezas en adelante con diferentes temáticas. * 6 unidades para la ejecución del convenio
Juegos de encajar figuras geométricas. * 4 Unidades para la ejecución del convenio.
Rana con tablero y argollas. * 1 unidad para la ejecución del convenio.
Trajes de danza folclorica region caribe para hombre talla s-m-l (de acuerdo a los participantes) *6 unidades (trajes completos) para la ejecución del convenio.
Trajes de danza folclorica region andina para mujer talla s-m-l (de acuerdo a los participantes) *6 unidades (trajes completos) para la ejecución del convenio
Juego de Ajedrez. *2 Unidades para la ejecución del convenio.
Trajes de danza folclorica region caribe para mujer talla s-m-l (de acuerdo a los participantes). *6 unidades (trajes completos) para la ejecución del convenio.
Juegos de Ensartado</t>
  </si>
  <si>
    <t>Incluye:
Balón de microfútbol adultos. 60 - 62 cms circunferencia. Peso 450 - 500 grs. Material neumático de butilo. Enmallado en Nylon
100%.
*4 unidades
Balón de voleibol profesional de 65 - 67 cms circunferencia. Peso 260 - 280 grs. Material neumático de butilo de 2 capas.
Enmallado en Nylon 100%.
*4 unidades
Balón baloncesto profesional adulto No. 7. 63 - 73 cm circunferencia. Peso 600 - 800 gr. Material neumático de butilo. Enmallado
en Nylon 100%. *4 unidades
Lazos para saltar individualmente. *20 unidades
Lazos de nylon y polímero de tipo grueso con manijas plásticas de longitud 3m y calibre 1,5cms. *2 unidades.
Aro hula hula de 60 cms. *10 unidades
Conos plásticos de 9 " (conos de entrenamiento deportivos). *6 unidades
Pelotas medianas de caucho- Mediana. Diámetro 7.2 cm. 8.5 cm. Peso. 18 gr. 21 gr. Colores fluorescentes: azul, morado, rojo,
naranja, rosa, amarillo y verde. *15 unidades
4 pares de Patines de 4 ruedas para adulto - Tallas variadas.
4 pares de Protectores - Rodilleras
4 casco para patinaje</t>
  </si>
  <si>
    <t>Incluye:
Desbaratadores * 5 unidades
Cintas Métricas * 5 unidades
Barretones Forjado en una sola pieza en acero * 2 Unidades
Alicates * 2 Unidades
Rastrillo plástico * 2 Unidades
Azadilla de 2 Puntas * 2 unidades
Ganchos o imperdibles en plástico * 10 Unidades
Palas cuadradas * 2 Unidades
Azadón en acero *2 Unidades
Kilos Alambre Dulce * 20 unidades
Escarificadores de tres púas * 2 unidades
Palas de mano * 5 unidades
Tijeras de jardín * 5 unidades
Picas * 2 unidades
Regaderas manuales * 3 unidades
Manguera de 50 metros * 1 unidad
Carretilla grande * 1 unidad
Serrucho de jardín * 1 unidad
Serrucho para madera grande * 1 unidad
Brochas para cal grandes * 2 unidades
Machete * 1 unidad
Pares de guantes de carnaza * 10 Unidades
Carro transportador de basura mediano * 1 unidad
Pirógrafo * 2 Unidades
Tenazas perforadoras * 3 unidades
Punzones para bordar * 10 unidades
Gafas de Protección * 15 Unidades
Telares Aztecas 50 CMS * 5 unidades
Metros de poli sombra negra * 10 unidades
Pistolas de Silicona * 4 Unidades
Reglas metálicas *5 Unidades
Caladora *2 Unidades
Alfileteros Grandes * 2 unidades
Tijeras Rectas * 5 unidades</t>
  </si>
  <si>
    <t xml:space="preserve">Caneca para cocina- con rótulos informativos. 
Caneca negro hermética de 50 a 80 litros. </t>
  </si>
  <si>
    <t xml:space="preserve">4 por brigadista </t>
  </si>
  <si>
    <t>Silbatos.Única entrega  para el talento humano</t>
  </si>
  <si>
    <t xml:space="preserve">42 para centro de 60 y 64 para centros de 80 </t>
  </si>
  <si>
    <t>Sistema electrónico de detección de humo. Los sistemas de detección de humo podrán estar en otros espacios según niel de riesgo del Plan de Emergecias y Contingecias. Única entrega</t>
  </si>
  <si>
    <t>ESPACIO FISICO FUNCIONAL (Instalaciones)</t>
  </si>
  <si>
    <t xml:space="preserve"> 2 tablero  1 por punto ecológico Única entrega </t>
  </si>
  <si>
    <t>ESPACIO FISICO FUNCIONAL (Mantenimiento y Adecuaciones)</t>
  </si>
  <si>
    <t>ESPACIO FISICO FUNCIONAL (Servicios Públicos)</t>
  </si>
  <si>
    <t xml:space="preserve">Piezas comunicativas, Stickers residuos sólidos ordinarios-reciclables  uso eficiente de la energía-uso eficiente del agua –residuos peligrosos – residuos hospitalarios – residuos especiales para cada punto.   2 por cada programa 12 en total. </t>
  </si>
  <si>
    <t>ESPACIO FISICO FUNCIONAL (Gestión Ambiental Y PEC)</t>
  </si>
  <si>
    <t xml:space="preserve">COSTOS POR REALIZACIÓN  </t>
  </si>
  <si>
    <t>1 Única a quien le aplique</t>
  </si>
  <si>
    <t>ESPACIO FISICO FUNCIONAL (Gestión Ambiental y PEC)</t>
  </si>
  <si>
    <t xml:space="preserve">Servicios Públicos, Será obligación del asociado que el inmueble donde esté ubicado el centro cuente con los servicios públicos necesarios, del mismo modo deberá pagarlos oportunamente y evitar la suspensión de los mismos. En caso de la suspensión de los servicios públicos, por el no pago oportuno, el asociado deberá de manera inmediata adelantar las gestiones para el restablecimiento de los servicios suspendidos. En caso que la suspensión conlleve a la amenaza y riesgo de los derechos de las personas con discapacidad, se podrá dar inicio al proceso sancionatorio establecido en el Manual de Contratación y Supervisión de la entidad, ya que se estaría afectando la prestación de la atención.
Si se presenta la suspensión de servicios públicos por factores externos no atribuibles al asociado, éste deberá adelantar las acciones necesarias para garantizar la mitigación del impacto por falta del servicio público y deberá informar a la supervisión sobre la situación y acciones adelantadas. 
El asociado debe garantizar la prestación diaria de los servicios públicos domiciliarios de gas, agua y alcantarillado, energía, internet y teléfono en el Centro Integrarte. En ninguna circunstancia podrá restringir el acceso a los mismos de manera voluntaria. </t>
  </si>
  <si>
    <t xml:space="preserve">El asociado deberá garantizar un servicio de vigilancia de 24 horas los 30 días del mes, para él, deberá dar estricta aplicación a las disposiciones de la Superintendencia de Vigilancia Privada en cuanto a las hormas máximas de jornadas de trabajo y periodicidad en su relevo. 
El asociado deberá garantizar un servicio de vigilancia de 24 horas todos los días del mes, deberá dar estricta aplicación a las disposiciones de la Superintendencia de Vigilancia Privada en cuanto a las normas máximas de jornadas de trabajo y periodicidad en su relevo. 
Debe contar con sistema comunicación permanente vía radio, avantel o walkie talkie con la central de operaciones. 
En materia de tarifas para la contratación de servicios de vigilancia y seguridad privada, el asociado deberá regirse por la Circular Externa Nº 20211300000225 del 29 de diciembre de 2021 o aquella que la modifique, y lo establecido en el numeral 1.1 SERVICIO DE VIGILANCIA Y SEGURIDAD PRIVADA DE VEINTICUATRO (24) HORAS Y TREINTA (30) DIAS AL MES
NOTA:	El asociado deberá garantizar la vigilancia y seguridad en el área total del centro ofertada durante la ejecución del convenio, mediante la celebración de un contrato de vigilancia con una compañía o empresa privada que esté legalmente constituida y que cumpla con la normatividad establecida por la Superintendencia de Vigilancia y Seguridad Privada.  
</t>
  </si>
  <si>
    <t>El asociado contará con un circuito cerrado de televisión CCTV para el centro de atención, con mínimo (16) cámaras de video ubicadas dentro del espacio físico funcional de cada centro. Estas deberán estar ubicadas para cubrir áreas como: linderos, puertas de acceso al centro, dormitorios grupales, pasillos de ingreso a zonas comunes e individuales, zonas de talleres, comedor, zonas donde las personas con discapacidad desarrollan las actividades grupales, lo anterior, con el objetivo de monitorear y garantizar la adecuada intervención y cuidado de los participantes de parte del talento humano y su entorno. La ubicación de las cámaras podrá ser ajustada de acuerdo a la necesidad del servicio a consideración y aprobación del equipo de apoyo de la supervisión. 
Las cámaras de video deberán contar como mínimo con las siguientes especificaciones técnicas básicas: 
• Tecnología digital triplex. 
• De alta definición. 
• Grabación en tiempo real. 
• Almacenamiento digital de 180 días calendario. 
• Cámaras a color, lentes entre 6 y 10mm según la necesidad, auto iris, sensibilidad adecuada para visión nocturna o con emisores infrarrojos. Los equipos que se usen en exteriores deberán tener la protección adecuada en sus contenedores. 
El asociado debe garantizar que, durante toda la ejecución de convenio de asociación o contrato, el circuito cerrado de televisión CCTV y grabación, este funcionando en óptimas condiciones. De presentarse, alguna falla en las cámaras o sistema, deberá informar de manera inmediata, subsanar en un tiempo máximo de (3) días calendario. Si los ajustes requieren mayor tiempo, el asociado deberá tomar medidas de cuidado para cubrir los puntos donde la falla persista, comunicando al equipo de supervisión las medidas tomadas.  
El manejo del circuito cerrado de televisión CCTV deberá estar bajo la responsabilidad del Coordinador del Centro, y las grabaciones tendrán reserva exclusiva para su reproducción y copia, por parte del asociado y la Secretaria Distrital de Integración Social. 
El funcionamiento del circuito cerrado de televisión CCTV para el centro de atención, deberá estar instalado y activo en su totalidad al momento del inicio de ejecución del convenio de asociación. 
El asociado hará un backup del almacenamiento digital, de todas las cámaras, por períodos de 180 días, con el fin de garantizar la custodia y almacenamiento de una copia de seguridad de las grabaciones; podrá hacerlo por menor tiempo. Ese backup, deberá ser entregado a la supervisión en el momento que se requiera o en su defecto a la finalización de la ejecución del convenio de asociación o contrato. 
Se deberá proveer un circuito cerrado de televisión de acuerdo a la descripción anterior, por cada centro o unidad operativa, si dentro de la unidad predial funcionan dos o más lotes, cada uno de ellos deberá tenerlo de manera independiente. La pantalla de revisión de las cámaras deberá estar ubicada en la oficina de Coordinación o espacio de vigilancia y no podrá compartir pantalla con cámaras que no correspondan al Centro o Lote</t>
  </si>
  <si>
    <t xml:space="preserve">La capacidad mínima del vehículo debe ser para 14 personas.  Los vehículos ofertados para la prestación del servicio de transporte, deberán modelo superior al año 2012, de acuerdo a la fecha de la matricula inicial con respecto a la fecha de la prestación de la atención. El vehículo debe disponer de un equipo de comunicación que permita al conductor comunicarse oportunamente con la coordinación del centro en el caso de presentarse algún problema o eventualidad.   Cada vehículo ofertado debe contar con estos equipos, de conformidad con lo establecido con la legislación vigente. Todos los vehículos deben estar en perfectas condiciones de aseo en su parte interior como exterior, así como en su estado mecánico y eléctrico para garantizar que el servicio no se interrumpa y que exista comodidad y seguridad para las personas con discapacidad. 
Garantizar el buen funcionamiento de elementos principales del vehículo como frenos, luces, llantas, dirección, limpiabrisas, espejos, señales auditivas, silletería y salida de emergencia (vidrio de emergencia removible, martillo para la ruptura del vidrio, claraboya superior en buen estado y habilitada para su apertura en caso de emergencia). 
Todos los vehículos deben contar en cada uno de sus asientos con cinturones de seguridad que deberán cumplir con las características técnicas de fijación y anclaje contemplados en la norma ICONTEC NTC 1570 y demás aspectos previstos en la ley 769 del 2002 modificada por la ley 1383 del 2010 y resolución 003027 del 2010, resolución 19200 del 2002 expedida por el ministerio de transporte, así como el decreto distrital 036 del 2009 modificado por el decreto distrital 339 del 2009 y las normas que lo modifiquen y sustituyan. 
Realizar las adaptaciones y ajustes razonables que contemplen puntos de anclaje conforme a lo requerido por las personas (mínimo de tres puntos de tal forma que pueda sujetar el pecho, con un correaje o banda sujetadora, la silla y la pelvis), garantizando una adecuada postura.
Cada vehículo que el asociado utilice debe contar con la documentación vigente durante la ejecución del Convenio de asociación como: tarjeta de propiedad, tarjeta de operación, SOAT, revisión técnico-mecánica, licencia de conducción de los conductores, licencia de tránsito.  Los vehículos deben tener vigente la Póliza de Responsabilidad Civil, Contractual y Extracontractual. 
En caso de que el vehículo ofertado no pueda prestar el servicio por cualquier motivo, el asociado deberá poner a disposición del Centro otro vehículo, en un tiempo que no altere la dinámica del mismo.  
El asociado es responsable de instruir a los conductores que cuando transporten a las personas con discapacidad, deben tomar medidas preventivas como no movilizar el vehículo hasta tanto no estén debidamente acomodados, esperar hasta cuando todos bajen y verificar que la persona con discapacidad sea recogida y entregada por una persona responsable autorizada por el referente familiar. Así mismo, se les debe instruir sobre el cuidado que deben tener en las vías para evitar accidentes, deben contar con conocimiento en seguridad vial, comportamiento con las personas con discapacidad, primeros auxilios, lo anterior en cumplimiento de lo dispuesto en el artículo 2.2.1.6.10.8 requisitos para conducir del decreto 431 del 2017. 
El vehículo designado para cada Centro, debe ser para uso exclusivo del mismo.  Es decir, no puede prestar su servicio a otros Centros o modalidades de Atención, situación a la que se hará seguimiento por parte del equipo de apoyo a la supervisión. En caso de que un proponente resultar seleccionado para varios lotes o grupos, deberá garantizar un vehículo por cada lote.
Y dar cumplimiento a las demás características descritas en el anexo técnico numeral 8.  </t>
  </si>
  <si>
    <t xml:space="preserve">Servicios Funerarios. Para los Servicios funerarios, el asociado debe adquirir una póliza exequial que cubra al total de población ubicada en el Centro durante la ejecución del convenio de acuerdo a los cupos asignados.  Esta póliza se pagará mensualmente como costo fijo, garantizando el servicio de inhumación.   
Al momento del fallecimiento de un participante, si éste no cuenta con referente familiar, no se podrá acceder al servicio de cremación, sin embargo, cuando la persona con discapacidad cuenta con referente familiar y éste expresa su deseo de llevar a cabo este procedimiento, se accederá a su petición, esta deberá quedar registrada en acta debidamente firmada. 
La póliza exequial, se debe pagar por un servicio de las siguientes características: traslado del cuerpo, preparación del cuerpo,  tramites de partida de defunción, cofre o ataúd, servicio de velación, cinta membretada, servicio de cafetería, libro de registro de firmas, carteles de la funeraria, arreglo floral, servicio religioso, transporte de acompañantes, bóveda o urna de Cenizas y demás aspectos que contemple el instructivo por fallecimiento que será entregado por el equipo técnico de la modalidad de Atención Centros Integrarte, durante el primer mes de ejecución del convenio o contrato.
El asociado dentro de su auxiliar contable deberá presentar claramente el rubro por pago de la póliza exequial, con datos como el nombre del prestador del Servicio, razón social y el valor pagado por este concepto el cual no debe superar el valor establecido en la estructura de costos. 
Posterior al fallecimiento, el certificado de fallecimiento y registro civil de defunción debe reposar en la historia social de la persona con discapacidad, estos documentos serán gestionados por el asociado. 
En caso que se deba realizar la exhumación del cadáver, conforme a lo dispuesto en la Resolución 1447 De 2009 del Ministerio de Salud y Protección Social, la Secretaria Distrital de Integración Social verificará el trámite y adelantará las acciones correspondientes.  
NOTA: 		Los servicios funerarios para los Centros Integrarte Atención Interna ubicados en Bogotá, serán asumidos por la SECRETARIA DISTRITAL DE INTEGRACIÓN SOCIAL, a través de la Subdirección ICI (Subdirección para la Identificación, Caracterización e Integración), para lo cual, una vez se presente el fallecimiento, el centro deberá contactar al referente del Servicio Emergencia Social, Modalidad Auxilio Funerario.      
Remitirse al Anexo Técnico </t>
  </si>
  <si>
    <t>Tener en cuenta  los Kit Individual para Mujer y Kit Individual  para Hombre  de acuerdo con el Anexo Técnico</t>
  </si>
  <si>
    <t>Actividad recreativa fuera del municipio de residencia.  Que permita a las personas con discapacidad salir de la rutina de la cotidianidad y cambiar su entorno a través de actividades entretenidas y divertidas, donde las personas disfruten de otros ambientes, piscina, juegos actividades recreativas, transporte alimentación especial, que se constituyan en espacios de integración y esparcimiento para la población. Se debe realizar esta actividad como mínimo dos veces durante la ejecución del Convenio 
* 2 salidas durante la ejecución del convenio.</t>
  </si>
  <si>
    <t>Absorbentes: El asociado deberá entregar pañales a la población que presenta enuresis y para quienes la EPS no hace entrega, con las siguientes características: pañales para adulto absorbentes para incontinencia fuerte, diseño anatómico  con gel absorbente y sustancia control de olor, cubierta exterior suave tipo tela (excepto donde se adhiere las cintas de fijación del pañal, esta zona puede ser en plásticos), barreras laterales anti fuga, elástico en cintura y pierna con zona de absorción, con indicador de humedad, que incluya en el empaque el nombre del producto, nombre del fabricante, cantidad, composición del producto, indicaciones de uso y número de registro sanitario, con cinta adhesiva reutilizable. Tallas S-XL, para incontinencia severa.  No obstante, para quienes no reciben pañales por parte de la EPS, el asociado deberá realizar la solicitud ante la misma a fin de que los provea, dado que, por la naturaleza del elemento, este debe ser entregado por la EPS, acción que estará sujeta al seguimiento por parte del equipo de apoyo a la Supervisión.  
El cálculo se realiza de acuerdo con la caracterización que especifica la enuresis diurna, nocturna o diurna-nocturna, es decir, teniendo en cuenta la población que realmente requiere el uso del pañal.
A continuación, se relaciona el número de pañales requeridos a nivel mensual por cada uno de los Centros teniendo en cuenta: 
Personas con Enuresis diurna: 2 pañales diarios
Personas con Enuresis nocturna: 2 pañales diarios
Personas con Enuresis diurna y nocturna: 4 pañales diarios.  
NOTA 1: 	Los datos del número de personas con enuresis fueron tomados de las mallas de identificación de actores reportadas por los Centros en los cuales se encuentra la población, con corte al 31 de octubre de 2022.    
NOTA 2: 	Teniendo en cuenta que, durante la prestación de la atención, la población que no usa pañal o incluso la que usa puede requerir su uso en situaciones de emergencia tales como: picos diarreicos, hospitalización, ciclos menstruales con hemorragia, se dejará un numero de 7 pañales diarios (210 en total) adicionales a los estipulados en la tabla, para la atención de estas situaciones de emergencia.  Se pagarán los pañales utilizados por las personas que realmente tuvieron alguna de las situaciones de emergencia, una vez realizada la verificación por parte del referente técnico y el equipo de apoyo a la supervisión.   
NOTA 3: 	El cálculo del número de pañales requeridos diariamente se realiza teniendo en cuenta el número de personas que no reciben pañales por parte de la EPS y el tipo de enuresis que presentan. 
NOTA 4: 	Teniendo en cuenta las características de la población y que no todas las personas con discapacidad requieren uso de pañal, los elementos de este ítem pueden variar, por lo cual este elemento dentro de la estructura de costos será incluido en los costos por realización y se pagará el número de pañales realmente utilizados durante el mes, independientemente del número de participantes del Centro.  En otras palabras, se pagarán los pañales utilizados por las personas que realmente presentan enuresis, lo cual será verificado a través de la malla de identificación de actores para cada uno de los Centros con el referente técnico y las fórmulas entregadas por la EPS. 
Remitirse al anexo Técnico Tabla 26.  Absorbentes requeridos en cada lote.</t>
  </si>
  <si>
    <t xml:space="preserve">Instalaciones
Tener en cuenta los requerimientos del anexo técnico CIAI y del Anexo Técnico Componente Ambientes Adecuados y Seguros </t>
  </si>
  <si>
    <t>Cedulación</t>
  </si>
  <si>
    <t>CEDULACIÓN</t>
  </si>
  <si>
    <t>Costos para expedición de duplicados de cedulas de ciudadanía (tipo cedula amarilla con hologramas) de personas que ingresan nuevas al proyecto, que no cuentan con red familiar remitidos como abandonos por la Secretaría Distrital de Salud (máximo 10 durante el plazo del convenio).</t>
  </si>
  <si>
    <t xml:space="preserve">Copia de Cédulas de Ciudadania </t>
  </si>
  <si>
    <t>Resolución 5112 de 2022
 “Por la cual se incrementan las tarifas de los diferentes hechos generadores por los servicios que presta la Registraduría Nacional del Estado Civil”</t>
  </si>
  <si>
    <t xml:space="preserve">VALOR COPIA  CEDULA </t>
  </si>
  <si>
    <t>% SMMLV PROMEDIO</t>
  </si>
  <si>
    <t xml:space="preserve"> % IPC PROMEDIO</t>
  </si>
  <si>
    <t>ESPACIO FISICO FUNCIONAL (Diagnóstico y la revisión de sistemas de transporte vertical)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</si>
</sst>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quot;$ &quot;* #,##0.00_);_(&quot;$ &quot;* \(#,##0.00\);_(&quot;$ &quot;* \-??_);_(@_)"/>
    <numFmt numFmtId="166" formatCode="_-&quot;$&quot;\ * #,##0_-;\-&quot;$&quot;\ * #,##0_-;_-&quot;$&quot;\ * &quot;-&quot;??_-;_-@_-"/>
    <numFmt numFmtId="167" formatCode="_-&quot;$&quot;\ * #,##0.000_-;\-&quot;$&quot;\ * #,##0.000_-;_-&quot;$&quot;\ * &quot;-&quot;??_-;_-@_-"/>
    <numFmt numFmtId="168" formatCode="_-* #,##0_-;\-* #,##0_-;_-* &quot;-&quot;??_-;_-@_-"/>
  </numFmts>
  <fonts count="11" x14ac:knownFonts="1">
    <font>
      <sz val="11"/>
      <color theme="1"/>
      <name val="Calibri"/>
      <family val="2"/>
      <scheme val="minor"/>
    </font>
    <font>
      <sz val="8"/>
      <name val="Calibri"/>
      <family val="2"/>
      <scheme val="minor"/>
    </font>
    <font>
      <sz val="10"/>
      <name val="Arial"/>
      <family val="2"/>
    </font>
    <font>
      <b/>
      <sz val="10"/>
      <name val="Calibri"/>
      <family val="2"/>
      <scheme val="minor"/>
    </font>
    <font>
      <sz val="10"/>
      <name val="Calibri"/>
      <family val="2"/>
      <scheme val="minor"/>
    </font>
    <font>
      <sz val="11"/>
      <name val="Calibri"/>
      <family val="2"/>
      <scheme val="minor"/>
    </font>
    <font>
      <b/>
      <sz val="14"/>
      <name val="Calibri"/>
      <family val="2"/>
      <scheme val="minor"/>
    </font>
    <font>
      <sz val="11"/>
      <color theme="1"/>
      <name val="Calibri"/>
      <family val="2"/>
      <scheme val="minor"/>
    </font>
    <font>
      <i/>
      <sz val="11"/>
      <name val="Arial"/>
      <family val="2"/>
    </font>
    <font>
      <sz val="11"/>
      <name val="Arial"/>
      <family val="2"/>
    </font>
    <font>
      <b/>
      <sz val="10"/>
      <name val="Arial Narrow"/>
      <family val="2"/>
    </font>
  </fonts>
  <fills count="4">
    <fill>
      <patternFill patternType="none"/>
    </fill>
    <fill>
      <patternFill patternType="gray125"/>
    </fill>
    <fill>
      <patternFill patternType="solid">
        <fgColor theme="4" tint="0.59999389629810485"/>
        <bgColor indexed="64"/>
      </patternFill>
    </fill>
    <fill>
      <patternFill patternType="solid">
        <fgColor theme="9"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xf numFmtId="164" fontId="2" fillId="0" borderId="0" applyFill="0" applyBorder="0" applyAlignment="0" applyProtection="0"/>
    <xf numFmtId="0" fontId="2"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cellStyleXfs>
  <cellXfs count="74">
    <xf numFmtId="0" fontId="0" fillId="0" borderId="0" xfId="0"/>
    <xf numFmtId="0" fontId="4" fillId="0" borderId="0" xfId="0" applyFont="1" applyFill="1" applyAlignment="1">
      <alignment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0" xfId="0" applyFont="1" applyFill="1" applyAlignment="1">
      <alignment horizontal="center" vertical="center" wrapText="1"/>
    </xf>
    <xf numFmtId="44" fontId="4" fillId="0" borderId="0" xfId="0" applyNumberFormat="1" applyFont="1" applyFill="1" applyAlignment="1">
      <alignment vertical="center" wrapText="1"/>
    </xf>
    <xf numFmtId="44" fontId="4" fillId="0" borderId="1" xfId="4" applyFont="1" applyFill="1" applyBorder="1" applyAlignment="1">
      <alignment vertical="center" wrapText="1"/>
    </xf>
    <xf numFmtId="44" fontId="4" fillId="0" borderId="0" xfId="4" applyFont="1" applyFill="1" applyAlignment="1">
      <alignment vertical="center" wrapText="1"/>
    </xf>
    <xf numFmtId="167" fontId="4" fillId="0" borderId="1" xfId="4" applyNumberFormat="1" applyFont="1" applyFill="1" applyBorder="1" applyAlignment="1">
      <alignment vertical="center" wrapText="1"/>
    </xf>
    <xf numFmtId="168" fontId="4" fillId="0" borderId="0" xfId="3" applyNumberFormat="1" applyFont="1" applyFill="1" applyBorder="1" applyAlignment="1">
      <alignment vertical="center" wrapText="1"/>
    </xf>
    <xf numFmtId="43" fontId="4" fillId="0" borderId="0" xfId="3" applyFont="1" applyFill="1" applyAlignment="1">
      <alignment vertical="center" wrapText="1"/>
    </xf>
    <xf numFmtId="44" fontId="3" fillId="0" borderId="1" xfId="4" applyFont="1" applyFill="1" applyBorder="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44" fontId="4" fillId="0" borderId="1" xfId="0" applyNumberFormat="1" applyFont="1" applyFill="1" applyBorder="1" applyAlignment="1">
      <alignment vertical="center" wrapText="1"/>
    </xf>
    <xf numFmtId="166" fontId="4" fillId="0" borderId="1" xfId="4" applyNumberFormat="1" applyFont="1" applyFill="1" applyBorder="1" applyAlignment="1">
      <alignment vertical="center" wrapText="1"/>
    </xf>
    <xf numFmtId="167" fontId="4" fillId="0" borderId="0" xfId="4" applyNumberFormat="1" applyFont="1" applyFill="1" applyAlignment="1">
      <alignment vertical="center" wrapText="1"/>
    </xf>
    <xf numFmtId="0" fontId="6" fillId="0" borderId="0" xfId="0" applyFont="1" applyFill="1" applyBorder="1" applyAlignment="1">
      <alignment horizontal="center" vertical="center" wrapText="1"/>
    </xf>
    <xf numFmtId="166" fontId="6" fillId="0" borderId="0" xfId="4" applyNumberFormat="1" applyFont="1" applyFill="1" applyBorder="1" applyAlignment="1">
      <alignment horizontal="center" vertical="center" wrapText="1"/>
    </xf>
    <xf numFmtId="0" fontId="9" fillId="0" borderId="1" xfId="0" applyFont="1" applyFill="1" applyBorder="1" applyAlignment="1">
      <alignment horizontal="left" vertical="center" wrapText="1"/>
    </xf>
    <xf numFmtId="0" fontId="9" fillId="0" borderId="1" xfId="0" applyFont="1" applyFill="1" applyBorder="1" applyAlignment="1">
      <alignment vertical="center" wrapText="1"/>
    </xf>
    <xf numFmtId="43" fontId="4" fillId="0" borderId="1" xfId="3" applyFont="1" applyFill="1" applyBorder="1" applyAlignment="1">
      <alignment vertical="center" wrapText="1"/>
    </xf>
    <xf numFmtId="44" fontId="5" fillId="0" borderId="1" xfId="4" applyFont="1" applyFill="1" applyBorder="1" applyAlignment="1">
      <alignment horizontal="left" vertical="center"/>
    </xf>
    <xf numFmtId="166" fontId="5" fillId="0" borderId="1" xfId="4" applyNumberFormat="1" applyFont="1" applyFill="1" applyBorder="1" applyAlignment="1">
      <alignment horizontal="left"/>
    </xf>
    <xf numFmtId="0" fontId="5" fillId="0" borderId="1" xfId="0" applyFont="1" applyFill="1" applyBorder="1" applyAlignment="1">
      <alignment horizontal="left"/>
    </xf>
    <xf numFmtId="0" fontId="5" fillId="0" borderId="0" xfId="0" applyFont="1" applyFill="1" applyAlignment="1">
      <alignment horizontal="left"/>
    </xf>
    <xf numFmtId="0" fontId="2" fillId="0" borderId="1" xfId="0" applyFont="1" applyFill="1" applyBorder="1" applyAlignment="1">
      <alignment vertical="center" wrapText="1"/>
    </xf>
    <xf numFmtId="166" fontId="3" fillId="0" borderId="1" xfId="4" applyNumberFormat="1" applyFont="1" applyFill="1" applyBorder="1" applyAlignment="1">
      <alignment horizontal="center" vertical="center" wrapText="1"/>
    </xf>
    <xf numFmtId="44" fontId="5" fillId="0" borderId="1" xfId="4" applyFont="1" applyFill="1" applyBorder="1" applyAlignment="1">
      <alignment horizontal="left"/>
    </xf>
    <xf numFmtId="0" fontId="4" fillId="0" borderId="0" xfId="0" applyFont="1" applyFill="1" applyAlignment="1">
      <alignment horizontal="left" vertical="center" wrapText="1"/>
    </xf>
    <xf numFmtId="0" fontId="6" fillId="0" borderId="9" xfId="0" applyFont="1" applyFill="1" applyBorder="1" applyAlignment="1">
      <alignment horizontal="center" vertical="center" wrapText="1"/>
    </xf>
    <xf numFmtId="0" fontId="4" fillId="0" borderId="2" xfId="0" applyFont="1" applyFill="1" applyBorder="1" applyAlignment="1">
      <alignment vertical="center" wrapText="1"/>
    </xf>
    <xf numFmtId="0" fontId="4" fillId="0" borderId="2" xfId="0" applyFont="1" applyFill="1" applyBorder="1" applyAlignment="1">
      <alignment horizontal="center" vertical="center" wrapText="1"/>
    </xf>
    <xf numFmtId="44" fontId="4" fillId="0" borderId="2" xfId="4" applyFont="1" applyFill="1" applyBorder="1" applyAlignment="1">
      <alignment vertical="center" wrapText="1"/>
    </xf>
    <xf numFmtId="166" fontId="4" fillId="0" borderId="2" xfId="4" applyNumberFormat="1" applyFont="1" applyFill="1" applyBorder="1" applyAlignment="1">
      <alignment vertical="center" wrapText="1"/>
    </xf>
    <xf numFmtId="44" fontId="4" fillId="0" borderId="1" xfId="4" applyFont="1" applyFill="1" applyBorder="1" applyAlignment="1">
      <alignment horizontal="center" vertical="center" wrapText="1"/>
    </xf>
    <xf numFmtId="44" fontId="9" fillId="0" borderId="1" xfId="0" applyNumberFormat="1" applyFont="1" applyFill="1" applyBorder="1" applyAlignment="1">
      <alignment vertical="center" wrapText="1"/>
    </xf>
    <xf numFmtId="44" fontId="9" fillId="0" borderId="1" xfId="0" applyNumberFormat="1" applyFont="1" applyFill="1" applyBorder="1" applyAlignment="1">
      <alignment horizontal="center" vertical="center" wrapText="1"/>
    </xf>
    <xf numFmtId="167" fontId="9" fillId="0" borderId="1" xfId="0" applyNumberFormat="1" applyFont="1" applyFill="1" applyBorder="1" applyAlignment="1">
      <alignment vertical="center" wrapText="1"/>
    </xf>
    <xf numFmtId="44" fontId="10" fillId="0" borderId="1" xfId="3"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44" fontId="3" fillId="2" borderId="6" xfId="4" applyFont="1" applyFill="1" applyBorder="1" applyAlignment="1">
      <alignment horizontal="center" vertical="center" wrapText="1"/>
    </xf>
    <xf numFmtId="167" fontId="3" fillId="2" borderId="6" xfId="4" applyNumberFormat="1" applyFont="1" applyFill="1" applyBorder="1" applyAlignment="1">
      <alignment horizontal="center" vertical="center" wrapText="1"/>
    </xf>
    <xf numFmtId="43" fontId="3" fillId="2" borderId="6" xfId="3" applyFont="1" applyFill="1" applyBorder="1" applyAlignment="1">
      <alignment horizontal="center" vertical="center" wrapText="1"/>
    </xf>
    <xf numFmtId="0" fontId="3" fillId="2" borderId="10"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5" fillId="0" borderId="1" xfId="0" applyFont="1" applyFill="1" applyBorder="1" applyAlignment="1">
      <alignment vertical="center" wrapText="1"/>
    </xf>
    <xf numFmtId="44" fontId="3" fillId="0" borderId="5" xfId="4" applyFont="1" applyFill="1" applyBorder="1" applyAlignment="1">
      <alignment vertical="center" wrapText="1"/>
    </xf>
    <xf numFmtId="9" fontId="3" fillId="0" borderId="10" xfId="4" applyNumberFormat="1" applyFont="1" applyFill="1" applyBorder="1" applyAlignment="1">
      <alignment vertical="center" wrapText="1"/>
    </xf>
    <xf numFmtId="10" fontId="3" fillId="0" borderId="10" xfId="5" applyNumberFormat="1" applyFont="1" applyFill="1" applyBorder="1" applyAlignment="1">
      <alignment vertical="center" wrapText="1"/>
    </xf>
    <xf numFmtId="0" fontId="5" fillId="0" borderId="1" xfId="0" applyFont="1" applyFill="1" applyBorder="1" applyAlignment="1">
      <alignment horizontal="left" wrapText="1"/>
    </xf>
    <xf numFmtId="166" fontId="4" fillId="0" borderId="1" xfId="0" applyNumberFormat="1" applyFont="1" applyFill="1" applyBorder="1" applyAlignment="1">
      <alignment vertical="center" wrapText="1"/>
    </xf>
    <xf numFmtId="0" fontId="4" fillId="0" borderId="1" xfId="0" applyFont="1" applyFill="1" applyBorder="1" applyAlignment="1">
      <alignment horizontal="left" vertical="center"/>
    </xf>
    <xf numFmtId="44" fontId="4" fillId="0" borderId="1" xfId="0"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44" fontId="3" fillId="0" borderId="7" xfId="4" applyFont="1" applyFill="1" applyBorder="1" applyAlignment="1">
      <alignment vertical="center" wrapText="1"/>
    </xf>
    <xf numFmtId="9" fontId="3" fillId="0" borderId="7" xfId="4" applyNumberFormat="1" applyFont="1" applyFill="1" applyBorder="1" applyAlignment="1">
      <alignment vertical="center" wrapText="1"/>
    </xf>
    <xf numFmtId="167" fontId="3" fillId="0" borderId="0" xfId="4" applyNumberFormat="1" applyFont="1" applyFill="1" applyBorder="1" applyAlignment="1">
      <alignment vertical="center" wrapText="1"/>
    </xf>
    <xf numFmtId="168" fontId="4" fillId="0" borderId="0" xfId="3" applyNumberFormat="1" applyFont="1" applyFill="1" applyBorder="1" applyAlignment="1">
      <alignment horizontal="right" vertical="center" wrapText="1"/>
    </xf>
    <xf numFmtId="0" fontId="3" fillId="0" borderId="11" xfId="0" applyFont="1" applyFill="1" applyBorder="1" applyAlignment="1">
      <alignment vertical="center" wrapText="1"/>
    </xf>
    <xf numFmtId="0" fontId="4" fillId="0" borderId="12" xfId="0" applyFont="1" applyFill="1" applyBorder="1" applyAlignment="1">
      <alignment horizontal="right" vertical="center" wrapText="1"/>
    </xf>
    <xf numFmtId="0" fontId="4" fillId="0" borderId="13" xfId="0" applyFont="1" applyFill="1" applyBorder="1" applyAlignment="1">
      <alignment horizontal="right" vertical="center" wrapText="1"/>
    </xf>
    <xf numFmtId="167" fontId="3" fillId="0" borderId="14" xfId="4" applyNumberFormat="1" applyFont="1" applyFill="1" applyBorder="1" applyAlignment="1">
      <alignment vertical="center" wrapText="1"/>
    </xf>
    <xf numFmtId="168" fontId="4" fillId="0" borderId="15" xfId="3" applyNumberFormat="1" applyFont="1" applyFill="1" applyBorder="1" applyAlignment="1">
      <alignment horizontal="right" vertical="center" wrapText="1"/>
    </xf>
    <xf numFmtId="168" fontId="4" fillId="0" borderId="16" xfId="3" applyNumberFormat="1" applyFont="1" applyFill="1" applyBorder="1" applyAlignment="1">
      <alignment horizontal="right" vertical="center" wrapText="1"/>
    </xf>
  </cellXfs>
  <cellStyles count="6">
    <cellStyle name="Millares" xfId="3" builtinId="3"/>
    <cellStyle name="Moneda" xfId="4" builtinId="4"/>
    <cellStyle name="Moneda 2 2 5" xfId="1" xr:uid="{00000000-0005-0000-0000-000002000000}"/>
    <cellStyle name="Normal" xfId="0" builtinId="0"/>
    <cellStyle name="Normal 2" xfId="2" xr:uid="{00000000-0005-0000-0000-000004000000}"/>
    <cellStyle name="Porcentaje" xfId="5" builtinId="5"/>
  </cellStyles>
  <dxfs count="0"/>
  <tableStyles count="0" defaultTableStyle="TableStyleMedium2" defaultPivotStyle="PivotStyleLight16"/>
  <colors>
    <mruColors>
      <color rgb="FFFF3399"/>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2:R243"/>
  <sheetViews>
    <sheetView showGridLines="0" tabSelected="1" zoomScale="69" zoomScaleNormal="69" workbookViewId="0">
      <pane ySplit="7" topLeftCell="A8" activePane="bottomLeft" state="frozen"/>
      <selection pane="bottomLeft" activeCell="G245" sqref="G245"/>
    </sheetView>
  </sheetViews>
  <sheetFormatPr baseColWidth="10" defaultColWidth="11.42578125" defaultRowHeight="12.75" x14ac:dyDescent="0.25"/>
  <cols>
    <col min="1" max="2" width="32.28515625" style="1" customWidth="1"/>
    <col min="3" max="3" width="48.85546875" style="1" customWidth="1"/>
    <col min="4" max="4" width="25.7109375" style="4" customWidth="1"/>
    <col min="5" max="5" width="17.7109375" style="30" customWidth="1"/>
    <col min="6" max="6" width="20.140625" style="1" customWidth="1"/>
    <col min="7" max="7" width="18.28515625" style="1" customWidth="1"/>
    <col min="8" max="8" width="19.42578125" style="1" customWidth="1"/>
    <col min="9" max="9" width="17.28515625" style="7" customWidth="1"/>
    <col min="10" max="10" width="15.140625" style="7" customWidth="1"/>
    <col min="11" max="11" width="18.42578125" style="17" customWidth="1"/>
    <col min="12" max="12" width="17.7109375" style="1" customWidth="1"/>
    <col min="13" max="13" width="19.5703125" style="10" customWidth="1"/>
    <col min="14" max="15" width="19.140625" style="10" customWidth="1"/>
    <col min="16" max="16" width="20.85546875" style="1" customWidth="1"/>
    <col min="17" max="17" width="19.140625" style="1" customWidth="1"/>
    <col min="18" max="16384" width="11.42578125" style="1"/>
  </cols>
  <sheetData>
    <row r="2" spans="1:17" ht="26.25" hidden="1" customHeight="1" thickBot="1" x14ac:dyDescent="0.3">
      <c r="H2" s="5"/>
      <c r="I2" s="55" t="s">
        <v>510</v>
      </c>
      <c r="J2" s="57">
        <v>7.85E-2</v>
      </c>
      <c r="L2" s="68" t="s">
        <v>402</v>
      </c>
      <c r="M2" s="69">
        <v>60</v>
      </c>
      <c r="N2" s="70">
        <v>80</v>
      </c>
      <c r="O2" s="1"/>
    </row>
    <row r="3" spans="1:17" ht="26.25" hidden="1" customHeight="1" thickBot="1" x14ac:dyDescent="0.3">
      <c r="I3" s="55" t="s">
        <v>509</v>
      </c>
      <c r="J3" s="56">
        <v>0.1</v>
      </c>
      <c r="L3" s="71" t="s">
        <v>403</v>
      </c>
      <c r="M3" s="72">
        <v>30</v>
      </c>
      <c r="N3" s="73">
        <v>40</v>
      </c>
      <c r="O3" s="9"/>
    </row>
    <row r="4" spans="1:17" ht="26.25" customHeight="1" thickBot="1" x14ac:dyDescent="0.3">
      <c r="I4" s="64"/>
      <c r="J4" s="65"/>
      <c r="L4" s="66"/>
      <c r="M4" s="67"/>
      <c r="N4" s="67"/>
      <c r="O4" s="9"/>
    </row>
    <row r="5" spans="1:17" ht="48.75" customHeight="1" thickBot="1" x14ac:dyDescent="0.3">
      <c r="A5" s="50" t="s">
        <v>202</v>
      </c>
      <c r="B5" s="51"/>
      <c r="C5" s="51"/>
      <c r="D5" s="51"/>
      <c r="E5" s="51"/>
      <c r="F5" s="51"/>
      <c r="G5" s="51"/>
      <c r="H5" s="51"/>
      <c r="I5" s="53"/>
      <c r="J5" s="53"/>
      <c r="K5" s="51"/>
      <c r="L5" s="51"/>
      <c r="M5" s="51"/>
      <c r="N5" s="51"/>
      <c r="O5" s="51"/>
      <c r="P5" s="51"/>
      <c r="Q5" s="52"/>
    </row>
    <row r="6" spans="1:17" ht="18" hidden="1" customHeight="1" thickBot="1" x14ac:dyDescent="0.3">
      <c r="A6" s="31"/>
      <c r="B6" s="18"/>
      <c r="C6" s="18"/>
      <c r="D6" s="18"/>
      <c r="E6" s="18"/>
      <c r="F6" s="18"/>
      <c r="G6" s="18"/>
      <c r="H6" s="18"/>
      <c r="I6" s="19"/>
      <c r="J6" s="19"/>
      <c r="K6" s="19">
        <f>+SUBTOTAL(9,K8:K237)</f>
        <v>48492811</v>
      </c>
      <c r="L6" s="19"/>
      <c r="M6" s="19">
        <f>+SUBTOTAL(9,M8:M237)</f>
        <v>307282650</v>
      </c>
      <c r="N6" s="19">
        <f>+SUBTOTAL(9,N8:N237)</f>
        <v>409710200</v>
      </c>
      <c r="O6" s="19">
        <f>+SUBTOTAL(9,O8:O237)</f>
        <v>13236721</v>
      </c>
      <c r="P6" s="19">
        <f>+SUBTOTAL(9,P8:P237)</f>
        <v>6903248</v>
      </c>
      <c r="Q6" s="19">
        <f>+SUBTOTAL(9,Q8:Q237)</f>
        <v>9200796</v>
      </c>
    </row>
    <row r="7" spans="1:17" s="12" customFormat="1" ht="62.25" customHeight="1" thickBot="1" x14ac:dyDescent="0.3">
      <c r="A7" s="42" t="s">
        <v>24</v>
      </c>
      <c r="B7" s="43" t="s">
        <v>34</v>
      </c>
      <c r="C7" s="43" t="s">
        <v>147</v>
      </c>
      <c r="D7" s="43" t="s">
        <v>0</v>
      </c>
      <c r="E7" s="43" t="s">
        <v>32</v>
      </c>
      <c r="F7" s="43" t="s">
        <v>31</v>
      </c>
      <c r="G7" s="43" t="s">
        <v>360</v>
      </c>
      <c r="H7" s="43" t="s">
        <v>388</v>
      </c>
      <c r="I7" s="44" t="s">
        <v>386</v>
      </c>
      <c r="J7" s="44" t="s">
        <v>461</v>
      </c>
      <c r="K7" s="45" t="s">
        <v>387</v>
      </c>
      <c r="L7" s="43" t="s">
        <v>385</v>
      </c>
      <c r="M7" s="46" t="s">
        <v>400</v>
      </c>
      <c r="N7" s="46" t="s">
        <v>401</v>
      </c>
      <c r="O7" s="46" t="s">
        <v>406</v>
      </c>
      <c r="P7" s="43" t="s">
        <v>404</v>
      </c>
      <c r="Q7" s="47" t="s">
        <v>405</v>
      </c>
    </row>
    <row r="8" spans="1:17" ht="277.14999999999998" customHeight="1" x14ac:dyDescent="0.25">
      <c r="A8" s="32" t="s">
        <v>193</v>
      </c>
      <c r="B8" s="32" t="s">
        <v>193</v>
      </c>
      <c r="C8" s="32" t="s">
        <v>501</v>
      </c>
      <c r="D8" s="33" t="s">
        <v>216</v>
      </c>
      <c r="E8" s="32" t="s">
        <v>51</v>
      </c>
      <c r="F8" s="32" t="s">
        <v>192</v>
      </c>
      <c r="G8" s="32" t="s">
        <v>38</v>
      </c>
      <c r="H8" s="32" t="s">
        <v>390</v>
      </c>
      <c r="I8" s="34">
        <v>4046</v>
      </c>
      <c r="J8" s="34"/>
      <c r="K8" s="35"/>
      <c r="L8" s="32" t="s">
        <v>396</v>
      </c>
      <c r="M8" s="32"/>
      <c r="N8" s="32"/>
      <c r="O8" s="32"/>
      <c r="P8" s="32"/>
      <c r="Q8" s="32"/>
    </row>
    <row r="9" spans="1:17" ht="51" customHeight="1" x14ac:dyDescent="0.25">
      <c r="A9" s="3" t="s">
        <v>143</v>
      </c>
      <c r="B9" s="3" t="s">
        <v>184</v>
      </c>
      <c r="C9" s="3" t="s">
        <v>214</v>
      </c>
      <c r="D9" s="13" t="s">
        <v>144</v>
      </c>
      <c r="E9" s="3" t="s">
        <v>51</v>
      </c>
      <c r="F9" s="3" t="s">
        <v>145</v>
      </c>
      <c r="G9" s="3" t="s">
        <v>45</v>
      </c>
      <c r="H9" s="3" t="s">
        <v>399</v>
      </c>
      <c r="I9" s="6">
        <v>3973</v>
      </c>
      <c r="J9" s="6"/>
      <c r="K9" s="16"/>
      <c r="L9" s="54" t="s">
        <v>393</v>
      </c>
      <c r="M9" s="6">
        <f>+I9*$M$2</f>
        <v>238380</v>
      </c>
      <c r="N9" s="6">
        <f>+I9*$N$2</f>
        <v>317840</v>
      </c>
      <c r="O9" s="3"/>
      <c r="P9" s="3"/>
      <c r="Q9" s="3"/>
    </row>
    <row r="10" spans="1:17" ht="51" customHeight="1" x14ac:dyDescent="0.25">
      <c r="A10" s="3" t="s">
        <v>143</v>
      </c>
      <c r="B10" s="3" t="s">
        <v>184</v>
      </c>
      <c r="C10" s="27" t="s">
        <v>199</v>
      </c>
      <c r="D10" s="13" t="s">
        <v>144</v>
      </c>
      <c r="E10" s="3" t="s">
        <v>51</v>
      </c>
      <c r="F10" s="3" t="s">
        <v>145</v>
      </c>
      <c r="G10" s="3" t="s">
        <v>45</v>
      </c>
      <c r="H10" s="3" t="s">
        <v>399</v>
      </c>
      <c r="I10" s="6">
        <v>1821</v>
      </c>
      <c r="J10" s="6"/>
      <c r="K10" s="16"/>
      <c r="L10" s="54" t="s">
        <v>393</v>
      </c>
      <c r="M10" s="6">
        <f t="shared" ref="M10:M13" si="0">+I10*$M$2</f>
        <v>109260</v>
      </c>
      <c r="N10" s="6">
        <f t="shared" ref="N10:N13" si="1">+I10*$N$2</f>
        <v>145680</v>
      </c>
      <c r="O10" s="3"/>
      <c r="P10" s="3"/>
      <c r="Q10" s="3"/>
    </row>
    <row r="11" spans="1:17" ht="51" customHeight="1" x14ac:dyDescent="0.25">
      <c r="A11" s="3" t="s">
        <v>143</v>
      </c>
      <c r="B11" s="3" t="s">
        <v>187</v>
      </c>
      <c r="C11" s="3" t="s">
        <v>215</v>
      </c>
      <c r="D11" s="13" t="s">
        <v>144</v>
      </c>
      <c r="E11" s="3" t="s">
        <v>51</v>
      </c>
      <c r="F11" s="3" t="s">
        <v>145</v>
      </c>
      <c r="G11" s="3" t="s">
        <v>45</v>
      </c>
      <c r="H11" s="3" t="s">
        <v>399</v>
      </c>
      <c r="I11" s="6">
        <v>6535</v>
      </c>
      <c r="J11" s="6"/>
      <c r="K11" s="16"/>
      <c r="L11" s="54" t="s">
        <v>393</v>
      </c>
      <c r="M11" s="6">
        <f t="shared" si="0"/>
        <v>392100</v>
      </c>
      <c r="N11" s="6">
        <f t="shared" si="1"/>
        <v>522800</v>
      </c>
      <c r="O11" s="3"/>
      <c r="P11" s="3"/>
      <c r="Q11" s="3"/>
    </row>
    <row r="12" spans="1:17" ht="51" customHeight="1" x14ac:dyDescent="0.25">
      <c r="A12" s="3" t="s">
        <v>143</v>
      </c>
      <c r="B12" s="3" t="s">
        <v>187</v>
      </c>
      <c r="C12" s="3" t="s">
        <v>200</v>
      </c>
      <c r="D12" s="13" t="s">
        <v>144</v>
      </c>
      <c r="E12" s="3" t="s">
        <v>51</v>
      </c>
      <c r="F12" s="3" t="s">
        <v>145</v>
      </c>
      <c r="G12" s="3" t="s">
        <v>45</v>
      </c>
      <c r="H12" s="3" t="s">
        <v>399</v>
      </c>
      <c r="I12" s="6">
        <v>3063</v>
      </c>
      <c r="J12" s="6"/>
      <c r="K12" s="16"/>
      <c r="L12" s="54" t="s">
        <v>393</v>
      </c>
      <c r="M12" s="6">
        <f t="shared" si="0"/>
        <v>183780</v>
      </c>
      <c r="N12" s="6">
        <f t="shared" si="1"/>
        <v>245040</v>
      </c>
      <c r="O12" s="3"/>
      <c r="P12" s="3"/>
      <c r="Q12" s="3"/>
    </row>
    <row r="13" spans="1:17" s="12" customFormat="1" ht="46.5" customHeight="1" x14ac:dyDescent="0.25">
      <c r="A13" s="3" t="s">
        <v>143</v>
      </c>
      <c r="B13" s="3" t="s">
        <v>187</v>
      </c>
      <c r="C13" s="3" t="s">
        <v>201</v>
      </c>
      <c r="D13" s="13" t="s">
        <v>144</v>
      </c>
      <c r="E13" s="3" t="s">
        <v>51</v>
      </c>
      <c r="F13" s="3" t="s">
        <v>145</v>
      </c>
      <c r="G13" s="3" t="s">
        <v>45</v>
      </c>
      <c r="H13" s="3" t="s">
        <v>399</v>
      </c>
      <c r="I13" s="36">
        <v>5432</v>
      </c>
      <c r="J13" s="11"/>
      <c r="K13" s="28"/>
      <c r="L13" s="54" t="s">
        <v>393</v>
      </c>
      <c r="M13" s="6">
        <f t="shared" si="0"/>
        <v>325920</v>
      </c>
      <c r="N13" s="6">
        <f t="shared" si="1"/>
        <v>434560</v>
      </c>
      <c r="O13" s="2"/>
      <c r="P13" s="2"/>
      <c r="Q13" s="2"/>
    </row>
    <row r="14" spans="1:17" ht="42.6" customHeight="1" x14ac:dyDescent="0.25">
      <c r="A14" s="3" t="s">
        <v>62</v>
      </c>
      <c r="B14" s="3" t="s">
        <v>178</v>
      </c>
      <c r="C14" s="3" t="s">
        <v>63</v>
      </c>
      <c r="D14" s="13" t="s">
        <v>106</v>
      </c>
      <c r="E14" s="3" t="s">
        <v>51</v>
      </c>
      <c r="F14" s="3" t="s">
        <v>27</v>
      </c>
      <c r="G14" s="3" t="s">
        <v>140</v>
      </c>
      <c r="H14" s="14" t="s">
        <v>390</v>
      </c>
      <c r="I14" s="6">
        <v>80507</v>
      </c>
      <c r="J14" s="6"/>
      <c r="K14" s="6">
        <f>I14*2</f>
        <v>161014</v>
      </c>
      <c r="L14" s="3" t="s">
        <v>396</v>
      </c>
      <c r="M14" s="3"/>
      <c r="N14" s="3"/>
      <c r="O14" s="3"/>
      <c r="P14" s="3"/>
      <c r="Q14" s="3"/>
    </row>
    <row r="15" spans="1:17" ht="42.6" customHeight="1" x14ac:dyDescent="0.25">
      <c r="A15" s="3" t="s">
        <v>62</v>
      </c>
      <c r="B15" s="3" t="s">
        <v>178</v>
      </c>
      <c r="C15" s="3" t="s">
        <v>122</v>
      </c>
      <c r="D15" s="13" t="s">
        <v>123</v>
      </c>
      <c r="E15" s="3" t="s">
        <v>51</v>
      </c>
      <c r="F15" s="3" t="s">
        <v>27</v>
      </c>
      <c r="G15" s="3" t="s">
        <v>140</v>
      </c>
      <c r="H15" s="14" t="s">
        <v>390</v>
      </c>
      <c r="I15" s="6">
        <v>87162</v>
      </c>
      <c r="J15" s="6"/>
      <c r="K15" s="6">
        <f>I15*1</f>
        <v>87162</v>
      </c>
      <c r="L15" s="3" t="s">
        <v>396</v>
      </c>
      <c r="M15" s="3"/>
      <c r="N15" s="3"/>
      <c r="O15" s="3"/>
      <c r="P15" s="3"/>
      <c r="Q15" s="3"/>
    </row>
    <row r="16" spans="1:17" ht="42.6" customHeight="1" x14ac:dyDescent="0.25">
      <c r="A16" s="3" t="s">
        <v>62</v>
      </c>
      <c r="B16" s="3" t="s">
        <v>178</v>
      </c>
      <c r="C16" s="3" t="s">
        <v>218</v>
      </c>
      <c r="D16" s="13" t="s">
        <v>107</v>
      </c>
      <c r="E16" s="3" t="s">
        <v>51</v>
      </c>
      <c r="F16" s="3" t="s">
        <v>27</v>
      </c>
      <c r="G16" s="3" t="s">
        <v>140</v>
      </c>
      <c r="H16" s="14" t="s">
        <v>390</v>
      </c>
      <c r="I16" s="6">
        <v>12355</v>
      </c>
      <c r="J16" s="6"/>
      <c r="K16" s="6">
        <f>I16*5</f>
        <v>61775</v>
      </c>
      <c r="L16" s="3" t="s">
        <v>396</v>
      </c>
      <c r="M16" s="3"/>
      <c r="N16" s="3"/>
      <c r="O16" s="3"/>
      <c r="P16" s="3"/>
      <c r="Q16" s="3"/>
    </row>
    <row r="17" spans="1:17" ht="42.6" customHeight="1" x14ac:dyDescent="0.25">
      <c r="A17" s="3" t="s">
        <v>62</v>
      </c>
      <c r="B17" s="3" t="s">
        <v>178</v>
      </c>
      <c r="C17" s="3" t="s">
        <v>217</v>
      </c>
      <c r="D17" s="13" t="s">
        <v>108</v>
      </c>
      <c r="E17" s="3" t="s">
        <v>51</v>
      </c>
      <c r="F17" s="3" t="s">
        <v>27</v>
      </c>
      <c r="G17" s="3" t="s">
        <v>140</v>
      </c>
      <c r="H17" s="14" t="s">
        <v>390</v>
      </c>
      <c r="I17" s="6">
        <v>126417</v>
      </c>
      <c r="J17" s="6"/>
      <c r="K17" s="6">
        <f>I17*3</f>
        <v>379251</v>
      </c>
      <c r="L17" s="3" t="s">
        <v>396</v>
      </c>
      <c r="M17" s="3"/>
      <c r="N17" s="3"/>
      <c r="O17" s="3"/>
      <c r="P17" s="3"/>
      <c r="Q17" s="3"/>
    </row>
    <row r="18" spans="1:17" ht="42.6" customHeight="1" x14ac:dyDescent="0.25">
      <c r="A18" s="3" t="s">
        <v>62</v>
      </c>
      <c r="B18" s="3" t="s">
        <v>178</v>
      </c>
      <c r="C18" s="3" t="s">
        <v>124</v>
      </c>
      <c r="D18" s="13" t="s">
        <v>125</v>
      </c>
      <c r="E18" s="3" t="s">
        <v>51</v>
      </c>
      <c r="F18" s="3" t="s">
        <v>27</v>
      </c>
      <c r="G18" s="3" t="s">
        <v>140</v>
      </c>
      <c r="H18" s="14" t="s">
        <v>390</v>
      </c>
      <c r="I18" s="6">
        <v>23721</v>
      </c>
      <c r="J18" s="6"/>
      <c r="K18" s="6">
        <f>I18*3</f>
        <v>71163</v>
      </c>
      <c r="L18" s="3" t="s">
        <v>396</v>
      </c>
      <c r="M18" s="3"/>
      <c r="N18" s="3"/>
      <c r="O18" s="3"/>
      <c r="P18" s="3"/>
      <c r="Q18" s="3"/>
    </row>
    <row r="19" spans="1:17" ht="42.6" customHeight="1" x14ac:dyDescent="0.25">
      <c r="A19" s="3" t="s">
        <v>62</v>
      </c>
      <c r="B19" s="3" t="s">
        <v>178</v>
      </c>
      <c r="C19" s="3" t="s">
        <v>126</v>
      </c>
      <c r="D19" s="13" t="s">
        <v>127</v>
      </c>
      <c r="E19" s="3" t="s">
        <v>51</v>
      </c>
      <c r="F19" s="3" t="s">
        <v>27</v>
      </c>
      <c r="G19" s="3" t="s">
        <v>140</v>
      </c>
      <c r="H19" s="14" t="s">
        <v>390</v>
      </c>
      <c r="I19" s="6">
        <v>94694</v>
      </c>
      <c r="J19" s="6"/>
      <c r="K19" s="6">
        <f>I19*8</f>
        <v>757552</v>
      </c>
      <c r="L19" s="3" t="s">
        <v>396</v>
      </c>
      <c r="M19" s="3"/>
      <c r="N19" s="3"/>
      <c r="O19" s="3"/>
      <c r="P19" s="3"/>
      <c r="Q19" s="3"/>
    </row>
    <row r="20" spans="1:17" ht="42.6" customHeight="1" x14ac:dyDescent="0.25">
      <c r="A20" s="3" t="s">
        <v>62</v>
      </c>
      <c r="B20" s="3" t="s">
        <v>178</v>
      </c>
      <c r="C20" s="3" t="s">
        <v>64</v>
      </c>
      <c r="D20" s="13" t="s">
        <v>128</v>
      </c>
      <c r="E20" s="3" t="s">
        <v>51</v>
      </c>
      <c r="F20" s="3" t="s">
        <v>27</v>
      </c>
      <c r="G20" s="3" t="s">
        <v>140</v>
      </c>
      <c r="H20" s="14" t="s">
        <v>390</v>
      </c>
      <c r="I20" s="6">
        <v>18046</v>
      </c>
      <c r="J20" s="6"/>
      <c r="K20" s="6">
        <f>ROUND(I20*1/3,0)</f>
        <v>6015</v>
      </c>
      <c r="L20" s="3" t="s">
        <v>396</v>
      </c>
      <c r="M20" s="3"/>
      <c r="N20" s="3"/>
      <c r="O20" s="3"/>
      <c r="P20" s="3"/>
      <c r="Q20" s="3"/>
    </row>
    <row r="21" spans="1:17" ht="42.6" customHeight="1" x14ac:dyDescent="0.25">
      <c r="A21" s="3" t="s">
        <v>62</v>
      </c>
      <c r="B21" s="3" t="s">
        <v>178</v>
      </c>
      <c r="C21" s="3" t="s">
        <v>65</v>
      </c>
      <c r="D21" s="13" t="s">
        <v>129</v>
      </c>
      <c r="E21" s="3" t="s">
        <v>51</v>
      </c>
      <c r="F21" s="3" t="s">
        <v>27</v>
      </c>
      <c r="G21" s="3" t="s">
        <v>140</v>
      </c>
      <c r="H21" s="14" t="s">
        <v>390</v>
      </c>
      <c r="I21" s="6">
        <v>9802</v>
      </c>
      <c r="J21" s="6"/>
      <c r="K21" s="6">
        <f t="shared" ref="K21:K28" si="2">I21*1</f>
        <v>9802</v>
      </c>
      <c r="L21" s="3" t="s">
        <v>396</v>
      </c>
      <c r="M21" s="3"/>
      <c r="N21" s="3"/>
      <c r="O21" s="3"/>
      <c r="P21" s="3"/>
      <c r="Q21" s="3"/>
    </row>
    <row r="22" spans="1:17" ht="42.6" customHeight="1" x14ac:dyDescent="0.25">
      <c r="A22" s="3" t="s">
        <v>62</v>
      </c>
      <c r="B22" s="3" t="s">
        <v>178</v>
      </c>
      <c r="C22" s="3" t="s">
        <v>66</v>
      </c>
      <c r="D22" s="13" t="s">
        <v>129</v>
      </c>
      <c r="E22" s="3" t="s">
        <v>51</v>
      </c>
      <c r="F22" s="3" t="s">
        <v>27</v>
      </c>
      <c r="G22" s="3" t="s">
        <v>140</v>
      </c>
      <c r="H22" s="14" t="s">
        <v>390</v>
      </c>
      <c r="I22" s="6">
        <v>9802</v>
      </c>
      <c r="J22" s="6"/>
      <c r="K22" s="6">
        <f t="shared" si="2"/>
        <v>9802</v>
      </c>
      <c r="L22" s="3" t="s">
        <v>396</v>
      </c>
      <c r="M22" s="3"/>
      <c r="N22" s="3"/>
      <c r="O22" s="3"/>
      <c r="P22" s="3"/>
      <c r="Q22" s="3"/>
    </row>
    <row r="23" spans="1:17" ht="42.6" customHeight="1" x14ac:dyDescent="0.25">
      <c r="A23" s="3" t="s">
        <v>62</v>
      </c>
      <c r="B23" s="3" t="s">
        <v>178</v>
      </c>
      <c r="C23" s="3" t="s">
        <v>67</v>
      </c>
      <c r="D23" s="13" t="s">
        <v>129</v>
      </c>
      <c r="E23" s="3" t="s">
        <v>51</v>
      </c>
      <c r="F23" s="3" t="s">
        <v>27</v>
      </c>
      <c r="G23" s="3" t="s">
        <v>140</v>
      </c>
      <c r="H23" s="14" t="s">
        <v>390</v>
      </c>
      <c r="I23" s="6">
        <v>9802</v>
      </c>
      <c r="J23" s="6"/>
      <c r="K23" s="6">
        <f t="shared" si="2"/>
        <v>9802</v>
      </c>
      <c r="L23" s="3" t="s">
        <v>396</v>
      </c>
      <c r="M23" s="3"/>
      <c r="N23" s="3"/>
      <c r="O23" s="3"/>
      <c r="P23" s="3"/>
      <c r="Q23" s="3"/>
    </row>
    <row r="24" spans="1:17" ht="42.6" customHeight="1" x14ac:dyDescent="0.25">
      <c r="A24" s="3" t="s">
        <v>62</v>
      </c>
      <c r="B24" s="3" t="s">
        <v>178</v>
      </c>
      <c r="C24" s="3" t="s">
        <v>68</v>
      </c>
      <c r="D24" s="13" t="s">
        <v>129</v>
      </c>
      <c r="E24" s="3" t="s">
        <v>51</v>
      </c>
      <c r="F24" s="3" t="s">
        <v>27</v>
      </c>
      <c r="G24" s="3" t="s">
        <v>140</v>
      </c>
      <c r="H24" s="14" t="s">
        <v>390</v>
      </c>
      <c r="I24" s="6">
        <v>9802</v>
      </c>
      <c r="J24" s="6"/>
      <c r="K24" s="6">
        <f t="shared" si="2"/>
        <v>9802</v>
      </c>
      <c r="L24" s="3" t="s">
        <v>396</v>
      </c>
      <c r="M24" s="3"/>
      <c r="N24" s="3"/>
      <c r="O24" s="3"/>
      <c r="P24" s="3"/>
      <c r="Q24" s="3"/>
    </row>
    <row r="25" spans="1:17" ht="42.6" customHeight="1" x14ac:dyDescent="0.25">
      <c r="A25" s="3" t="s">
        <v>62</v>
      </c>
      <c r="B25" s="3" t="s">
        <v>178</v>
      </c>
      <c r="C25" s="3" t="s">
        <v>69</v>
      </c>
      <c r="D25" s="13" t="s">
        <v>129</v>
      </c>
      <c r="E25" s="3" t="s">
        <v>51</v>
      </c>
      <c r="F25" s="3" t="s">
        <v>27</v>
      </c>
      <c r="G25" s="3" t="s">
        <v>140</v>
      </c>
      <c r="H25" s="14" t="s">
        <v>390</v>
      </c>
      <c r="I25" s="6">
        <v>10414</v>
      </c>
      <c r="J25" s="6"/>
      <c r="K25" s="6">
        <f t="shared" si="2"/>
        <v>10414</v>
      </c>
      <c r="L25" s="3" t="s">
        <v>396</v>
      </c>
      <c r="M25" s="3"/>
      <c r="N25" s="3"/>
      <c r="O25" s="3"/>
      <c r="P25" s="3"/>
      <c r="Q25" s="3"/>
    </row>
    <row r="26" spans="1:17" ht="42.6" customHeight="1" x14ac:dyDescent="0.25">
      <c r="A26" s="3" t="s">
        <v>62</v>
      </c>
      <c r="B26" s="3" t="s">
        <v>178</v>
      </c>
      <c r="C26" s="3" t="s">
        <v>70</v>
      </c>
      <c r="D26" s="13" t="s">
        <v>129</v>
      </c>
      <c r="E26" s="3" t="s">
        <v>51</v>
      </c>
      <c r="F26" s="3" t="s">
        <v>27</v>
      </c>
      <c r="G26" s="3" t="s">
        <v>140</v>
      </c>
      <c r="H26" s="14" t="s">
        <v>390</v>
      </c>
      <c r="I26" s="6">
        <v>10414</v>
      </c>
      <c r="J26" s="6"/>
      <c r="K26" s="6">
        <f t="shared" si="2"/>
        <v>10414</v>
      </c>
      <c r="L26" s="3" t="s">
        <v>396</v>
      </c>
      <c r="M26" s="3"/>
      <c r="N26" s="3"/>
      <c r="O26" s="3"/>
      <c r="P26" s="3"/>
      <c r="Q26" s="3"/>
    </row>
    <row r="27" spans="1:17" ht="42.6" customHeight="1" x14ac:dyDescent="0.25">
      <c r="A27" s="3" t="s">
        <v>62</v>
      </c>
      <c r="B27" s="3" t="s">
        <v>178</v>
      </c>
      <c r="C27" s="3" t="s">
        <v>71</v>
      </c>
      <c r="D27" s="13" t="s">
        <v>129</v>
      </c>
      <c r="E27" s="3" t="s">
        <v>51</v>
      </c>
      <c r="F27" s="3" t="s">
        <v>27</v>
      </c>
      <c r="G27" s="3" t="s">
        <v>140</v>
      </c>
      <c r="H27" s="14" t="s">
        <v>390</v>
      </c>
      <c r="I27" s="6">
        <v>10414</v>
      </c>
      <c r="J27" s="6"/>
      <c r="K27" s="6">
        <f t="shared" si="2"/>
        <v>10414</v>
      </c>
      <c r="L27" s="3" t="s">
        <v>396</v>
      </c>
      <c r="M27" s="3"/>
      <c r="N27" s="3"/>
      <c r="O27" s="3"/>
      <c r="P27" s="3"/>
      <c r="Q27" s="3"/>
    </row>
    <row r="28" spans="1:17" ht="42.6" customHeight="1" x14ac:dyDescent="0.25">
      <c r="A28" s="3" t="s">
        <v>62</v>
      </c>
      <c r="B28" s="3" t="s">
        <v>178</v>
      </c>
      <c r="C28" s="3" t="s">
        <v>72</v>
      </c>
      <c r="D28" s="13" t="s">
        <v>129</v>
      </c>
      <c r="E28" s="3" t="s">
        <v>51</v>
      </c>
      <c r="F28" s="3" t="s">
        <v>27</v>
      </c>
      <c r="G28" s="3" t="s">
        <v>140</v>
      </c>
      <c r="H28" s="14" t="s">
        <v>390</v>
      </c>
      <c r="I28" s="6">
        <v>10414</v>
      </c>
      <c r="J28" s="6"/>
      <c r="K28" s="6">
        <f t="shared" si="2"/>
        <v>10414</v>
      </c>
      <c r="L28" s="3" t="s">
        <v>396</v>
      </c>
      <c r="M28" s="3"/>
      <c r="N28" s="3"/>
      <c r="O28" s="3"/>
      <c r="P28" s="3"/>
      <c r="Q28" s="3"/>
    </row>
    <row r="29" spans="1:17" ht="42.6" customHeight="1" x14ac:dyDescent="0.25">
      <c r="A29" s="3" t="s">
        <v>62</v>
      </c>
      <c r="B29" s="3" t="s">
        <v>178</v>
      </c>
      <c r="C29" s="3" t="s">
        <v>73</v>
      </c>
      <c r="D29" s="13" t="s">
        <v>455</v>
      </c>
      <c r="E29" s="3" t="s">
        <v>51</v>
      </c>
      <c r="F29" s="3" t="s">
        <v>27</v>
      </c>
      <c r="G29" s="3" t="s">
        <v>140</v>
      </c>
      <c r="H29" s="14" t="s">
        <v>390</v>
      </c>
      <c r="I29" s="6">
        <v>9511</v>
      </c>
      <c r="J29" s="6"/>
      <c r="K29" s="6">
        <f>ROUND((I29*1)/3,0)</f>
        <v>3170</v>
      </c>
      <c r="L29" s="3" t="s">
        <v>396</v>
      </c>
      <c r="M29" s="3"/>
      <c r="N29" s="3"/>
      <c r="O29" s="3"/>
      <c r="P29" s="3"/>
      <c r="Q29" s="3"/>
    </row>
    <row r="30" spans="1:17" ht="59.25" customHeight="1" x14ac:dyDescent="0.25">
      <c r="A30" s="3" t="s">
        <v>62</v>
      </c>
      <c r="B30" s="3" t="s">
        <v>178</v>
      </c>
      <c r="C30" s="3" t="s">
        <v>441</v>
      </c>
      <c r="D30" s="13" t="s">
        <v>455</v>
      </c>
      <c r="E30" s="3" t="s">
        <v>51</v>
      </c>
      <c r="F30" s="3" t="s">
        <v>27</v>
      </c>
      <c r="G30" s="3" t="s">
        <v>140</v>
      </c>
      <c r="H30" s="14" t="s">
        <v>390</v>
      </c>
      <c r="I30" s="6">
        <v>9511</v>
      </c>
      <c r="J30" s="6"/>
      <c r="K30" s="6">
        <f>ROUND((I30*1)/3,0)</f>
        <v>3170</v>
      </c>
      <c r="L30" s="3" t="s">
        <v>396</v>
      </c>
      <c r="M30" s="3"/>
      <c r="N30" s="3"/>
      <c r="O30" s="3"/>
      <c r="P30" s="3"/>
      <c r="Q30" s="3"/>
    </row>
    <row r="31" spans="1:17" ht="42.6" customHeight="1" x14ac:dyDescent="0.25">
      <c r="A31" s="3" t="s">
        <v>62</v>
      </c>
      <c r="B31" s="3" t="s">
        <v>178</v>
      </c>
      <c r="C31" s="3" t="s">
        <v>442</v>
      </c>
      <c r="D31" s="13" t="s">
        <v>455</v>
      </c>
      <c r="E31" s="3" t="s">
        <v>51</v>
      </c>
      <c r="F31" s="3" t="s">
        <v>27</v>
      </c>
      <c r="G31" s="3" t="s">
        <v>140</v>
      </c>
      <c r="H31" s="14" t="s">
        <v>390</v>
      </c>
      <c r="I31" s="6">
        <v>9511</v>
      </c>
      <c r="J31" s="6"/>
      <c r="K31" s="6">
        <f>ROUND((I31*1)/3,0)</f>
        <v>3170</v>
      </c>
      <c r="L31" s="3" t="s">
        <v>396</v>
      </c>
      <c r="M31" s="3"/>
      <c r="N31" s="3"/>
      <c r="O31" s="3"/>
      <c r="P31" s="3"/>
      <c r="Q31" s="3"/>
    </row>
    <row r="32" spans="1:17" ht="42.6" customHeight="1" x14ac:dyDescent="0.25">
      <c r="A32" s="3" t="s">
        <v>62</v>
      </c>
      <c r="B32" s="3" t="s">
        <v>178</v>
      </c>
      <c r="C32" s="3" t="s">
        <v>443</v>
      </c>
      <c r="D32" s="13" t="s">
        <v>455</v>
      </c>
      <c r="E32" s="3" t="s">
        <v>51</v>
      </c>
      <c r="F32" s="3" t="s">
        <v>27</v>
      </c>
      <c r="G32" s="3" t="s">
        <v>140</v>
      </c>
      <c r="H32" s="14" t="s">
        <v>390</v>
      </c>
      <c r="I32" s="6">
        <v>9511</v>
      </c>
      <c r="J32" s="6"/>
      <c r="K32" s="6">
        <f>ROUND((I32*1)/3,0)</f>
        <v>3170</v>
      </c>
      <c r="L32" s="3" t="s">
        <v>396</v>
      </c>
      <c r="M32" s="3"/>
      <c r="N32" s="3"/>
      <c r="O32" s="3"/>
      <c r="P32" s="3"/>
      <c r="Q32" s="3"/>
    </row>
    <row r="33" spans="1:17" ht="42.6" customHeight="1" x14ac:dyDescent="0.25">
      <c r="A33" s="3" t="s">
        <v>62</v>
      </c>
      <c r="B33" s="3" t="s">
        <v>178</v>
      </c>
      <c r="C33" s="3" t="s">
        <v>444</v>
      </c>
      <c r="D33" s="13" t="s">
        <v>456</v>
      </c>
      <c r="E33" s="3" t="s">
        <v>51</v>
      </c>
      <c r="F33" s="3" t="s">
        <v>27</v>
      </c>
      <c r="G33" s="3" t="s">
        <v>140</v>
      </c>
      <c r="H33" s="14" t="s">
        <v>390</v>
      </c>
      <c r="I33" s="6">
        <v>4679</v>
      </c>
      <c r="J33" s="6"/>
      <c r="K33" s="6">
        <f>I33*1</f>
        <v>4679</v>
      </c>
      <c r="L33" s="3" t="s">
        <v>396</v>
      </c>
      <c r="M33" s="3"/>
      <c r="N33" s="3"/>
      <c r="O33" s="3"/>
      <c r="P33" s="3"/>
      <c r="Q33" s="3"/>
    </row>
    <row r="34" spans="1:17" ht="42.6" customHeight="1" x14ac:dyDescent="0.25">
      <c r="A34" s="3" t="s">
        <v>62</v>
      </c>
      <c r="B34" s="3" t="s">
        <v>178</v>
      </c>
      <c r="C34" s="3" t="s">
        <v>445</v>
      </c>
      <c r="D34" s="13" t="s">
        <v>457</v>
      </c>
      <c r="E34" s="3" t="s">
        <v>51</v>
      </c>
      <c r="F34" s="3" t="s">
        <v>27</v>
      </c>
      <c r="G34" s="3" t="s">
        <v>140</v>
      </c>
      <c r="H34" s="14" t="s">
        <v>390</v>
      </c>
      <c r="I34" s="6">
        <v>1298</v>
      </c>
      <c r="J34" s="6"/>
      <c r="K34" s="6">
        <f>I34*5</f>
        <v>6490</v>
      </c>
      <c r="L34" s="3" t="s">
        <v>396</v>
      </c>
      <c r="M34" s="3"/>
      <c r="N34" s="3"/>
      <c r="O34" s="3"/>
      <c r="P34" s="3"/>
      <c r="Q34" s="3"/>
    </row>
    <row r="35" spans="1:17" ht="42.6" customHeight="1" x14ac:dyDescent="0.25">
      <c r="A35" s="3" t="s">
        <v>62</v>
      </c>
      <c r="B35" s="3" t="s">
        <v>178</v>
      </c>
      <c r="C35" s="3" t="s">
        <v>446</v>
      </c>
      <c r="D35" s="13" t="s">
        <v>458</v>
      </c>
      <c r="E35" s="3" t="s">
        <v>51</v>
      </c>
      <c r="F35" s="3" t="s">
        <v>27</v>
      </c>
      <c r="G35" s="3" t="s">
        <v>140</v>
      </c>
      <c r="H35" s="14" t="s">
        <v>390</v>
      </c>
      <c r="I35" s="6">
        <v>7666</v>
      </c>
      <c r="J35" s="6"/>
      <c r="K35" s="6">
        <f>I35*3</f>
        <v>22998</v>
      </c>
      <c r="L35" s="3" t="s">
        <v>396</v>
      </c>
      <c r="M35" s="3"/>
      <c r="N35" s="3"/>
      <c r="O35" s="3"/>
      <c r="P35" s="3"/>
      <c r="Q35" s="3"/>
    </row>
    <row r="36" spans="1:17" ht="42.6" customHeight="1" x14ac:dyDescent="0.25">
      <c r="A36" s="3" t="s">
        <v>62</v>
      </c>
      <c r="B36" s="3" t="s">
        <v>178</v>
      </c>
      <c r="C36" s="3" t="s">
        <v>316</v>
      </c>
      <c r="D36" s="13" t="s">
        <v>315</v>
      </c>
      <c r="E36" s="3" t="s">
        <v>51</v>
      </c>
      <c r="F36" s="3" t="s">
        <v>27</v>
      </c>
      <c r="G36" s="3" t="s">
        <v>140</v>
      </c>
      <c r="H36" s="14" t="s">
        <v>390</v>
      </c>
      <c r="I36" s="6">
        <v>7508</v>
      </c>
      <c r="J36" s="6"/>
      <c r="K36" s="6">
        <f>ROUND((I36*3)/2,0)</f>
        <v>11262</v>
      </c>
      <c r="L36" s="3" t="s">
        <v>396</v>
      </c>
      <c r="M36" s="3"/>
      <c r="N36" s="3"/>
      <c r="O36" s="3"/>
      <c r="P36" s="3"/>
      <c r="Q36" s="3"/>
    </row>
    <row r="37" spans="1:17" ht="42.6" customHeight="1" x14ac:dyDescent="0.25">
      <c r="A37" s="3" t="s">
        <v>62</v>
      </c>
      <c r="B37" s="3" t="s">
        <v>178</v>
      </c>
      <c r="C37" s="3" t="s">
        <v>317</v>
      </c>
      <c r="D37" s="13" t="s">
        <v>315</v>
      </c>
      <c r="E37" s="3" t="s">
        <v>51</v>
      </c>
      <c r="F37" s="3" t="s">
        <v>27</v>
      </c>
      <c r="G37" s="3" t="s">
        <v>140</v>
      </c>
      <c r="H37" s="14" t="s">
        <v>390</v>
      </c>
      <c r="I37" s="6">
        <v>8252</v>
      </c>
      <c r="J37" s="6"/>
      <c r="K37" s="6">
        <f>ROUND((I37*3)/2,0)</f>
        <v>12378</v>
      </c>
      <c r="L37" s="3" t="s">
        <v>396</v>
      </c>
      <c r="M37" s="15"/>
      <c r="N37" s="3"/>
      <c r="O37" s="3"/>
      <c r="P37" s="3"/>
      <c r="Q37" s="3"/>
    </row>
    <row r="38" spans="1:17" ht="42.6" customHeight="1" x14ac:dyDescent="0.25">
      <c r="A38" s="3" t="s">
        <v>62</v>
      </c>
      <c r="B38" s="3" t="s">
        <v>178</v>
      </c>
      <c r="C38" s="3" t="s">
        <v>319</v>
      </c>
      <c r="D38" s="13" t="s">
        <v>318</v>
      </c>
      <c r="E38" s="3" t="s">
        <v>51</v>
      </c>
      <c r="F38" s="3" t="s">
        <v>27</v>
      </c>
      <c r="G38" s="3" t="s">
        <v>140</v>
      </c>
      <c r="H38" s="14" t="s">
        <v>390</v>
      </c>
      <c r="I38" s="6">
        <v>7938</v>
      </c>
      <c r="J38" s="6"/>
      <c r="K38" s="6">
        <f>ROUND((I38*3)/2,0)</f>
        <v>11907</v>
      </c>
      <c r="L38" s="3" t="s">
        <v>396</v>
      </c>
      <c r="M38" s="3"/>
      <c r="N38" s="3"/>
      <c r="O38" s="3"/>
      <c r="P38" s="3"/>
      <c r="Q38" s="3"/>
    </row>
    <row r="39" spans="1:17" ht="42.6" customHeight="1" x14ac:dyDescent="0.25">
      <c r="A39" s="3" t="s">
        <v>62</v>
      </c>
      <c r="B39" s="3" t="s">
        <v>178</v>
      </c>
      <c r="C39" s="3" t="s">
        <v>321</v>
      </c>
      <c r="D39" s="13" t="s">
        <v>320</v>
      </c>
      <c r="E39" s="3" t="s">
        <v>51</v>
      </c>
      <c r="F39" s="3" t="s">
        <v>27</v>
      </c>
      <c r="G39" s="3" t="s">
        <v>140</v>
      </c>
      <c r="H39" s="14" t="s">
        <v>390</v>
      </c>
      <c r="I39" s="6">
        <v>7220</v>
      </c>
      <c r="J39" s="6"/>
      <c r="K39" s="6">
        <f>ROUND((I39*4)/2,0)</f>
        <v>14440</v>
      </c>
      <c r="L39" s="3" t="s">
        <v>396</v>
      </c>
      <c r="M39" s="3"/>
      <c r="N39" s="3"/>
      <c r="O39" s="3"/>
      <c r="P39" s="3"/>
      <c r="Q39" s="3"/>
    </row>
    <row r="40" spans="1:17" ht="42.6" customHeight="1" x14ac:dyDescent="0.25">
      <c r="A40" s="3" t="s">
        <v>62</v>
      </c>
      <c r="B40" s="3" t="s">
        <v>178</v>
      </c>
      <c r="C40" s="3" t="s">
        <v>74</v>
      </c>
      <c r="D40" s="13" t="s">
        <v>447</v>
      </c>
      <c r="E40" s="3" t="s">
        <v>51</v>
      </c>
      <c r="F40" s="3" t="s">
        <v>27</v>
      </c>
      <c r="G40" s="3" t="s">
        <v>140</v>
      </c>
      <c r="H40" s="14" t="s">
        <v>390</v>
      </c>
      <c r="I40" s="6">
        <v>105913</v>
      </c>
      <c r="J40" s="6"/>
      <c r="K40" s="6">
        <f>I40*1</f>
        <v>105913</v>
      </c>
      <c r="L40" s="3" t="s">
        <v>396</v>
      </c>
      <c r="M40" s="3"/>
      <c r="N40" s="3"/>
      <c r="O40" s="3"/>
      <c r="P40" s="3"/>
      <c r="Q40" s="3"/>
    </row>
    <row r="41" spans="1:17" ht="42.6" customHeight="1" x14ac:dyDescent="0.25">
      <c r="A41" s="3" t="s">
        <v>62</v>
      </c>
      <c r="B41" s="3" t="s">
        <v>178</v>
      </c>
      <c r="C41" s="3" t="s">
        <v>367</v>
      </c>
      <c r="D41" s="13" t="s">
        <v>130</v>
      </c>
      <c r="E41" s="3" t="s">
        <v>51</v>
      </c>
      <c r="F41" s="3" t="s">
        <v>27</v>
      </c>
      <c r="G41" s="3" t="s">
        <v>140</v>
      </c>
      <c r="H41" s="14" t="s">
        <v>390</v>
      </c>
      <c r="I41" s="6">
        <v>39441</v>
      </c>
      <c r="J41" s="6"/>
      <c r="K41" s="6">
        <f>ROUND(I41*1/2,0)</f>
        <v>19721</v>
      </c>
      <c r="L41" s="3" t="s">
        <v>396</v>
      </c>
      <c r="M41" s="3"/>
      <c r="N41" s="3"/>
      <c r="O41" s="3"/>
      <c r="P41" s="3"/>
      <c r="Q41" s="3"/>
    </row>
    <row r="42" spans="1:17" ht="42.6" customHeight="1" x14ac:dyDescent="0.25">
      <c r="A42" s="3" t="s">
        <v>62</v>
      </c>
      <c r="B42" s="3" t="s">
        <v>178</v>
      </c>
      <c r="C42" s="3" t="s">
        <v>75</v>
      </c>
      <c r="D42" s="13" t="s">
        <v>447</v>
      </c>
      <c r="E42" s="3" t="s">
        <v>51</v>
      </c>
      <c r="F42" s="3" t="s">
        <v>27</v>
      </c>
      <c r="G42" s="3" t="s">
        <v>140</v>
      </c>
      <c r="H42" s="14" t="s">
        <v>390</v>
      </c>
      <c r="I42" s="6">
        <v>141314</v>
      </c>
      <c r="J42" s="6"/>
      <c r="K42" s="6">
        <f>I42*1</f>
        <v>141314</v>
      </c>
      <c r="L42" s="3" t="s">
        <v>396</v>
      </c>
      <c r="M42" s="3"/>
      <c r="N42" s="3"/>
      <c r="O42" s="3"/>
      <c r="P42" s="3"/>
      <c r="Q42" s="3"/>
    </row>
    <row r="43" spans="1:17" ht="42.6" customHeight="1" x14ac:dyDescent="0.25">
      <c r="A43" s="3" t="s">
        <v>62</v>
      </c>
      <c r="B43" s="3" t="s">
        <v>178</v>
      </c>
      <c r="C43" s="3" t="s">
        <v>76</v>
      </c>
      <c r="D43" s="13" t="s">
        <v>448</v>
      </c>
      <c r="E43" s="3" t="s">
        <v>51</v>
      </c>
      <c r="F43" s="3" t="s">
        <v>27</v>
      </c>
      <c r="G43" s="3" t="s">
        <v>140</v>
      </c>
      <c r="H43" s="14" t="s">
        <v>390</v>
      </c>
      <c r="I43" s="16">
        <v>21400</v>
      </c>
      <c r="J43" s="16"/>
      <c r="K43" s="6">
        <f>I43*2</f>
        <v>42800</v>
      </c>
      <c r="L43" s="3" t="s">
        <v>396</v>
      </c>
      <c r="M43" s="3"/>
      <c r="N43" s="3"/>
      <c r="O43" s="3"/>
      <c r="P43" s="3"/>
      <c r="Q43" s="3"/>
    </row>
    <row r="44" spans="1:17" ht="42.6" customHeight="1" x14ac:dyDescent="0.25">
      <c r="A44" s="3" t="s">
        <v>62</v>
      </c>
      <c r="B44" s="3" t="s">
        <v>178</v>
      </c>
      <c r="C44" s="3" t="s">
        <v>131</v>
      </c>
      <c r="D44" s="13" t="s">
        <v>132</v>
      </c>
      <c r="E44" s="3" t="s">
        <v>51</v>
      </c>
      <c r="F44" s="3" t="s">
        <v>27</v>
      </c>
      <c r="G44" s="3" t="s">
        <v>140</v>
      </c>
      <c r="H44" s="14" t="s">
        <v>390</v>
      </c>
      <c r="I44" s="6">
        <v>12631</v>
      </c>
      <c r="J44" s="6"/>
      <c r="K44" s="6">
        <f>+ROUND((I44*5)/3,0)</f>
        <v>21052</v>
      </c>
      <c r="L44" s="3" t="s">
        <v>396</v>
      </c>
      <c r="M44" s="3"/>
      <c r="N44" s="3"/>
      <c r="O44" s="3"/>
      <c r="P44" s="3"/>
      <c r="Q44" s="3"/>
    </row>
    <row r="45" spans="1:17" ht="42.6" customHeight="1" x14ac:dyDescent="0.25">
      <c r="A45" s="3" t="s">
        <v>62</v>
      </c>
      <c r="B45" s="3" t="s">
        <v>178</v>
      </c>
      <c r="C45" s="3" t="s">
        <v>77</v>
      </c>
      <c r="D45" s="13" t="s">
        <v>106</v>
      </c>
      <c r="E45" s="3" t="s">
        <v>51</v>
      </c>
      <c r="F45" s="3" t="s">
        <v>27</v>
      </c>
      <c r="G45" s="3" t="s">
        <v>140</v>
      </c>
      <c r="H45" s="14" t="s">
        <v>390</v>
      </c>
      <c r="I45" s="6">
        <v>18425</v>
      </c>
      <c r="J45" s="6"/>
      <c r="K45" s="6">
        <f>I45*2</f>
        <v>36850</v>
      </c>
      <c r="L45" s="3" t="s">
        <v>396</v>
      </c>
      <c r="M45" s="3"/>
      <c r="N45" s="3"/>
      <c r="O45" s="3"/>
      <c r="P45" s="3"/>
      <c r="Q45" s="3"/>
    </row>
    <row r="46" spans="1:17" ht="42.6" customHeight="1" x14ac:dyDescent="0.25">
      <c r="A46" s="3" t="s">
        <v>62</v>
      </c>
      <c r="B46" s="3" t="s">
        <v>178</v>
      </c>
      <c r="C46" s="3" t="s">
        <v>78</v>
      </c>
      <c r="D46" s="13" t="s">
        <v>449</v>
      </c>
      <c r="E46" s="3" t="s">
        <v>51</v>
      </c>
      <c r="F46" s="3" t="s">
        <v>27</v>
      </c>
      <c r="G46" s="3" t="s">
        <v>140</v>
      </c>
      <c r="H46" s="14" t="s">
        <v>390</v>
      </c>
      <c r="I46" s="6">
        <v>8005</v>
      </c>
      <c r="J46" s="6"/>
      <c r="K46" s="6">
        <f>I46*6</f>
        <v>48030</v>
      </c>
      <c r="L46" s="3" t="s">
        <v>396</v>
      </c>
      <c r="M46" s="3"/>
      <c r="N46" s="3"/>
      <c r="O46" s="3"/>
      <c r="P46" s="3"/>
      <c r="Q46" s="3"/>
    </row>
    <row r="47" spans="1:17" ht="42.6" customHeight="1" x14ac:dyDescent="0.25">
      <c r="A47" s="3" t="s">
        <v>62</v>
      </c>
      <c r="B47" s="3" t="s">
        <v>178</v>
      </c>
      <c r="C47" s="3" t="s">
        <v>79</v>
      </c>
      <c r="D47" s="13" t="s">
        <v>450</v>
      </c>
      <c r="E47" s="3" t="s">
        <v>51</v>
      </c>
      <c r="F47" s="3" t="s">
        <v>27</v>
      </c>
      <c r="G47" s="3" t="s">
        <v>110</v>
      </c>
      <c r="H47" s="14" t="s">
        <v>390</v>
      </c>
      <c r="I47" s="6">
        <v>7381</v>
      </c>
      <c r="J47" s="6"/>
      <c r="K47" s="3"/>
      <c r="L47" s="3" t="s">
        <v>396</v>
      </c>
      <c r="M47" s="3"/>
      <c r="N47" s="3"/>
      <c r="O47" s="6">
        <f>I47*8</f>
        <v>59048</v>
      </c>
      <c r="P47" s="3"/>
      <c r="Q47" s="3"/>
    </row>
    <row r="48" spans="1:17" ht="42.6" customHeight="1" x14ac:dyDescent="0.25">
      <c r="A48" s="3" t="s">
        <v>62</v>
      </c>
      <c r="B48" s="3" t="s">
        <v>178</v>
      </c>
      <c r="C48" s="3" t="s">
        <v>80</v>
      </c>
      <c r="D48" s="13" t="s">
        <v>81</v>
      </c>
      <c r="E48" s="3" t="s">
        <v>51</v>
      </c>
      <c r="F48" s="3" t="s">
        <v>27</v>
      </c>
      <c r="G48" s="3" t="s">
        <v>140</v>
      </c>
      <c r="H48" s="14" t="s">
        <v>390</v>
      </c>
      <c r="I48" s="6">
        <v>10977</v>
      </c>
      <c r="J48" s="6"/>
      <c r="K48" s="6">
        <f>+ROUND((I48*1)/3,0)</f>
        <v>3659</v>
      </c>
      <c r="L48" s="3" t="s">
        <v>396</v>
      </c>
      <c r="M48" s="3"/>
      <c r="N48" s="3"/>
      <c r="O48" s="3"/>
      <c r="P48" s="3"/>
      <c r="Q48" s="3"/>
    </row>
    <row r="49" spans="1:17" ht="42.6" customHeight="1" x14ac:dyDescent="0.25">
      <c r="A49" s="3" t="s">
        <v>62</v>
      </c>
      <c r="B49" s="3" t="s">
        <v>178</v>
      </c>
      <c r="C49" s="3" t="s">
        <v>82</v>
      </c>
      <c r="D49" s="13" t="s">
        <v>81</v>
      </c>
      <c r="E49" s="3" t="s">
        <v>51</v>
      </c>
      <c r="F49" s="3" t="s">
        <v>27</v>
      </c>
      <c r="G49" s="3" t="s">
        <v>140</v>
      </c>
      <c r="H49" s="14" t="s">
        <v>390</v>
      </c>
      <c r="I49" s="6">
        <v>10977</v>
      </c>
      <c r="J49" s="6"/>
      <c r="K49" s="6">
        <f>+ROUND((I49*1)/3,0)</f>
        <v>3659</v>
      </c>
      <c r="L49" s="3" t="s">
        <v>396</v>
      </c>
      <c r="M49" s="3"/>
      <c r="N49" s="3"/>
      <c r="O49" s="3"/>
      <c r="P49" s="3"/>
      <c r="Q49" s="3"/>
    </row>
    <row r="50" spans="1:17" ht="42.6" customHeight="1" x14ac:dyDescent="0.25">
      <c r="A50" s="3" t="s">
        <v>62</v>
      </c>
      <c r="B50" s="3" t="s">
        <v>178</v>
      </c>
      <c r="C50" s="3" t="s">
        <v>83</v>
      </c>
      <c r="D50" s="13" t="s">
        <v>81</v>
      </c>
      <c r="E50" s="3" t="s">
        <v>51</v>
      </c>
      <c r="F50" s="3" t="s">
        <v>27</v>
      </c>
      <c r="G50" s="3" t="s">
        <v>140</v>
      </c>
      <c r="H50" s="14" t="s">
        <v>390</v>
      </c>
      <c r="I50" s="6">
        <v>10977</v>
      </c>
      <c r="J50" s="6"/>
      <c r="K50" s="6">
        <f>+ROUND((I50*1)/3,0)</f>
        <v>3659</v>
      </c>
      <c r="L50" s="3" t="s">
        <v>396</v>
      </c>
      <c r="M50" s="3"/>
      <c r="N50" s="3"/>
      <c r="O50" s="3"/>
      <c r="P50" s="3"/>
      <c r="Q50" s="3"/>
    </row>
    <row r="51" spans="1:17" ht="42.6" customHeight="1" x14ac:dyDescent="0.25">
      <c r="A51" s="3" t="s">
        <v>62</v>
      </c>
      <c r="B51" s="3" t="s">
        <v>178</v>
      </c>
      <c r="C51" s="3" t="s">
        <v>84</v>
      </c>
      <c r="D51" s="13" t="s">
        <v>81</v>
      </c>
      <c r="E51" s="3" t="s">
        <v>51</v>
      </c>
      <c r="F51" s="3" t="s">
        <v>27</v>
      </c>
      <c r="G51" s="3" t="s">
        <v>140</v>
      </c>
      <c r="H51" s="14" t="s">
        <v>390</v>
      </c>
      <c r="I51" s="6">
        <v>10977</v>
      </c>
      <c r="J51" s="6"/>
      <c r="K51" s="6">
        <f>+ROUND((I51*1)/3,0)</f>
        <v>3659</v>
      </c>
      <c r="L51" s="3" t="s">
        <v>396</v>
      </c>
      <c r="M51" s="3"/>
      <c r="N51" s="3"/>
      <c r="O51" s="3"/>
      <c r="P51" s="3"/>
      <c r="Q51" s="3"/>
    </row>
    <row r="52" spans="1:17" ht="42.6" customHeight="1" x14ac:dyDescent="0.25">
      <c r="A52" s="3" t="s">
        <v>62</v>
      </c>
      <c r="B52" s="3" t="s">
        <v>179</v>
      </c>
      <c r="C52" s="3" t="s">
        <v>333</v>
      </c>
      <c r="D52" s="13" t="s">
        <v>334</v>
      </c>
      <c r="E52" s="3" t="s">
        <v>51</v>
      </c>
      <c r="F52" s="3" t="s">
        <v>27</v>
      </c>
      <c r="G52" s="3" t="s">
        <v>140</v>
      </c>
      <c r="H52" s="14" t="s">
        <v>390</v>
      </c>
      <c r="I52" s="6">
        <v>473</v>
      </c>
      <c r="J52" s="6"/>
      <c r="K52" s="6">
        <f>I52*100</f>
        <v>47300</v>
      </c>
      <c r="L52" s="3" t="s">
        <v>396</v>
      </c>
      <c r="M52" s="3"/>
      <c r="N52" s="3"/>
      <c r="O52" s="3"/>
      <c r="P52" s="3"/>
      <c r="Q52" s="3"/>
    </row>
    <row r="53" spans="1:17" ht="42.6" customHeight="1" x14ac:dyDescent="0.25">
      <c r="A53" s="3" t="s">
        <v>62</v>
      </c>
      <c r="B53" s="3" t="s">
        <v>179</v>
      </c>
      <c r="C53" s="3" t="s">
        <v>335</v>
      </c>
      <c r="D53" s="13" t="s">
        <v>336</v>
      </c>
      <c r="E53" s="3" t="s">
        <v>51</v>
      </c>
      <c r="F53" s="3" t="s">
        <v>27</v>
      </c>
      <c r="G53" s="3" t="s">
        <v>140</v>
      </c>
      <c r="H53" s="14" t="s">
        <v>390</v>
      </c>
      <c r="I53" s="6">
        <v>357</v>
      </c>
      <c r="J53" s="6"/>
      <c r="K53" s="6">
        <f>I53*150</f>
        <v>53550</v>
      </c>
      <c r="L53" s="3" t="s">
        <v>396</v>
      </c>
      <c r="M53" s="3"/>
      <c r="N53" s="3"/>
      <c r="O53" s="3"/>
      <c r="P53" s="3"/>
      <c r="Q53" s="3"/>
    </row>
    <row r="54" spans="1:17" ht="42.6" customHeight="1" x14ac:dyDescent="0.25">
      <c r="A54" s="3" t="s">
        <v>62</v>
      </c>
      <c r="B54" s="3" t="s">
        <v>179</v>
      </c>
      <c r="C54" s="3" t="s">
        <v>194</v>
      </c>
      <c r="D54" s="13" t="s">
        <v>337</v>
      </c>
      <c r="E54" s="3" t="s">
        <v>51</v>
      </c>
      <c r="F54" s="3" t="s">
        <v>27</v>
      </c>
      <c r="G54" s="3" t="s">
        <v>140</v>
      </c>
      <c r="H54" s="14" t="s">
        <v>390</v>
      </c>
      <c r="I54" s="6">
        <v>653</v>
      </c>
      <c r="J54" s="6"/>
      <c r="K54" s="6">
        <f>I54*50</f>
        <v>32650</v>
      </c>
      <c r="L54" s="3" t="s">
        <v>396</v>
      </c>
      <c r="M54" s="3"/>
      <c r="N54" s="3"/>
      <c r="O54" s="3"/>
      <c r="P54" s="3"/>
      <c r="Q54" s="3"/>
    </row>
    <row r="55" spans="1:17" ht="42.6" customHeight="1" x14ac:dyDescent="0.25">
      <c r="A55" s="3" t="s">
        <v>62</v>
      </c>
      <c r="B55" s="3" t="s">
        <v>179</v>
      </c>
      <c r="C55" s="3" t="s">
        <v>195</v>
      </c>
      <c r="D55" s="13" t="s">
        <v>338</v>
      </c>
      <c r="E55" s="3" t="s">
        <v>51</v>
      </c>
      <c r="F55" s="3" t="s">
        <v>27</v>
      </c>
      <c r="G55" s="3" t="s">
        <v>140</v>
      </c>
      <c r="H55" s="14" t="s">
        <v>390</v>
      </c>
      <c r="I55" s="6">
        <v>653</v>
      </c>
      <c r="J55" s="6"/>
      <c r="K55" s="6">
        <f>I55*70</f>
        <v>45710</v>
      </c>
      <c r="L55" s="3" t="s">
        <v>396</v>
      </c>
      <c r="M55" s="3"/>
      <c r="N55" s="3"/>
      <c r="O55" s="3"/>
      <c r="P55" s="3"/>
      <c r="Q55" s="3"/>
    </row>
    <row r="56" spans="1:17" ht="42.6" customHeight="1" x14ac:dyDescent="0.25">
      <c r="A56" s="3" t="s">
        <v>62</v>
      </c>
      <c r="B56" s="3" t="s">
        <v>179</v>
      </c>
      <c r="C56" s="3" t="s">
        <v>339</v>
      </c>
      <c r="D56" s="13" t="s">
        <v>340</v>
      </c>
      <c r="E56" s="3" t="s">
        <v>51</v>
      </c>
      <c r="F56" s="3" t="s">
        <v>27</v>
      </c>
      <c r="G56" s="3" t="s">
        <v>140</v>
      </c>
      <c r="H56" s="14" t="s">
        <v>390</v>
      </c>
      <c r="I56" s="6">
        <v>627</v>
      </c>
      <c r="J56" s="6"/>
      <c r="K56" s="6">
        <f>I56*50</f>
        <v>31350</v>
      </c>
      <c r="L56" s="3" t="s">
        <v>396</v>
      </c>
      <c r="M56" s="3"/>
      <c r="N56" s="3"/>
      <c r="O56" s="3"/>
      <c r="P56" s="3"/>
      <c r="Q56" s="3"/>
    </row>
    <row r="57" spans="1:17" ht="42.6" customHeight="1" x14ac:dyDescent="0.25">
      <c r="A57" s="3" t="s">
        <v>62</v>
      </c>
      <c r="B57" s="3" t="s">
        <v>179</v>
      </c>
      <c r="C57" s="3" t="s">
        <v>341</v>
      </c>
      <c r="D57" s="13" t="s">
        <v>342</v>
      </c>
      <c r="E57" s="3" t="s">
        <v>51</v>
      </c>
      <c r="F57" s="3" t="s">
        <v>27</v>
      </c>
      <c r="G57" s="3" t="s">
        <v>140</v>
      </c>
      <c r="H57" s="14" t="s">
        <v>390</v>
      </c>
      <c r="I57" s="6">
        <v>653</v>
      </c>
      <c r="J57" s="6"/>
      <c r="K57" s="6">
        <f>I57*200</f>
        <v>130600</v>
      </c>
      <c r="L57" s="3" t="s">
        <v>396</v>
      </c>
      <c r="M57" s="3"/>
      <c r="N57" s="3"/>
      <c r="O57" s="3"/>
      <c r="P57" s="3"/>
      <c r="Q57" s="3"/>
    </row>
    <row r="58" spans="1:17" ht="42.6" customHeight="1" x14ac:dyDescent="0.25">
      <c r="A58" s="3" t="s">
        <v>62</v>
      </c>
      <c r="B58" s="3" t="s">
        <v>179</v>
      </c>
      <c r="C58" s="3" t="s">
        <v>197</v>
      </c>
      <c r="D58" s="13" t="s">
        <v>337</v>
      </c>
      <c r="E58" s="3" t="s">
        <v>51</v>
      </c>
      <c r="F58" s="3" t="s">
        <v>27</v>
      </c>
      <c r="G58" s="3" t="s">
        <v>140</v>
      </c>
      <c r="H58" s="14" t="s">
        <v>390</v>
      </c>
      <c r="I58" s="6">
        <v>653</v>
      </c>
      <c r="J58" s="6"/>
      <c r="K58" s="6">
        <f>I58*50</f>
        <v>32650</v>
      </c>
      <c r="L58" s="3" t="s">
        <v>396</v>
      </c>
      <c r="M58" s="3"/>
      <c r="N58" s="3"/>
      <c r="O58" s="3"/>
      <c r="P58" s="3"/>
      <c r="Q58" s="3"/>
    </row>
    <row r="59" spans="1:17" ht="42.6" customHeight="1" x14ac:dyDescent="0.25">
      <c r="A59" s="3" t="s">
        <v>62</v>
      </c>
      <c r="B59" s="3" t="s">
        <v>179</v>
      </c>
      <c r="C59" s="3" t="s">
        <v>343</v>
      </c>
      <c r="D59" s="13" t="s">
        <v>196</v>
      </c>
      <c r="E59" s="3" t="s">
        <v>51</v>
      </c>
      <c r="F59" s="3" t="s">
        <v>27</v>
      </c>
      <c r="G59" s="3" t="s">
        <v>140</v>
      </c>
      <c r="H59" s="14" t="s">
        <v>390</v>
      </c>
      <c r="I59" s="6">
        <v>357</v>
      </c>
      <c r="J59" s="6"/>
      <c r="K59" s="6">
        <f>I59*100</f>
        <v>35700</v>
      </c>
      <c r="L59" s="3" t="s">
        <v>396</v>
      </c>
      <c r="M59" s="3"/>
      <c r="N59" s="3"/>
      <c r="O59" s="3"/>
      <c r="P59" s="3"/>
      <c r="Q59" s="3"/>
    </row>
    <row r="60" spans="1:17" ht="42.6" customHeight="1" x14ac:dyDescent="0.25">
      <c r="A60" s="3" t="s">
        <v>62</v>
      </c>
      <c r="B60" s="3" t="s">
        <v>179</v>
      </c>
      <c r="C60" s="3" t="s">
        <v>344</v>
      </c>
      <c r="D60" s="13" t="s">
        <v>345</v>
      </c>
      <c r="E60" s="3" t="s">
        <v>51</v>
      </c>
      <c r="F60" s="3" t="s">
        <v>27</v>
      </c>
      <c r="G60" s="3" t="s">
        <v>140</v>
      </c>
      <c r="H60" s="14" t="s">
        <v>390</v>
      </c>
      <c r="I60" s="6">
        <v>357</v>
      </c>
      <c r="J60" s="6"/>
      <c r="K60" s="6">
        <f>I60*150</f>
        <v>53550</v>
      </c>
      <c r="L60" s="3" t="s">
        <v>396</v>
      </c>
      <c r="M60" s="3"/>
      <c r="N60" s="3"/>
      <c r="O60" s="3"/>
      <c r="P60" s="3"/>
      <c r="Q60" s="3"/>
    </row>
    <row r="61" spans="1:17" ht="42.6" customHeight="1" x14ac:dyDescent="0.25">
      <c r="A61" s="3" t="s">
        <v>62</v>
      </c>
      <c r="B61" s="3" t="s">
        <v>179</v>
      </c>
      <c r="C61" s="3" t="s">
        <v>346</v>
      </c>
      <c r="D61" s="13" t="s">
        <v>347</v>
      </c>
      <c r="E61" s="3" t="s">
        <v>51</v>
      </c>
      <c r="F61" s="3" t="s">
        <v>27</v>
      </c>
      <c r="G61" s="3" t="s">
        <v>140</v>
      </c>
      <c r="H61" s="14" t="s">
        <v>390</v>
      </c>
      <c r="I61" s="6">
        <v>357</v>
      </c>
      <c r="J61" s="6"/>
      <c r="K61" s="6">
        <f>I61*350</f>
        <v>124950</v>
      </c>
      <c r="L61" s="3" t="s">
        <v>396</v>
      </c>
      <c r="M61" s="3"/>
      <c r="N61" s="3"/>
      <c r="O61" s="3"/>
      <c r="P61" s="3"/>
      <c r="Q61" s="3"/>
    </row>
    <row r="62" spans="1:17" ht="42.6" customHeight="1" x14ac:dyDescent="0.25">
      <c r="A62" s="3" t="s">
        <v>62</v>
      </c>
      <c r="B62" s="3" t="s">
        <v>179</v>
      </c>
      <c r="C62" s="3" t="s">
        <v>348</v>
      </c>
      <c r="D62" s="13" t="s">
        <v>349</v>
      </c>
      <c r="E62" s="3" t="s">
        <v>51</v>
      </c>
      <c r="F62" s="3" t="s">
        <v>27</v>
      </c>
      <c r="G62" s="3" t="s">
        <v>140</v>
      </c>
      <c r="H62" s="14" t="s">
        <v>390</v>
      </c>
      <c r="I62" s="6">
        <v>653</v>
      </c>
      <c r="J62" s="6"/>
      <c r="K62" s="6">
        <f>I62*250</f>
        <v>163250</v>
      </c>
      <c r="L62" s="3" t="s">
        <v>396</v>
      </c>
      <c r="M62" s="3"/>
      <c r="N62" s="3"/>
      <c r="O62" s="3"/>
      <c r="P62" s="3"/>
      <c r="Q62" s="3"/>
    </row>
    <row r="63" spans="1:17" ht="42.6" customHeight="1" x14ac:dyDescent="0.25">
      <c r="A63" s="3" t="s">
        <v>62</v>
      </c>
      <c r="B63" s="3" t="s">
        <v>179</v>
      </c>
      <c r="C63" s="3" t="s">
        <v>350</v>
      </c>
      <c r="D63" s="13" t="s">
        <v>351</v>
      </c>
      <c r="E63" s="3" t="s">
        <v>51</v>
      </c>
      <c r="F63" s="3" t="s">
        <v>27</v>
      </c>
      <c r="G63" s="3" t="s">
        <v>140</v>
      </c>
      <c r="H63" s="14" t="s">
        <v>390</v>
      </c>
      <c r="I63" s="6">
        <v>637</v>
      </c>
      <c r="J63" s="6"/>
      <c r="K63" s="6">
        <f>I63*100</f>
        <v>63700</v>
      </c>
      <c r="L63" s="3" t="s">
        <v>396</v>
      </c>
      <c r="M63" s="3"/>
      <c r="N63" s="3"/>
      <c r="O63" s="3"/>
      <c r="P63" s="3"/>
      <c r="Q63" s="3"/>
    </row>
    <row r="64" spans="1:17" ht="38.450000000000003" customHeight="1" x14ac:dyDescent="0.25">
      <c r="A64" s="3" t="s">
        <v>59</v>
      </c>
      <c r="B64" s="3" t="s">
        <v>168</v>
      </c>
      <c r="C64" s="3" t="s">
        <v>60</v>
      </c>
      <c r="D64" s="13" t="s">
        <v>198</v>
      </c>
      <c r="E64" s="48" t="s">
        <v>51</v>
      </c>
      <c r="F64" s="48" t="s">
        <v>42</v>
      </c>
      <c r="G64" s="48" t="s">
        <v>140</v>
      </c>
      <c r="H64" s="14" t="s">
        <v>390</v>
      </c>
      <c r="I64" s="6">
        <v>502</v>
      </c>
      <c r="J64" s="6"/>
      <c r="K64" s="16">
        <f>I64*570</f>
        <v>286140</v>
      </c>
      <c r="L64" s="3" t="s">
        <v>396</v>
      </c>
      <c r="M64" s="3"/>
      <c r="N64" s="3"/>
      <c r="O64" s="3"/>
      <c r="P64" s="3"/>
      <c r="Q64" s="3"/>
    </row>
    <row r="65" spans="1:17" ht="38.450000000000003" customHeight="1" x14ac:dyDescent="0.25">
      <c r="A65" s="3" t="s">
        <v>41</v>
      </c>
      <c r="B65" s="3" t="s">
        <v>161</v>
      </c>
      <c r="C65" s="3" t="s">
        <v>221</v>
      </c>
      <c r="D65" s="13" t="s">
        <v>222</v>
      </c>
      <c r="E65" s="48" t="s">
        <v>51</v>
      </c>
      <c r="F65" s="48" t="s">
        <v>42</v>
      </c>
      <c r="G65" s="48" t="s">
        <v>140</v>
      </c>
      <c r="H65" s="14" t="s">
        <v>390</v>
      </c>
      <c r="I65" s="6">
        <v>7100</v>
      </c>
      <c r="J65" s="6"/>
      <c r="K65" s="16">
        <f>+I65*15</f>
        <v>106500</v>
      </c>
      <c r="L65" s="3" t="s">
        <v>396</v>
      </c>
      <c r="M65" s="3"/>
      <c r="N65" s="3"/>
      <c r="O65" s="3"/>
      <c r="P65" s="3"/>
      <c r="Q65" s="3"/>
    </row>
    <row r="66" spans="1:17" ht="38.450000000000003" customHeight="1" x14ac:dyDescent="0.25">
      <c r="A66" s="3" t="s">
        <v>41</v>
      </c>
      <c r="B66" s="3" t="s">
        <v>161</v>
      </c>
      <c r="C66" s="3" t="s">
        <v>223</v>
      </c>
      <c r="D66" s="13" t="s">
        <v>224</v>
      </c>
      <c r="E66" s="48" t="s">
        <v>51</v>
      </c>
      <c r="F66" s="48" t="s">
        <v>42</v>
      </c>
      <c r="G66" s="48" t="s">
        <v>140</v>
      </c>
      <c r="H66" s="14" t="s">
        <v>390</v>
      </c>
      <c r="I66" s="6">
        <v>4566</v>
      </c>
      <c r="J66" s="6"/>
      <c r="K66" s="16">
        <f>I66*10</f>
        <v>45660</v>
      </c>
      <c r="L66" s="3" t="s">
        <v>396</v>
      </c>
      <c r="M66" s="3"/>
      <c r="N66" s="3"/>
      <c r="O66" s="3"/>
      <c r="P66" s="3"/>
      <c r="Q66" s="3"/>
    </row>
    <row r="67" spans="1:17" ht="38.450000000000003" customHeight="1" x14ac:dyDescent="0.25">
      <c r="A67" s="3" t="s">
        <v>41</v>
      </c>
      <c r="B67" s="3" t="s">
        <v>161</v>
      </c>
      <c r="C67" s="3" t="s">
        <v>225</v>
      </c>
      <c r="D67" s="13" t="s">
        <v>226</v>
      </c>
      <c r="E67" s="48" t="s">
        <v>51</v>
      </c>
      <c r="F67" s="48" t="s">
        <v>42</v>
      </c>
      <c r="G67" s="48" t="s">
        <v>140</v>
      </c>
      <c r="H67" s="14" t="s">
        <v>390</v>
      </c>
      <c r="I67" s="6">
        <v>6396</v>
      </c>
      <c r="J67" s="6"/>
      <c r="K67" s="16">
        <f>I67*10</f>
        <v>63960</v>
      </c>
      <c r="L67" s="3" t="s">
        <v>396</v>
      </c>
      <c r="M67" s="3"/>
      <c r="N67" s="3"/>
      <c r="O67" s="3"/>
      <c r="P67" s="3"/>
      <c r="Q67" s="3"/>
    </row>
    <row r="68" spans="1:17" ht="50.25" customHeight="1" x14ac:dyDescent="0.25">
      <c r="A68" s="3" t="s">
        <v>41</v>
      </c>
      <c r="B68" s="3" t="s">
        <v>161</v>
      </c>
      <c r="C68" s="3" t="s">
        <v>383</v>
      </c>
      <c r="D68" s="13" t="s">
        <v>227</v>
      </c>
      <c r="E68" s="48" t="s">
        <v>51</v>
      </c>
      <c r="F68" s="48" t="s">
        <v>42</v>
      </c>
      <c r="G68" s="48" t="s">
        <v>140</v>
      </c>
      <c r="H68" s="48" t="s">
        <v>421</v>
      </c>
      <c r="I68" s="6">
        <v>40933</v>
      </c>
      <c r="J68" s="6">
        <f>+ROUND((I68*$J$2)+I68,0)</f>
        <v>44146</v>
      </c>
      <c r="K68" s="16">
        <f>+J68*1</f>
        <v>44146</v>
      </c>
      <c r="L68" s="3" t="s">
        <v>422</v>
      </c>
      <c r="M68" s="3"/>
      <c r="N68" s="3"/>
      <c r="O68" s="3"/>
      <c r="P68" s="3"/>
      <c r="Q68" s="3"/>
    </row>
    <row r="69" spans="1:17" ht="38.450000000000003" customHeight="1" x14ac:dyDescent="0.25">
      <c r="A69" s="3" t="s">
        <v>41</v>
      </c>
      <c r="B69" s="3" t="s">
        <v>161</v>
      </c>
      <c r="C69" s="3" t="s">
        <v>228</v>
      </c>
      <c r="D69" s="13" t="s">
        <v>229</v>
      </c>
      <c r="E69" s="48" t="s">
        <v>51</v>
      </c>
      <c r="F69" s="48" t="s">
        <v>42</v>
      </c>
      <c r="G69" s="48" t="s">
        <v>140</v>
      </c>
      <c r="H69" s="14" t="s">
        <v>390</v>
      </c>
      <c r="I69" s="6">
        <v>440</v>
      </c>
      <c r="J69" s="6"/>
      <c r="K69" s="16">
        <f>I69*50</f>
        <v>22000</v>
      </c>
      <c r="L69" s="3" t="s">
        <v>396</v>
      </c>
      <c r="M69" s="3"/>
      <c r="N69" s="3"/>
      <c r="O69" s="3"/>
      <c r="P69" s="3"/>
      <c r="Q69" s="3"/>
    </row>
    <row r="70" spans="1:17" ht="38.450000000000003" customHeight="1" x14ac:dyDescent="0.25">
      <c r="A70" s="3" t="s">
        <v>41</v>
      </c>
      <c r="B70" s="3" t="s">
        <v>161</v>
      </c>
      <c r="C70" s="3" t="s">
        <v>43</v>
      </c>
      <c r="D70" s="13" t="s">
        <v>452</v>
      </c>
      <c r="E70" s="48" t="s">
        <v>51</v>
      </c>
      <c r="F70" s="48" t="s">
        <v>42</v>
      </c>
      <c r="G70" s="48" t="s">
        <v>140</v>
      </c>
      <c r="H70" s="14" t="s">
        <v>390</v>
      </c>
      <c r="I70" s="6">
        <v>80006</v>
      </c>
      <c r="J70" s="6"/>
      <c r="K70" s="16">
        <f>ROUND((I70*1)/3,0)</f>
        <v>26669</v>
      </c>
      <c r="L70" s="3" t="s">
        <v>396</v>
      </c>
      <c r="M70" s="3"/>
      <c r="N70" s="3"/>
      <c r="O70" s="3"/>
      <c r="P70" s="3"/>
      <c r="Q70" s="3"/>
    </row>
    <row r="71" spans="1:17" ht="38.450000000000003" customHeight="1" x14ac:dyDescent="0.25">
      <c r="A71" s="3" t="s">
        <v>41</v>
      </c>
      <c r="B71" s="3" t="s">
        <v>161</v>
      </c>
      <c r="C71" s="3" t="s">
        <v>219</v>
      </c>
      <c r="D71" s="13" t="s">
        <v>453</v>
      </c>
      <c r="E71" s="48" t="s">
        <v>51</v>
      </c>
      <c r="F71" s="48" t="s">
        <v>42</v>
      </c>
      <c r="G71" s="48" t="s">
        <v>140</v>
      </c>
      <c r="H71" s="14" t="s">
        <v>390</v>
      </c>
      <c r="I71" s="6">
        <v>3938</v>
      </c>
      <c r="J71" s="6"/>
      <c r="K71" s="16">
        <f>ROUND((I71*20)/2,0)</f>
        <v>39380</v>
      </c>
      <c r="L71" s="3" t="s">
        <v>396</v>
      </c>
      <c r="M71" s="3"/>
      <c r="N71" s="3"/>
      <c r="O71" s="3"/>
      <c r="P71" s="3"/>
      <c r="Q71" s="3"/>
    </row>
    <row r="72" spans="1:17" ht="38.450000000000003" customHeight="1" x14ac:dyDescent="0.25">
      <c r="A72" s="3" t="s">
        <v>41</v>
      </c>
      <c r="B72" s="3" t="s">
        <v>161</v>
      </c>
      <c r="C72" s="3" t="s">
        <v>220</v>
      </c>
      <c r="D72" s="13" t="s">
        <v>151</v>
      </c>
      <c r="E72" s="48" t="s">
        <v>51</v>
      </c>
      <c r="F72" s="48" t="s">
        <v>42</v>
      </c>
      <c r="G72" s="48" t="s">
        <v>140</v>
      </c>
      <c r="H72" s="14" t="s">
        <v>390</v>
      </c>
      <c r="I72" s="6">
        <v>4381</v>
      </c>
      <c r="J72" s="6"/>
      <c r="K72" s="16">
        <f>I72*20</f>
        <v>87620</v>
      </c>
      <c r="L72" s="3" t="s">
        <v>396</v>
      </c>
      <c r="M72" s="3"/>
      <c r="N72" s="3"/>
      <c r="O72" s="3"/>
      <c r="P72" s="3"/>
      <c r="Q72" s="3"/>
    </row>
    <row r="73" spans="1:17" ht="38.450000000000003" customHeight="1" x14ac:dyDescent="0.25">
      <c r="A73" s="3" t="s">
        <v>41</v>
      </c>
      <c r="B73" s="3" t="s">
        <v>161</v>
      </c>
      <c r="C73" s="3" t="s">
        <v>44</v>
      </c>
      <c r="D73" s="13" t="s">
        <v>150</v>
      </c>
      <c r="E73" s="48" t="s">
        <v>51</v>
      </c>
      <c r="F73" s="48" t="s">
        <v>42</v>
      </c>
      <c r="G73" s="48" t="s">
        <v>140</v>
      </c>
      <c r="H73" s="14" t="s">
        <v>390</v>
      </c>
      <c r="I73" s="6">
        <v>20386</v>
      </c>
      <c r="J73" s="6"/>
      <c r="K73" s="16">
        <f>I73*1</f>
        <v>20386</v>
      </c>
      <c r="L73" s="3" t="s">
        <v>396</v>
      </c>
      <c r="M73" s="3"/>
      <c r="N73" s="3"/>
      <c r="O73" s="3"/>
      <c r="P73" s="3"/>
      <c r="Q73" s="3"/>
    </row>
    <row r="74" spans="1:17" ht="38.450000000000003" customHeight="1" x14ac:dyDescent="0.25">
      <c r="A74" s="3" t="s">
        <v>41</v>
      </c>
      <c r="B74" s="3" t="s">
        <v>161</v>
      </c>
      <c r="C74" s="3" t="s">
        <v>230</v>
      </c>
      <c r="D74" s="13" t="s">
        <v>231</v>
      </c>
      <c r="E74" s="48" t="s">
        <v>51</v>
      </c>
      <c r="F74" s="48" t="s">
        <v>42</v>
      </c>
      <c r="G74" s="48" t="s">
        <v>140</v>
      </c>
      <c r="H74" s="14" t="s">
        <v>390</v>
      </c>
      <c r="I74" s="6">
        <v>29781</v>
      </c>
      <c r="J74" s="6"/>
      <c r="K74" s="16">
        <f>I74*5</f>
        <v>148905</v>
      </c>
      <c r="L74" s="3" t="s">
        <v>396</v>
      </c>
      <c r="M74" s="3"/>
      <c r="N74" s="3"/>
      <c r="O74" s="3"/>
      <c r="P74" s="3"/>
      <c r="Q74" s="3"/>
    </row>
    <row r="75" spans="1:17" ht="38.450000000000003" customHeight="1" x14ac:dyDescent="0.25">
      <c r="A75" s="3" t="s">
        <v>41</v>
      </c>
      <c r="B75" s="3" t="s">
        <v>161</v>
      </c>
      <c r="C75" s="3" t="s">
        <v>232</v>
      </c>
      <c r="D75" s="13" t="s">
        <v>153</v>
      </c>
      <c r="E75" s="48" t="s">
        <v>51</v>
      </c>
      <c r="F75" s="48" t="s">
        <v>42</v>
      </c>
      <c r="G75" s="48" t="s">
        <v>140</v>
      </c>
      <c r="H75" s="14" t="s">
        <v>390</v>
      </c>
      <c r="I75" s="6">
        <v>6346</v>
      </c>
      <c r="J75" s="6"/>
      <c r="K75" s="16">
        <f>I75*8</f>
        <v>50768</v>
      </c>
      <c r="L75" s="3" t="s">
        <v>396</v>
      </c>
      <c r="M75" s="3"/>
      <c r="N75" s="3"/>
      <c r="O75" s="3"/>
      <c r="P75" s="3"/>
      <c r="Q75" s="3"/>
    </row>
    <row r="76" spans="1:17" ht="38.450000000000003" customHeight="1" x14ac:dyDescent="0.25">
      <c r="A76" s="3" t="s">
        <v>41</v>
      </c>
      <c r="B76" s="3" t="s">
        <v>161</v>
      </c>
      <c r="C76" s="3" t="s">
        <v>233</v>
      </c>
      <c r="D76" s="13" t="s">
        <v>462</v>
      </c>
      <c r="E76" s="48" t="s">
        <v>51</v>
      </c>
      <c r="F76" s="48" t="s">
        <v>42</v>
      </c>
      <c r="G76" s="48" t="s">
        <v>140</v>
      </c>
      <c r="H76" s="14" t="s">
        <v>390</v>
      </c>
      <c r="I76" s="6">
        <v>4430</v>
      </c>
      <c r="J76" s="6"/>
      <c r="K76" s="16">
        <f>I76*10</f>
        <v>44300</v>
      </c>
      <c r="L76" s="3" t="s">
        <v>396</v>
      </c>
      <c r="M76" s="3"/>
      <c r="N76" s="3"/>
      <c r="O76" s="3"/>
      <c r="P76" s="3"/>
      <c r="Q76" s="3"/>
    </row>
    <row r="77" spans="1:17" ht="38.450000000000003" customHeight="1" x14ac:dyDescent="0.25">
      <c r="A77" s="3" t="s">
        <v>41</v>
      </c>
      <c r="B77" s="3" t="s">
        <v>161</v>
      </c>
      <c r="C77" s="3" t="s">
        <v>368</v>
      </c>
      <c r="D77" s="13" t="s">
        <v>150</v>
      </c>
      <c r="E77" s="48" t="s">
        <v>51</v>
      </c>
      <c r="F77" s="48" t="s">
        <v>42</v>
      </c>
      <c r="G77" s="48" t="s">
        <v>140</v>
      </c>
      <c r="H77" s="14" t="s">
        <v>390</v>
      </c>
      <c r="I77" s="6">
        <v>4796</v>
      </c>
      <c r="J77" s="6"/>
      <c r="K77" s="16">
        <f>I77*1</f>
        <v>4796</v>
      </c>
      <c r="L77" s="3" t="s">
        <v>396</v>
      </c>
      <c r="M77" s="3"/>
      <c r="N77" s="3"/>
      <c r="O77" s="3"/>
      <c r="P77" s="3"/>
      <c r="Q77" s="3"/>
    </row>
    <row r="78" spans="1:17" ht="38.450000000000003" customHeight="1" x14ac:dyDescent="0.25">
      <c r="A78" s="3" t="s">
        <v>41</v>
      </c>
      <c r="B78" s="3" t="s">
        <v>161</v>
      </c>
      <c r="C78" s="3" t="s">
        <v>1</v>
      </c>
      <c r="D78" s="13" t="s">
        <v>149</v>
      </c>
      <c r="E78" s="48" t="s">
        <v>51</v>
      </c>
      <c r="F78" s="48" t="s">
        <v>42</v>
      </c>
      <c r="G78" s="48" t="s">
        <v>140</v>
      </c>
      <c r="H78" s="14" t="s">
        <v>390</v>
      </c>
      <c r="I78" s="6">
        <v>4309</v>
      </c>
      <c r="J78" s="6"/>
      <c r="K78" s="16">
        <f>I78*10</f>
        <v>43090</v>
      </c>
      <c r="L78" s="3" t="s">
        <v>396</v>
      </c>
      <c r="M78" s="3"/>
      <c r="N78" s="3"/>
      <c r="O78" s="3"/>
      <c r="P78" s="3"/>
      <c r="Q78" s="3"/>
    </row>
    <row r="79" spans="1:17" ht="38.450000000000003" customHeight="1" x14ac:dyDescent="0.25">
      <c r="A79" s="3" t="s">
        <v>41</v>
      </c>
      <c r="B79" s="3" t="s">
        <v>161</v>
      </c>
      <c r="C79" s="3" t="s">
        <v>2</v>
      </c>
      <c r="D79" s="13" t="s">
        <v>151</v>
      </c>
      <c r="E79" s="48" t="s">
        <v>51</v>
      </c>
      <c r="F79" s="48" t="s">
        <v>42</v>
      </c>
      <c r="G79" s="48" t="s">
        <v>140</v>
      </c>
      <c r="H79" s="14" t="s">
        <v>390</v>
      </c>
      <c r="I79" s="6">
        <v>6057</v>
      </c>
      <c r="J79" s="6"/>
      <c r="K79" s="16">
        <f>I79*20</f>
        <v>121140</v>
      </c>
      <c r="L79" s="3" t="s">
        <v>396</v>
      </c>
      <c r="M79" s="3"/>
      <c r="N79" s="3"/>
      <c r="O79" s="3"/>
      <c r="P79" s="3"/>
      <c r="Q79" s="3"/>
    </row>
    <row r="80" spans="1:17" ht="38.450000000000003" customHeight="1" x14ac:dyDescent="0.25">
      <c r="A80" s="3" t="s">
        <v>41</v>
      </c>
      <c r="B80" s="3" t="s">
        <v>161</v>
      </c>
      <c r="C80" s="3" t="s">
        <v>3</v>
      </c>
      <c r="D80" s="13" t="s">
        <v>149</v>
      </c>
      <c r="E80" s="48" t="s">
        <v>51</v>
      </c>
      <c r="F80" s="48" t="s">
        <v>42</v>
      </c>
      <c r="G80" s="48" t="s">
        <v>140</v>
      </c>
      <c r="H80" s="14" t="s">
        <v>390</v>
      </c>
      <c r="I80" s="6">
        <v>7866</v>
      </c>
      <c r="J80" s="6"/>
      <c r="K80" s="16">
        <f>I80*10</f>
        <v>78660</v>
      </c>
      <c r="L80" s="3" t="s">
        <v>396</v>
      </c>
      <c r="M80" s="3"/>
      <c r="N80" s="3"/>
      <c r="O80" s="3"/>
      <c r="P80" s="3"/>
      <c r="Q80" s="3"/>
    </row>
    <row r="81" spans="1:17" ht="38.450000000000003" customHeight="1" x14ac:dyDescent="0.25">
      <c r="A81" s="3" t="s">
        <v>41</v>
      </c>
      <c r="B81" s="3" t="s">
        <v>161</v>
      </c>
      <c r="C81" s="3" t="s">
        <v>4</v>
      </c>
      <c r="D81" s="13" t="s">
        <v>152</v>
      </c>
      <c r="E81" s="48" t="s">
        <v>51</v>
      </c>
      <c r="F81" s="48" t="s">
        <v>42</v>
      </c>
      <c r="G81" s="48" t="s">
        <v>140</v>
      </c>
      <c r="H81" s="14" t="s">
        <v>390</v>
      </c>
      <c r="I81" s="6">
        <v>12216</v>
      </c>
      <c r="J81" s="6"/>
      <c r="K81" s="16">
        <f>I81*5</f>
        <v>61080</v>
      </c>
      <c r="L81" s="3" t="s">
        <v>396</v>
      </c>
      <c r="M81" s="3"/>
      <c r="N81" s="3"/>
      <c r="O81" s="3"/>
      <c r="P81" s="3"/>
      <c r="Q81" s="3"/>
    </row>
    <row r="82" spans="1:17" ht="38.450000000000003" customHeight="1" x14ac:dyDescent="0.25">
      <c r="A82" s="3" t="s">
        <v>41</v>
      </c>
      <c r="B82" s="3" t="s">
        <v>161</v>
      </c>
      <c r="C82" s="3" t="s">
        <v>46</v>
      </c>
      <c r="D82" s="13" t="s">
        <v>149</v>
      </c>
      <c r="E82" s="48" t="s">
        <v>51</v>
      </c>
      <c r="F82" s="48" t="s">
        <v>42</v>
      </c>
      <c r="G82" s="48" t="s">
        <v>140</v>
      </c>
      <c r="H82" s="14" t="s">
        <v>390</v>
      </c>
      <c r="I82" s="6">
        <v>7486</v>
      </c>
      <c r="J82" s="6"/>
      <c r="K82" s="16">
        <f>I82*10</f>
        <v>74860</v>
      </c>
      <c r="L82" s="3" t="s">
        <v>396</v>
      </c>
      <c r="M82" s="3"/>
      <c r="N82" s="3"/>
      <c r="O82" s="3"/>
      <c r="P82" s="3"/>
      <c r="Q82" s="3"/>
    </row>
    <row r="83" spans="1:17" ht="38.450000000000003" customHeight="1" x14ac:dyDescent="0.25">
      <c r="A83" s="3" t="s">
        <v>41</v>
      </c>
      <c r="B83" s="3" t="s">
        <v>161</v>
      </c>
      <c r="C83" s="3" t="s">
        <v>234</v>
      </c>
      <c r="D83" s="13" t="s">
        <v>151</v>
      </c>
      <c r="E83" s="48" t="s">
        <v>51</v>
      </c>
      <c r="F83" s="48" t="s">
        <v>42</v>
      </c>
      <c r="G83" s="48" t="s">
        <v>140</v>
      </c>
      <c r="H83" s="14" t="s">
        <v>390</v>
      </c>
      <c r="I83" s="6">
        <v>17525</v>
      </c>
      <c r="J83" s="6"/>
      <c r="K83" s="16">
        <f>I83*20</f>
        <v>350500</v>
      </c>
      <c r="L83" s="3" t="s">
        <v>396</v>
      </c>
      <c r="M83" s="3"/>
      <c r="N83" s="3"/>
      <c r="O83" s="3"/>
      <c r="P83" s="3"/>
      <c r="Q83" s="3"/>
    </row>
    <row r="84" spans="1:17" ht="38.450000000000003" customHeight="1" x14ac:dyDescent="0.25">
      <c r="A84" s="3" t="s">
        <v>41</v>
      </c>
      <c r="B84" s="3" t="s">
        <v>161</v>
      </c>
      <c r="C84" s="3" t="s">
        <v>5</v>
      </c>
      <c r="D84" s="13" t="s">
        <v>154</v>
      </c>
      <c r="E84" s="48" t="s">
        <v>51</v>
      </c>
      <c r="F84" s="48" t="s">
        <v>42</v>
      </c>
      <c r="G84" s="48" t="s">
        <v>140</v>
      </c>
      <c r="H84" s="14" t="s">
        <v>390</v>
      </c>
      <c r="I84" s="6">
        <v>11298</v>
      </c>
      <c r="J84" s="6"/>
      <c r="K84" s="16">
        <f>I84*30</f>
        <v>338940</v>
      </c>
      <c r="L84" s="3" t="s">
        <v>396</v>
      </c>
      <c r="M84" s="3"/>
      <c r="N84" s="3"/>
      <c r="O84" s="3"/>
      <c r="P84" s="3"/>
      <c r="Q84" s="3"/>
    </row>
    <row r="85" spans="1:17" ht="38.450000000000003" customHeight="1" x14ac:dyDescent="0.25">
      <c r="A85" s="3" t="s">
        <v>41</v>
      </c>
      <c r="B85" s="3" t="s">
        <v>161</v>
      </c>
      <c r="C85" s="3" t="s">
        <v>6</v>
      </c>
      <c r="D85" s="13" t="s">
        <v>151</v>
      </c>
      <c r="E85" s="48" t="s">
        <v>51</v>
      </c>
      <c r="F85" s="48" t="s">
        <v>42</v>
      </c>
      <c r="G85" s="48" t="s">
        <v>140</v>
      </c>
      <c r="H85" s="14" t="s">
        <v>390</v>
      </c>
      <c r="I85" s="6">
        <v>12309</v>
      </c>
      <c r="J85" s="6"/>
      <c r="K85" s="16">
        <f>I85*20</f>
        <v>246180</v>
      </c>
      <c r="L85" s="3" t="s">
        <v>396</v>
      </c>
      <c r="M85" s="3"/>
      <c r="N85" s="3"/>
      <c r="O85" s="3"/>
      <c r="P85" s="3"/>
      <c r="Q85" s="3"/>
    </row>
    <row r="86" spans="1:17" ht="38.450000000000003" customHeight="1" x14ac:dyDescent="0.25">
      <c r="A86" s="3" t="s">
        <v>41</v>
      </c>
      <c r="B86" s="3" t="s">
        <v>161</v>
      </c>
      <c r="C86" s="3" t="s">
        <v>7</v>
      </c>
      <c r="D86" s="13" t="s">
        <v>151</v>
      </c>
      <c r="E86" s="48" t="s">
        <v>51</v>
      </c>
      <c r="F86" s="48" t="s">
        <v>42</v>
      </c>
      <c r="G86" s="48" t="s">
        <v>140</v>
      </c>
      <c r="H86" s="14" t="s">
        <v>390</v>
      </c>
      <c r="I86" s="6">
        <v>20890</v>
      </c>
      <c r="J86" s="6"/>
      <c r="K86" s="16">
        <f>I86*20</f>
        <v>417800</v>
      </c>
      <c r="L86" s="3" t="s">
        <v>396</v>
      </c>
      <c r="M86" s="3"/>
      <c r="N86" s="3"/>
      <c r="O86" s="3"/>
      <c r="P86" s="3"/>
      <c r="Q86" s="3"/>
    </row>
    <row r="87" spans="1:17" ht="38.450000000000003" customHeight="1" x14ac:dyDescent="0.25">
      <c r="A87" s="3" t="s">
        <v>41</v>
      </c>
      <c r="B87" s="3" t="s">
        <v>161</v>
      </c>
      <c r="C87" s="3" t="s">
        <v>8</v>
      </c>
      <c r="D87" s="13" t="s">
        <v>151</v>
      </c>
      <c r="E87" s="48" t="s">
        <v>51</v>
      </c>
      <c r="F87" s="48" t="s">
        <v>42</v>
      </c>
      <c r="G87" s="48" t="s">
        <v>140</v>
      </c>
      <c r="H87" s="14" t="s">
        <v>390</v>
      </c>
      <c r="I87" s="6">
        <v>16869</v>
      </c>
      <c r="J87" s="6"/>
      <c r="K87" s="16">
        <f>I87*20</f>
        <v>337380</v>
      </c>
      <c r="L87" s="3" t="s">
        <v>396</v>
      </c>
      <c r="M87" s="3"/>
      <c r="N87" s="3"/>
      <c r="O87" s="3"/>
      <c r="P87" s="3"/>
      <c r="Q87" s="3"/>
    </row>
    <row r="88" spans="1:17" ht="38.450000000000003" customHeight="1" x14ac:dyDescent="0.25">
      <c r="A88" s="3" t="s">
        <v>41</v>
      </c>
      <c r="B88" s="3" t="s">
        <v>162</v>
      </c>
      <c r="C88" s="3" t="s">
        <v>48</v>
      </c>
      <c r="D88" s="13" t="s">
        <v>113</v>
      </c>
      <c r="E88" s="48" t="s">
        <v>51</v>
      </c>
      <c r="F88" s="48" t="s">
        <v>42</v>
      </c>
      <c r="G88" s="48" t="s">
        <v>140</v>
      </c>
      <c r="H88" s="14" t="s">
        <v>390</v>
      </c>
      <c r="I88" s="6">
        <v>5535</v>
      </c>
      <c r="J88" s="6"/>
      <c r="K88" s="16">
        <f>I88*1</f>
        <v>5535</v>
      </c>
      <c r="L88" s="3" t="s">
        <v>396</v>
      </c>
      <c r="M88" s="3"/>
      <c r="N88" s="3"/>
      <c r="O88" s="3"/>
      <c r="P88" s="3"/>
      <c r="Q88" s="3"/>
    </row>
    <row r="89" spans="1:17" ht="38.450000000000003" customHeight="1" x14ac:dyDescent="0.25">
      <c r="A89" s="3" t="s">
        <v>41</v>
      </c>
      <c r="B89" s="3" t="s">
        <v>162</v>
      </c>
      <c r="C89" s="3" t="s">
        <v>47</v>
      </c>
      <c r="D89" s="13" t="s">
        <v>114</v>
      </c>
      <c r="E89" s="48" t="s">
        <v>51</v>
      </c>
      <c r="F89" s="48" t="s">
        <v>42</v>
      </c>
      <c r="G89" s="48" t="s">
        <v>140</v>
      </c>
      <c r="H89" s="14" t="s">
        <v>390</v>
      </c>
      <c r="I89" s="6">
        <v>18473</v>
      </c>
      <c r="J89" s="6"/>
      <c r="K89" s="16">
        <f>I89*10</f>
        <v>184730</v>
      </c>
      <c r="L89" s="3" t="s">
        <v>396</v>
      </c>
      <c r="M89" s="3"/>
      <c r="N89" s="3"/>
      <c r="O89" s="3"/>
      <c r="P89" s="3"/>
      <c r="Q89" s="3"/>
    </row>
    <row r="90" spans="1:17" ht="38.450000000000003" customHeight="1" x14ac:dyDescent="0.25">
      <c r="A90" s="3" t="s">
        <v>41</v>
      </c>
      <c r="B90" s="3" t="s">
        <v>162</v>
      </c>
      <c r="C90" s="3" t="s">
        <v>9</v>
      </c>
      <c r="D90" s="13" t="s">
        <v>117</v>
      </c>
      <c r="E90" s="48" t="s">
        <v>51</v>
      </c>
      <c r="F90" s="48" t="s">
        <v>42</v>
      </c>
      <c r="G90" s="48" t="s">
        <v>140</v>
      </c>
      <c r="H90" s="14" t="s">
        <v>390</v>
      </c>
      <c r="I90" s="6">
        <v>9834</v>
      </c>
      <c r="J90" s="6"/>
      <c r="K90" s="16">
        <f>I90*50</f>
        <v>491700</v>
      </c>
      <c r="L90" s="3" t="s">
        <v>396</v>
      </c>
      <c r="M90" s="3"/>
      <c r="N90" s="3"/>
      <c r="O90" s="3"/>
      <c r="P90" s="3"/>
      <c r="Q90" s="3"/>
    </row>
    <row r="91" spans="1:17" ht="38.450000000000003" customHeight="1" x14ac:dyDescent="0.25">
      <c r="A91" s="3" t="s">
        <v>41</v>
      </c>
      <c r="B91" s="3" t="s">
        <v>162</v>
      </c>
      <c r="C91" s="3" t="s">
        <v>49</v>
      </c>
      <c r="D91" s="13" t="s">
        <v>150</v>
      </c>
      <c r="E91" s="48" t="s">
        <v>51</v>
      </c>
      <c r="F91" s="48" t="s">
        <v>42</v>
      </c>
      <c r="G91" s="48" t="s">
        <v>140</v>
      </c>
      <c r="H91" s="14" t="s">
        <v>390</v>
      </c>
      <c r="I91" s="6">
        <v>8880</v>
      </c>
      <c r="J91" s="6"/>
      <c r="K91" s="16">
        <f>I91*1</f>
        <v>8880</v>
      </c>
      <c r="L91" s="3" t="s">
        <v>396</v>
      </c>
      <c r="M91" s="3"/>
      <c r="N91" s="3"/>
      <c r="O91" s="3"/>
      <c r="P91" s="3"/>
      <c r="Q91" s="3"/>
    </row>
    <row r="92" spans="1:17" ht="38.450000000000003" customHeight="1" x14ac:dyDescent="0.25">
      <c r="A92" s="3" t="s">
        <v>41</v>
      </c>
      <c r="B92" s="3" t="s">
        <v>162</v>
      </c>
      <c r="C92" s="3" t="s">
        <v>10</v>
      </c>
      <c r="D92" s="13" t="s">
        <v>112</v>
      </c>
      <c r="E92" s="48" t="s">
        <v>51</v>
      </c>
      <c r="F92" s="48" t="s">
        <v>42</v>
      </c>
      <c r="G92" s="48" t="s">
        <v>38</v>
      </c>
      <c r="H92" s="14" t="s">
        <v>390</v>
      </c>
      <c r="I92" s="6">
        <v>49070</v>
      </c>
      <c r="J92" s="6"/>
      <c r="K92" s="8"/>
      <c r="L92" s="3" t="s">
        <v>396</v>
      </c>
      <c r="M92" s="3"/>
      <c r="N92" s="3"/>
      <c r="O92" s="16">
        <f>I92*10</f>
        <v>490700</v>
      </c>
      <c r="P92" s="3"/>
      <c r="Q92" s="3"/>
    </row>
    <row r="93" spans="1:17" ht="38.450000000000003" customHeight="1" x14ac:dyDescent="0.25">
      <c r="A93" s="3" t="s">
        <v>41</v>
      </c>
      <c r="B93" s="3" t="s">
        <v>162</v>
      </c>
      <c r="C93" s="3" t="s">
        <v>50</v>
      </c>
      <c r="D93" s="13" t="s">
        <v>112</v>
      </c>
      <c r="E93" s="48" t="s">
        <v>51</v>
      </c>
      <c r="F93" s="48" t="s">
        <v>42</v>
      </c>
      <c r="G93" s="48" t="s">
        <v>38</v>
      </c>
      <c r="H93" s="14" t="s">
        <v>390</v>
      </c>
      <c r="I93" s="6">
        <v>59606</v>
      </c>
      <c r="J93" s="6"/>
      <c r="K93" s="8"/>
      <c r="L93" s="3" t="s">
        <v>396</v>
      </c>
      <c r="M93" s="3"/>
      <c r="N93" s="3"/>
      <c r="O93" s="16">
        <f>I93*10</f>
        <v>596060</v>
      </c>
      <c r="P93" s="3"/>
      <c r="Q93" s="3"/>
    </row>
    <row r="94" spans="1:17" ht="38.450000000000003" customHeight="1" x14ac:dyDescent="0.25">
      <c r="A94" s="3" t="s">
        <v>41</v>
      </c>
      <c r="B94" s="3" t="s">
        <v>162</v>
      </c>
      <c r="C94" s="3" t="s">
        <v>142</v>
      </c>
      <c r="D94" s="13" t="s">
        <v>150</v>
      </c>
      <c r="E94" s="48" t="s">
        <v>51</v>
      </c>
      <c r="F94" s="48" t="s">
        <v>42</v>
      </c>
      <c r="G94" s="48" t="s">
        <v>146</v>
      </c>
      <c r="H94" s="14" t="s">
        <v>390</v>
      </c>
      <c r="I94" s="6">
        <v>65719</v>
      </c>
      <c r="J94" s="6"/>
      <c r="K94" s="16">
        <f>I94*1</f>
        <v>65719</v>
      </c>
      <c r="L94" s="3" t="s">
        <v>396</v>
      </c>
      <c r="M94" s="3"/>
      <c r="N94" s="3"/>
      <c r="O94" s="3"/>
      <c r="P94" s="3"/>
      <c r="Q94" s="3"/>
    </row>
    <row r="95" spans="1:17" ht="38.450000000000003" customHeight="1" x14ac:dyDescent="0.25">
      <c r="A95" s="3" t="s">
        <v>41</v>
      </c>
      <c r="B95" s="3" t="s">
        <v>162</v>
      </c>
      <c r="C95" s="3" t="s">
        <v>244</v>
      </c>
      <c r="D95" s="13" t="s">
        <v>245</v>
      </c>
      <c r="E95" s="48" t="s">
        <v>51</v>
      </c>
      <c r="F95" s="48" t="s">
        <v>42</v>
      </c>
      <c r="G95" s="48" t="s">
        <v>140</v>
      </c>
      <c r="H95" s="14" t="s">
        <v>390</v>
      </c>
      <c r="I95" s="6">
        <v>15099</v>
      </c>
      <c r="J95" s="6"/>
      <c r="K95" s="16">
        <f>I95*4</f>
        <v>60396</v>
      </c>
      <c r="L95" s="3" t="s">
        <v>396</v>
      </c>
      <c r="M95" s="3"/>
      <c r="N95" s="3"/>
      <c r="O95" s="3"/>
      <c r="P95" s="3"/>
      <c r="Q95" s="3"/>
    </row>
    <row r="96" spans="1:17" ht="38.450000000000003" customHeight="1" x14ac:dyDescent="0.25">
      <c r="A96" s="3" t="s">
        <v>41</v>
      </c>
      <c r="B96" s="3" t="s">
        <v>162</v>
      </c>
      <c r="C96" s="3" t="s">
        <v>237</v>
      </c>
      <c r="D96" s="13" t="s">
        <v>155</v>
      </c>
      <c r="E96" s="48" t="s">
        <v>51</v>
      </c>
      <c r="F96" s="48" t="s">
        <v>42</v>
      </c>
      <c r="G96" s="48" t="s">
        <v>140</v>
      </c>
      <c r="H96" s="14" t="s">
        <v>390</v>
      </c>
      <c r="I96" s="6">
        <v>42504</v>
      </c>
      <c r="J96" s="6"/>
      <c r="K96" s="16">
        <f>I96*2</f>
        <v>85008</v>
      </c>
      <c r="L96" s="3" t="s">
        <v>396</v>
      </c>
      <c r="M96" s="3"/>
      <c r="N96" s="3"/>
      <c r="O96" s="3"/>
      <c r="P96" s="3"/>
      <c r="Q96" s="3"/>
    </row>
    <row r="97" spans="1:17" ht="38.450000000000003" customHeight="1" x14ac:dyDescent="0.25">
      <c r="A97" s="3" t="s">
        <v>41</v>
      </c>
      <c r="B97" s="3" t="s">
        <v>162</v>
      </c>
      <c r="C97" s="3" t="s">
        <v>236</v>
      </c>
      <c r="D97" s="13" t="s">
        <v>156</v>
      </c>
      <c r="E97" s="48" t="s">
        <v>51</v>
      </c>
      <c r="F97" s="48" t="s">
        <v>42</v>
      </c>
      <c r="G97" s="48" t="s">
        <v>140</v>
      </c>
      <c r="H97" s="14" t="s">
        <v>390</v>
      </c>
      <c r="I97" s="6">
        <v>40013</v>
      </c>
      <c r="J97" s="6"/>
      <c r="K97" s="16">
        <f>I97*4</f>
        <v>160052</v>
      </c>
      <c r="L97" s="3" t="s">
        <v>396</v>
      </c>
      <c r="M97" s="3"/>
      <c r="N97" s="3"/>
      <c r="O97" s="3"/>
      <c r="P97" s="3"/>
      <c r="Q97" s="3"/>
    </row>
    <row r="98" spans="1:17" ht="38.450000000000003" customHeight="1" x14ac:dyDescent="0.25">
      <c r="A98" s="3" t="s">
        <v>41</v>
      </c>
      <c r="B98" s="3" t="s">
        <v>162</v>
      </c>
      <c r="C98" s="3" t="s">
        <v>235</v>
      </c>
      <c r="D98" s="13" t="s">
        <v>149</v>
      </c>
      <c r="E98" s="48" t="s">
        <v>51</v>
      </c>
      <c r="F98" s="48" t="s">
        <v>42</v>
      </c>
      <c r="G98" s="48" t="s">
        <v>140</v>
      </c>
      <c r="H98" s="14" t="s">
        <v>390</v>
      </c>
      <c r="I98" s="6">
        <v>3392</v>
      </c>
      <c r="J98" s="6"/>
      <c r="K98" s="16">
        <f>I98*10</f>
        <v>33920</v>
      </c>
      <c r="L98" s="3" t="s">
        <v>396</v>
      </c>
      <c r="M98" s="3"/>
      <c r="N98" s="3"/>
      <c r="O98" s="3"/>
      <c r="P98" s="3"/>
      <c r="Q98" s="3"/>
    </row>
    <row r="99" spans="1:17" ht="38.450000000000003" customHeight="1" x14ac:dyDescent="0.25">
      <c r="A99" s="3" t="s">
        <v>41</v>
      </c>
      <c r="B99" s="3" t="s">
        <v>162</v>
      </c>
      <c r="C99" s="3" t="s">
        <v>11</v>
      </c>
      <c r="D99" s="13" t="s">
        <v>149</v>
      </c>
      <c r="E99" s="48" t="s">
        <v>51</v>
      </c>
      <c r="F99" s="48" t="s">
        <v>42</v>
      </c>
      <c r="G99" s="48" t="s">
        <v>140</v>
      </c>
      <c r="H99" s="14" t="s">
        <v>390</v>
      </c>
      <c r="I99" s="6">
        <v>7889</v>
      </c>
      <c r="J99" s="6"/>
      <c r="K99" s="16">
        <f>I99*10</f>
        <v>78890</v>
      </c>
      <c r="L99" s="3" t="s">
        <v>396</v>
      </c>
      <c r="M99" s="3"/>
      <c r="N99" s="3"/>
      <c r="O99" s="3"/>
      <c r="P99" s="3"/>
      <c r="Q99" s="3"/>
    </row>
    <row r="100" spans="1:17" ht="38.450000000000003" customHeight="1" x14ac:dyDescent="0.25">
      <c r="A100" s="3" t="s">
        <v>41</v>
      </c>
      <c r="B100" s="3" t="s">
        <v>162</v>
      </c>
      <c r="C100" s="3" t="s">
        <v>12</v>
      </c>
      <c r="D100" s="13" t="s">
        <v>112</v>
      </c>
      <c r="E100" s="48" t="s">
        <v>51</v>
      </c>
      <c r="F100" s="48" t="s">
        <v>42</v>
      </c>
      <c r="G100" s="48" t="s">
        <v>110</v>
      </c>
      <c r="H100" s="14" t="s">
        <v>390</v>
      </c>
      <c r="I100" s="6">
        <v>48810</v>
      </c>
      <c r="J100" s="6"/>
      <c r="K100" s="3"/>
      <c r="L100" s="3" t="s">
        <v>396</v>
      </c>
      <c r="M100" s="3"/>
      <c r="N100" s="3"/>
      <c r="O100" s="16">
        <f>I100*10</f>
        <v>488100</v>
      </c>
      <c r="P100" s="3"/>
      <c r="Q100" s="3"/>
    </row>
    <row r="101" spans="1:17" ht="38.450000000000003" customHeight="1" x14ac:dyDescent="0.25">
      <c r="A101" s="3" t="s">
        <v>41</v>
      </c>
      <c r="B101" s="3" t="s">
        <v>162</v>
      </c>
      <c r="C101" s="3" t="s">
        <v>13</v>
      </c>
      <c r="D101" s="13" t="s">
        <v>116</v>
      </c>
      <c r="E101" s="48" t="s">
        <v>51</v>
      </c>
      <c r="F101" s="48" t="s">
        <v>42</v>
      </c>
      <c r="G101" s="48" t="s">
        <v>110</v>
      </c>
      <c r="H101" s="14" t="s">
        <v>390</v>
      </c>
      <c r="I101" s="6">
        <v>28365</v>
      </c>
      <c r="J101" s="6"/>
      <c r="K101" s="3"/>
      <c r="L101" s="3" t="s">
        <v>396</v>
      </c>
      <c r="M101" s="3"/>
      <c r="N101" s="3"/>
      <c r="O101" s="16">
        <f>I101*10</f>
        <v>283650</v>
      </c>
      <c r="P101" s="3"/>
      <c r="Q101" s="3"/>
    </row>
    <row r="102" spans="1:17" ht="38.450000000000003" customHeight="1" x14ac:dyDescent="0.25">
      <c r="A102" s="3" t="s">
        <v>41</v>
      </c>
      <c r="B102" s="3" t="s">
        <v>162</v>
      </c>
      <c r="C102" s="3" t="s">
        <v>14</v>
      </c>
      <c r="D102" s="13" t="s">
        <v>115</v>
      </c>
      <c r="E102" s="48" t="s">
        <v>157</v>
      </c>
      <c r="F102" s="48" t="s">
        <v>42</v>
      </c>
      <c r="G102" s="48" t="s">
        <v>110</v>
      </c>
      <c r="H102" s="48" t="s">
        <v>424</v>
      </c>
      <c r="I102" s="6">
        <f>+(9511+10414+9802+10977)</f>
        <v>40704</v>
      </c>
      <c r="J102" s="6"/>
      <c r="K102" s="3"/>
      <c r="L102" s="3" t="s">
        <v>467</v>
      </c>
      <c r="M102" s="3"/>
      <c r="N102" s="3"/>
      <c r="O102" s="16">
        <f>+I102*5</f>
        <v>203520</v>
      </c>
      <c r="P102" s="3"/>
      <c r="Q102" s="3"/>
    </row>
    <row r="103" spans="1:17" ht="38.450000000000003" customHeight="1" x14ac:dyDescent="0.25">
      <c r="A103" s="3" t="s">
        <v>41</v>
      </c>
      <c r="B103" s="3" t="s">
        <v>162</v>
      </c>
      <c r="C103" s="3" t="s">
        <v>382</v>
      </c>
      <c r="D103" s="13" t="s">
        <v>381</v>
      </c>
      <c r="E103" s="48" t="s">
        <v>51</v>
      </c>
      <c r="F103" s="48" t="s">
        <v>42</v>
      </c>
      <c r="G103" s="48" t="s">
        <v>140</v>
      </c>
      <c r="H103" s="14" t="s">
        <v>390</v>
      </c>
      <c r="I103" s="6">
        <v>627</v>
      </c>
      <c r="J103" s="6"/>
      <c r="K103" s="16">
        <f>I103*30</f>
        <v>18810</v>
      </c>
      <c r="L103" s="3" t="s">
        <v>396</v>
      </c>
      <c r="M103" s="3"/>
      <c r="N103" s="3"/>
      <c r="O103" s="3"/>
      <c r="P103" s="3"/>
      <c r="Q103" s="3"/>
    </row>
    <row r="104" spans="1:17" ht="38.450000000000003" customHeight="1" x14ac:dyDescent="0.25">
      <c r="A104" s="3" t="s">
        <v>41</v>
      </c>
      <c r="B104" s="3" t="s">
        <v>162</v>
      </c>
      <c r="C104" s="3" t="s">
        <v>370</v>
      </c>
      <c r="D104" s="13" t="s">
        <v>150</v>
      </c>
      <c r="E104" s="48" t="s">
        <v>51</v>
      </c>
      <c r="F104" s="48" t="s">
        <v>42</v>
      </c>
      <c r="G104" s="48" t="s">
        <v>140</v>
      </c>
      <c r="H104" s="14" t="s">
        <v>390</v>
      </c>
      <c r="I104" s="6">
        <v>2350</v>
      </c>
      <c r="J104" s="6"/>
      <c r="K104" s="16">
        <f>I104*1*12</f>
        <v>28200</v>
      </c>
      <c r="L104" s="3" t="s">
        <v>396</v>
      </c>
      <c r="M104" s="3"/>
      <c r="N104" s="3"/>
      <c r="O104" s="3"/>
      <c r="P104" s="3"/>
      <c r="Q104" s="3"/>
    </row>
    <row r="105" spans="1:17" ht="38.450000000000003" customHeight="1" x14ac:dyDescent="0.25">
      <c r="A105" s="3" t="s">
        <v>41</v>
      </c>
      <c r="B105" s="3" t="s">
        <v>162</v>
      </c>
      <c r="C105" s="3" t="s">
        <v>369</v>
      </c>
      <c r="D105" s="13" t="s">
        <v>150</v>
      </c>
      <c r="E105" s="48" t="s">
        <v>51</v>
      </c>
      <c r="F105" s="48" t="s">
        <v>42</v>
      </c>
      <c r="G105" s="48" t="s">
        <v>140</v>
      </c>
      <c r="H105" s="14" t="s">
        <v>390</v>
      </c>
      <c r="I105" s="6">
        <v>2029</v>
      </c>
      <c r="J105" s="6"/>
      <c r="K105" s="16">
        <f>I105*1*12</f>
        <v>24348</v>
      </c>
      <c r="L105" s="3" t="s">
        <v>396</v>
      </c>
      <c r="M105" s="3"/>
      <c r="N105" s="3"/>
      <c r="O105" s="3"/>
      <c r="P105" s="3"/>
      <c r="Q105" s="3"/>
    </row>
    <row r="106" spans="1:17" ht="38.450000000000003" customHeight="1" x14ac:dyDescent="0.25">
      <c r="A106" s="3" t="s">
        <v>41</v>
      </c>
      <c r="B106" s="3" t="s">
        <v>162</v>
      </c>
      <c r="C106" s="3" t="s">
        <v>119</v>
      </c>
      <c r="D106" s="13" t="s">
        <v>120</v>
      </c>
      <c r="E106" s="48" t="s">
        <v>51</v>
      </c>
      <c r="F106" s="48" t="s">
        <v>42</v>
      </c>
      <c r="G106" s="48" t="s">
        <v>110</v>
      </c>
      <c r="H106" s="14" t="s">
        <v>390</v>
      </c>
      <c r="I106" s="6">
        <v>3350</v>
      </c>
      <c r="J106" s="6"/>
      <c r="K106" s="3"/>
      <c r="L106" s="3" t="s">
        <v>396</v>
      </c>
      <c r="M106" s="3"/>
      <c r="N106" s="3"/>
      <c r="O106" s="16">
        <f>I106*24</f>
        <v>80400</v>
      </c>
      <c r="P106" s="3"/>
      <c r="Q106" s="3"/>
    </row>
    <row r="107" spans="1:17" ht="38.450000000000003" customHeight="1" x14ac:dyDescent="0.25">
      <c r="A107" s="3" t="s">
        <v>41</v>
      </c>
      <c r="B107" s="3" t="s">
        <v>162</v>
      </c>
      <c r="C107" s="3" t="s">
        <v>52</v>
      </c>
      <c r="D107" s="13" t="s">
        <v>121</v>
      </c>
      <c r="E107" s="48" t="s">
        <v>51</v>
      </c>
      <c r="F107" s="48" t="s">
        <v>42</v>
      </c>
      <c r="G107" s="48" t="s">
        <v>110</v>
      </c>
      <c r="H107" s="14" t="s">
        <v>390</v>
      </c>
      <c r="I107" s="6">
        <v>15655</v>
      </c>
      <c r="J107" s="6"/>
      <c r="K107" s="3"/>
      <c r="L107" s="3" t="s">
        <v>396</v>
      </c>
      <c r="M107" s="3"/>
      <c r="N107" s="3"/>
      <c r="O107" s="16">
        <f>I107*15</f>
        <v>234825</v>
      </c>
      <c r="P107" s="3"/>
      <c r="Q107" s="3"/>
    </row>
    <row r="108" spans="1:17" ht="59.25" customHeight="1" x14ac:dyDescent="0.25">
      <c r="A108" s="3" t="s">
        <v>41</v>
      </c>
      <c r="B108" s="3" t="s">
        <v>161</v>
      </c>
      <c r="C108" s="3" t="s">
        <v>15</v>
      </c>
      <c r="D108" s="13" t="s">
        <v>158</v>
      </c>
      <c r="E108" s="48" t="s">
        <v>51</v>
      </c>
      <c r="F108" s="48" t="s">
        <v>42</v>
      </c>
      <c r="G108" s="48" t="s">
        <v>140</v>
      </c>
      <c r="H108" s="48" t="s">
        <v>424</v>
      </c>
      <c r="I108" s="6">
        <v>17767</v>
      </c>
      <c r="J108" s="6">
        <f>+ROUND((I108*$J$2)+I108,0)</f>
        <v>19162</v>
      </c>
      <c r="K108" s="16">
        <f>J108*6</f>
        <v>114972</v>
      </c>
      <c r="L108" s="3" t="s">
        <v>423</v>
      </c>
      <c r="M108" s="3"/>
      <c r="N108" s="3"/>
      <c r="O108" s="3"/>
      <c r="P108" s="3"/>
      <c r="Q108" s="3"/>
    </row>
    <row r="109" spans="1:17" ht="38.450000000000003" customHeight="1" x14ac:dyDescent="0.25">
      <c r="A109" s="3" t="s">
        <v>41</v>
      </c>
      <c r="B109" s="3" t="s">
        <v>161</v>
      </c>
      <c r="C109" s="3" t="s">
        <v>16</v>
      </c>
      <c r="D109" s="13" t="s">
        <v>153</v>
      </c>
      <c r="E109" s="48" t="s">
        <v>51</v>
      </c>
      <c r="F109" s="48" t="s">
        <v>42</v>
      </c>
      <c r="G109" s="48" t="s">
        <v>140</v>
      </c>
      <c r="H109" s="14" t="s">
        <v>390</v>
      </c>
      <c r="I109" s="6">
        <v>9676</v>
      </c>
      <c r="J109" s="6"/>
      <c r="K109" s="16">
        <f>I109*8</f>
        <v>77408</v>
      </c>
      <c r="L109" s="3" t="s">
        <v>396</v>
      </c>
      <c r="M109" s="3"/>
      <c r="N109" s="3"/>
      <c r="O109" s="3"/>
      <c r="P109" s="3"/>
      <c r="Q109" s="3"/>
    </row>
    <row r="110" spans="1:17" ht="38.450000000000003" customHeight="1" x14ac:dyDescent="0.25">
      <c r="A110" s="3" t="s">
        <v>41</v>
      </c>
      <c r="B110" s="3" t="s">
        <v>161</v>
      </c>
      <c r="C110" s="3" t="s">
        <v>17</v>
      </c>
      <c r="D110" s="13" t="s">
        <v>155</v>
      </c>
      <c r="E110" s="48" t="s">
        <v>51</v>
      </c>
      <c r="F110" s="48" t="s">
        <v>42</v>
      </c>
      <c r="G110" s="48" t="s">
        <v>140</v>
      </c>
      <c r="H110" s="14" t="s">
        <v>390</v>
      </c>
      <c r="I110" s="6">
        <v>97922</v>
      </c>
      <c r="J110" s="6"/>
      <c r="K110" s="16">
        <f>I110*2</f>
        <v>195844</v>
      </c>
      <c r="L110" s="3" t="s">
        <v>396</v>
      </c>
      <c r="M110" s="3"/>
      <c r="N110" s="3"/>
      <c r="O110" s="3"/>
      <c r="P110" s="3"/>
      <c r="Q110" s="3"/>
    </row>
    <row r="111" spans="1:17" ht="38.450000000000003" customHeight="1" x14ac:dyDescent="0.25">
      <c r="A111" s="3" t="s">
        <v>41</v>
      </c>
      <c r="B111" s="3" t="s">
        <v>161</v>
      </c>
      <c r="C111" s="3" t="s">
        <v>18</v>
      </c>
      <c r="D111" s="13" t="s">
        <v>158</v>
      </c>
      <c r="E111" s="48" t="s">
        <v>51</v>
      </c>
      <c r="F111" s="48" t="s">
        <v>42</v>
      </c>
      <c r="G111" s="48" t="s">
        <v>140</v>
      </c>
      <c r="H111" s="14" t="s">
        <v>390</v>
      </c>
      <c r="I111" s="6">
        <v>8952</v>
      </c>
      <c r="J111" s="6"/>
      <c r="K111" s="16">
        <f>I111*6</f>
        <v>53712</v>
      </c>
      <c r="L111" s="3" t="s">
        <v>396</v>
      </c>
      <c r="M111" s="3"/>
      <c r="N111" s="3"/>
      <c r="O111" s="3"/>
      <c r="P111" s="3"/>
      <c r="Q111" s="3"/>
    </row>
    <row r="112" spans="1:17" ht="38.450000000000003" customHeight="1" x14ac:dyDescent="0.25">
      <c r="A112" s="3" t="s">
        <v>41</v>
      </c>
      <c r="B112" s="3" t="s">
        <v>161</v>
      </c>
      <c r="C112" s="3" t="s">
        <v>19</v>
      </c>
      <c r="D112" s="13" t="s">
        <v>158</v>
      </c>
      <c r="E112" s="48" t="s">
        <v>51</v>
      </c>
      <c r="F112" s="48" t="s">
        <v>42</v>
      </c>
      <c r="G112" s="48" t="s">
        <v>140</v>
      </c>
      <c r="H112" s="14" t="s">
        <v>390</v>
      </c>
      <c r="I112" s="6">
        <v>12932</v>
      </c>
      <c r="J112" s="6"/>
      <c r="K112" s="16">
        <f>I112*6</f>
        <v>77592</v>
      </c>
      <c r="L112" s="3" t="s">
        <v>396</v>
      </c>
      <c r="M112" s="3"/>
      <c r="N112" s="3"/>
      <c r="O112" s="3"/>
      <c r="P112" s="3"/>
      <c r="Q112" s="3"/>
    </row>
    <row r="113" spans="1:17" ht="38.450000000000003" customHeight="1" x14ac:dyDescent="0.25">
      <c r="A113" s="3" t="s">
        <v>41</v>
      </c>
      <c r="B113" s="3" t="s">
        <v>161</v>
      </c>
      <c r="C113" s="3" t="s">
        <v>238</v>
      </c>
      <c r="D113" s="13" t="s">
        <v>239</v>
      </c>
      <c r="E113" s="48" t="s">
        <v>51</v>
      </c>
      <c r="F113" s="48" t="s">
        <v>42</v>
      </c>
      <c r="G113" s="48" t="s">
        <v>140</v>
      </c>
      <c r="H113" s="48" t="s">
        <v>424</v>
      </c>
      <c r="I113" s="6">
        <v>24883</v>
      </c>
      <c r="J113" s="6">
        <f>+ROUND((I113*$J$2)+I113,0)</f>
        <v>26836</v>
      </c>
      <c r="K113" s="16">
        <f>J113*24</f>
        <v>644064</v>
      </c>
      <c r="L113" s="3" t="s">
        <v>423</v>
      </c>
      <c r="M113" s="3"/>
      <c r="N113" s="3"/>
      <c r="O113" s="3"/>
      <c r="P113" s="3"/>
      <c r="Q113" s="3"/>
    </row>
    <row r="114" spans="1:17" ht="38.450000000000003" customHeight="1" x14ac:dyDescent="0.25">
      <c r="A114" s="3" t="s">
        <v>41</v>
      </c>
      <c r="B114" s="3" t="s">
        <v>161</v>
      </c>
      <c r="C114" s="3" t="s">
        <v>20</v>
      </c>
      <c r="D114" s="13" t="s">
        <v>158</v>
      </c>
      <c r="E114" s="48" t="s">
        <v>51</v>
      </c>
      <c r="F114" s="48" t="s">
        <v>42</v>
      </c>
      <c r="G114" s="48" t="s">
        <v>140</v>
      </c>
      <c r="H114" s="14" t="s">
        <v>390</v>
      </c>
      <c r="I114" s="6">
        <v>42210</v>
      </c>
      <c r="J114" s="6"/>
      <c r="K114" s="16">
        <f>I114*6</f>
        <v>253260</v>
      </c>
      <c r="L114" s="3" t="s">
        <v>396</v>
      </c>
      <c r="M114" s="3"/>
      <c r="N114" s="3"/>
      <c r="O114" s="3"/>
      <c r="P114" s="3"/>
      <c r="Q114" s="3"/>
    </row>
    <row r="115" spans="1:17" ht="38.450000000000003" customHeight="1" x14ac:dyDescent="0.25">
      <c r="A115" s="3" t="s">
        <v>41</v>
      </c>
      <c r="B115" s="3" t="s">
        <v>161</v>
      </c>
      <c r="C115" s="3" t="s">
        <v>21</v>
      </c>
      <c r="D115" s="13" t="s">
        <v>158</v>
      </c>
      <c r="E115" s="48" t="s">
        <v>51</v>
      </c>
      <c r="F115" s="48" t="s">
        <v>42</v>
      </c>
      <c r="G115" s="48" t="s">
        <v>140</v>
      </c>
      <c r="H115" s="14" t="s">
        <v>390</v>
      </c>
      <c r="I115" s="6">
        <v>18638</v>
      </c>
      <c r="J115" s="6"/>
      <c r="K115" s="16">
        <f>I115*6</f>
        <v>111828</v>
      </c>
      <c r="L115" s="3" t="s">
        <v>396</v>
      </c>
      <c r="M115" s="3"/>
      <c r="N115" s="3"/>
      <c r="O115" s="3"/>
      <c r="P115" s="3"/>
      <c r="Q115" s="3"/>
    </row>
    <row r="116" spans="1:17" ht="38.450000000000003" customHeight="1" x14ac:dyDescent="0.25">
      <c r="A116" s="3" t="s">
        <v>41</v>
      </c>
      <c r="B116" s="3" t="s">
        <v>161</v>
      </c>
      <c r="C116" s="3" t="s">
        <v>22</v>
      </c>
      <c r="D116" s="13" t="s">
        <v>158</v>
      </c>
      <c r="E116" s="48" t="s">
        <v>51</v>
      </c>
      <c r="F116" s="48" t="s">
        <v>42</v>
      </c>
      <c r="G116" s="48" t="s">
        <v>140</v>
      </c>
      <c r="H116" s="14" t="s">
        <v>390</v>
      </c>
      <c r="I116" s="6">
        <v>28540</v>
      </c>
      <c r="J116" s="6"/>
      <c r="K116" s="16">
        <f>I116*6</f>
        <v>171240</v>
      </c>
      <c r="L116" s="3" t="s">
        <v>396</v>
      </c>
      <c r="M116" s="3"/>
      <c r="N116" s="3"/>
      <c r="O116" s="3"/>
      <c r="P116" s="3"/>
      <c r="Q116" s="3"/>
    </row>
    <row r="117" spans="1:17" ht="38.450000000000003" customHeight="1" x14ac:dyDescent="0.25">
      <c r="A117" s="3" t="s">
        <v>41</v>
      </c>
      <c r="B117" s="3" t="s">
        <v>161</v>
      </c>
      <c r="C117" s="3" t="s">
        <v>23</v>
      </c>
      <c r="D117" s="13" t="s">
        <v>158</v>
      </c>
      <c r="E117" s="48" t="s">
        <v>51</v>
      </c>
      <c r="F117" s="48" t="s">
        <v>42</v>
      </c>
      <c r="G117" s="48" t="s">
        <v>140</v>
      </c>
      <c r="H117" s="14" t="s">
        <v>390</v>
      </c>
      <c r="I117" s="6">
        <v>19082</v>
      </c>
      <c r="J117" s="6"/>
      <c r="K117" s="16">
        <f>I117*6</f>
        <v>114492</v>
      </c>
      <c r="L117" s="3" t="s">
        <v>396</v>
      </c>
      <c r="M117" s="3"/>
      <c r="N117" s="3"/>
      <c r="O117" s="3"/>
      <c r="P117" s="3"/>
      <c r="Q117" s="3"/>
    </row>
    <row r="118" spans="1:17" ht="38.450000000000003" customHeight="1" x14ac:dyDescent="0.25">
      <c r="A118" s="3" t="s">
        <v>41</v>
      </c>
      <c r="B118" s="3" t="s">
        <v>161</v>
      </c>
      <c r="C118" s="3" t="s">
        <v>53</v>
      </c>
      <c r="D118" s="13" t="s">
        <v>159</v>
      </c>
      <c r="E118" s="48" t="s">
        <v>51</v>
      </c>
      <c r="F118" s="48" t="s">
        <v>42</v>
      </c>
      <c r="G118" s="48" t="s">
        <v>140</v>
      </c>
      <c r="H118" s="14" t="s">
        <v>390</v>
      </c>
      <c r="I118" s="6">
        <v>12158</v>
      </c>
      <c r="J118" s="6"/>
      <c r="K118" s="16">
        <f>I118*2</f>
        <v>24316</v>
      </c>
      <c r="L118" s="3" t="s">
        <v>396</v>
      </c>
      <c r="M118" s="3"/>
      <c r="N118" s="3"/>
      <c r="O118" s="3"/>
      <c r="P118" s="3"/>
      <c r="Q118" s="3"/>
    </row>
    <row r="119" spans="1:17" ht="38.450000000000003" customHeight="1" x14ac:dyDescent="0.25">
      <c r="A119" s="3" t="s">
        <v>41</v>
      </c>
      <c r="B119" s="3" t="s">
        <v>161</v>
      </c>
      <c r="C119" s="3" t="s">
        <v>54</v>
      </c>
      <c r="D119" s="13" t="s">
        <v>160</v>
      </c>
      <c r="E119" s="48" t="s">
        <v>51</v>
      </c>
      <c r="F119" s="48" t="s">
        <v>42</v>
      </c>
      <c r="G119" s="48" t="s">
        <v>140</v>
      </c>
      <c r="H119" s="14" t="s">
        <v>390</v>
      </c>
      <c r="I119" s="6">
        <v>9647</v>
      </c>
      <c r="J119" s="6"/>
      <c r="K119" s="16">
        <f>I119*2</f>
        <v>19294</v>
      </c>
      <c r="L119" s="3" t="s">
        <v>396</v>
      </c>
      <c r="M119" s="3"/>
      <c r="N119" s="3"/>
      <c r="O119" s="3"/>
      <c r="P119" s="3"/>
      <c r="Q119" s="3"/>
    </row>
    <row r="120" spans="1:17" ht="38.450000000000003" customHeight="1" x14ac:dyDescent="0.25">
      <c r="A120" s="3" t="s">
        <v>41</v>
      </c>
      <c r="B120" s="3" t="s">
        <v>161</v>
      </c>
      <c r="C120" s="3" t="s">
        <v>55</v>
      </c>
      <c r="D120" s="13" t="s">
        <v>148</v>
      </c>
      <c r="E120" s="48" t="s">
        <v>51</v>
      </c>
      <c r="F120" s="48" t="s">
        <v>42</v>
      </c>
      <c r="G120" s="48" t="s">
        <v>140</v>
      </c>
      <c r="H120" s="48" t="s">
        <v>425</v>
      </c>
      <c r="I120" s="6">
        <v>1660</v>
      </c>
      <c r="J120" s="6">
        <f>+ROUND((I120*$J$2)+I120,0)</f>
        <v>1790</v>
      </c>
      <c r="K120" s="16">
        <f>J120*15</f>
        <v>26850</v>
      </c>
      <c r="L120" s="3" t="s">
        <v>423</v>
      </c>
      <c r="M120" s="3"/>
      <c r="N120" s="3"/>
      <c r="O120" s="3"/>
      <c r="P120" s="3"/>
      <c r="Q120" s="3"/>
    </row>
    <row r="121" spans="1:17" ht="51" customHeight="1" x14ac:dyDescent="0.25">
      <c r="A121" s="3" t="s">
        <v>85</v>
      </c>
      <c r="B121" s="3" t="s">
        <v>180</v>
      </c>
      <c r="C121" s="3" t="s">
        <v>240</v>
      </c>
      <c r="D121" s="13" t="s">
        <v>90</v>
      </c>
      <c r="E121" s="48" t="s">
        <v>51</v>
      </c>
      <c r="F121" s="48" t="s">
        <v>42</v>
      </c>
      <c r="G121" s="48" t="s">
        <v>38</v>
      </c>
      <c r="H121" s="14" t="s">
        <v>390</v>
      </c>
      <c r="I121" s="6">
        <v>53343</v>
      </c>
      <c r="J121" s="6"/>
      <c r="K121" s="3"/>
      <c r="L121" s="3" t="s">
        <v>396</v>
      </c>
      <c r="M121" s="59"/>
      <c r="N121" s="3"/>
      <c r="O121" s="16">
        <f>+ROUND((I121*2*4)*2,0)</f>
        <v>853488</v>
      </c>
      <c r="P121" s="15"/>
      <c r="Q121" s="3"/>
    </row>
    <row r="122" spans="1:17" ht="47.25" customHeight="1" x14ac:dyDescent="0.25">
      <c r="A122" s="3" t="s">
        <v>85</v>
      </c>
      <c r="B122" s="3" t="s">
        <v>180</v>
      </c>
      <c r="C122" s="3" t="s">
        <v>86</v>
      </c>
      <c r="D122" s="13" t="s">
        <v>90</v>
      </c>
      <c r="E122" s="48" t="s">
        <v>51</v>
      </c>
      <c r="F122" s="48" t="s">
        <v>42</v>
      </c>
      <c r="G122" s="48" t="s">
        <v>38</v>
      </c>
      <c r="H122" s="14" t="s">
        <v>390</v>
      </c>
      <c r="I122" s="6">
        <v>18537</v>
      </c>
      <c r="J122" s="6"/>
      <c r="K122" s="3"/>
      <c r="L122" s="3" t="s">
        <v>396</v>
      </c>
      <c r="M122" s="3"/>
      <c r="N122" s="3"/>
      <c r="O122" s="16">
        <f>+ROUND((I122*2*4)*2,0)</f>
        <v>296592</v>
      </c>
      <c r="P122" s="3"/>
      <c r="Q122" s="3"/>
    </row>
    <row r="123" spans="1:17" ht="48" customHeight="1" x14ac:dyDescent="0.25">
      <c r="A123" s="3" t="s">
        <v>85</v>
      </c>
      <c r="B123" s="3" t="s">
        <v>180</v>
      </c>
      <c r="C123" s="3" t="s">
        <v>87</v>
      </c>
      <c r="D123" s="13" t="s">
        <v>90</v>
      </c>
      <c r="E123" s="48" t="s">
        <v>51</v>
      </c>
      <c r="F123" s="48" t="s">
        <v>42</v>
      </c>
      <c r="G123" s="48" t="s">
        <v>38</v>
      </c>
      <c r="H123" s="14" t="s">
        <v>390</v>
      </c>
      <c r="I123" s="6">
        <v>64971</v>
      </c>
      <c r="J123" s="6"/>
      <c r="K123" s="3"/>
      <c r="L123" s="3" t="s">
        <v>396</v>
      </c>
      <c r="M123" s="3"/>
      <c r="N123" s="3"/>
      <c r="O123" s="16">
        <f>+ROUND((I123*2*4)*2,0)</f>
        <v>1039536</v>
      </c>
      <c r="P123" s="3"/>
      <c r="Q123" s="3"/>
    </row>
    <row r="124" spans="1:17" ht="48" customHeight="1" x14ac:dyDescent="0.25">
      <c r="A124" s="3" t="s">
        <v>85</v>
      </c>
      <c r="B124" s="3" t="s">
        <v>180</v>
      </c>
      <c r="C124" s="3" t="s">
        <v>88</v>
      </c>
      <c r="D124" s="13" t="s">
        <v>90</v>
      </c>
      <c r="E124" s="48" t="s">
        <v>51</v>
      </c>
      <c r="F124" s="48" t="s">
        <v>42</v>
      </c>
      <c r="G124" s="48" t="s">
        <v>38</v>
      </c>
      <c r="H124" s="14" t="s">
        <v>390</v>
      </c>
      <c r="I124" s="6">
        <v>25505</v>
      </c>
      <c r="J124" s="6"/>
      <c r="K124" s="3"/>
      <c r="L124" s="3" t="s">
        <v>396</v>
      </c>
      <c r="M124" s="3"/>
      <c r="N124" s="3"/>
      <c r="O124" s="16">
        <f>+ROUND((I124*2*4)*2,0)</f>
        <v>408080</v>
      </c>
      <c r="P124" s="3"/>
      <c r="Q124" s="3"/>
    </row>
    <row r="125" spans="1:17" ht="38.450000000000003" customHeight="1" x14ac:dyDescent="0.25">
      <c r="A125" s="3" t="s">
        <v>85</v>
      </c>
      <c r="B125" s="3" t="s">
        <v>180</v>
      </c>
      <c r="C125" s="3" t="s">
        <v>243</v>
      </c>
      <c r="D125" s="13" t="s">
        <v>245</v>
      </c>
      <c r="E125" s="48" t="s">
        <v>51</v>
      </c>
      <c r="F125" s="48" t="s">
        <v>42</v>
      </c>
      <c r="G125" s="48" t="s">
        <v>140</v>
      </c>
      <c r="H125" s="14" t="s">
        <v>390</v>
      </c>
      <c r="I125" s="6">
        <v>15099</v>
      </c>
      <c r="J125" s="6"/>
      <c r="K125" s="16">
        <f>I125*4</f>
        <v>60396</v>
      </c>
      <c r="L125" s="3" t="s">
        <v>396</v>
      </c>
      <c r="M125" s="3"/>
      <c r="N125" s="3"/>
      <c r="O125" s="3"/>
      <c r="P125" s="3"/>
      <c r="Q125" s="3"/>
    </row>
    <row r="126" spans="1:17" ht="38.450000000000003" customHeight="1" x14ac:dyDescent="0.25">
      <c r="A126" s="3" t="s">
        <v>85</v>
      </c>
      <c r="B126" s="3" t="s">
        <v>180</v>
      </c>
      <c r="C126" s="3" t="s">
        <v>89</v>
      </c>
      <c r="D126" s="13" t="s">
        <v>241</v>
      </c>
      <c r="E126" s="48" t="s">
        <v>51</v>
      </c>
      <c r="F126" s="48" t="s">
        <v>42</v>
      </c>
      <c r="G126" s="48" t="s">
        <v>140</v>
      </c>
      <c r="H126" s="14" t="s">
        <v>390</v>
      </c>
      <c r="I126" s="6">
        <v>26079</v>
      </c>
      <c r="J126" s="6"/>
      <c r="K126" s="16">
        <f>I126*2</f>
        <v>52158</v>
      </c>
      <c r="L126" s="3" t="s">
        <v>396</v>
      </c>
      <c r="M126" s="3"/>
      <c r="N126" s="3"/>
      <c r="O126" s="3"/>
      <c r="P126" s="3"/>
      <c r="Q126" s="3"/>
    </row>
    <row r="127" spans="1:17" ht="38.450000000000003" customHeight="1" x14ac:dyDescent="0.25">
      <c r="A127" s="48" t="s">
        <v>203</v>
      </c>
      <c r="B127" s="3" t="s">
        <v>169</v>
      </c>
      <c r="C127" s="3" t="s">
        <v>243</v>
      </c>
      <c r="D127" s="13" t="s">
        <v>206</v>
      </c>
      <c r="E127" s="48" t="s">
        <v>51</v>
      </c>
      <c r="F127" s="48" t="s">
        <v>42</v>
      </c>
      <c r="G127" s="48" t="s">
        <v>140</v>
      </c>
      <c r="H127" s="14" t="s">
        <v>390</v>
      </c>
      <c r="I127" s="6">
        <v>15099</v>
      </c>
      <c r="J127" s="6"/>
      <c r="K127" s="16">
        <f>I127*6</f>
        <v>90594</v>
      </c>
      <c r="L127" s="3" t="s">
        <v>396</v>
      </c>
      <c r="M127" s="3"/>
      <c r="N127" s="3"/>
      <c r="O127" s="3"/>
      <c r="P127" s="3"/>
      <c r="Q127" s="3"/>
    </row>
    <row r="128" spans="1:17" ht="72" customHeight="1" x14ac:dyDescent="0.25">
      <c r="A128" s="48" t="s">
        <v>203</v>
      </c>
      <c r="B128" s="3" t="s">
        <v>169</v>
      </c>
      <c r="C128" s="3" t="s">
        <v>210</v>
      </c>
      <c r="D128" s="13" t="s">
        <v>209</v>
      </c>
      <c r="E128" s="48" t="s">
        <v>51</v>
      </c>
      <c r="F128" s="48" t="s">
        <v>42</v>
      </c>
      <c r="G128" s="48" t="s">
        <v>140</v>
      </c>
      <c r="H128" s="14" t="s">
        <v>390</v>
      </c>
      <c r="I128" s="6">
        <v>37750</v>
      </c>
      <c r="J128" s="6"/>
      <c r="K128" s="16">
        <f>I128*1</f>
        <v>37750</v>
      </c>
      <c r="L128" s="3" t="s">
        <v>396</v>
      </c>
      <c r="M128" s="3"/>
      <c r="N128" s="3"/>
      <c r="O128" s="3"/>
      <c r="P128" s="3"/>
      <c r="Q128" s="3"/>
    </row>
    <row r="129" spans="1:17" ht="67.5" customHeight="1" x14ac:dyDescent="0.25">
      <c r="A129" s="48" t="s">
        <v>203</v>
      </c>
      <c r="B129" s="3" t="s">
        <v>169</v>
      </c>
      <c r="C129" s="3" t="s">
        <v>426</v>
      </c>
      <c r="D129" s="13" t="s">
        <v>468</v>
      </c>
      <c r="E129" s="48" t="s">
        <v>51</v>
      </c>
      <c r="F129" s="48" t="s">
        <v>42</v>
      </c>
      <c r="G129" s="48" t="s">
        <v>140</v>
      </c>
      <c r="H129" s="48" t="s">
        <v>425</v>
      </c>
      <c r="I129" s="6">
        <v>18800</v>
      </c>
      <c r="J129" s="6">
        <f>+ROUND((I129*$J$2)+I129,0)</f>
        <v>20276</v>
      </c>
      <c r="K129" s="16">
        <f>J129*3</f>
        <v>60828</v>
      </c>
      <c r="L129" s="3" t="s">
        <v>423</v>
      </c>
      <c r="M129" s="3"/>
      <c r="N129" s="3"/>
      <c r="O129" s="3"/>
      <c r="P129" s="3"/>
      <c r="Q129" s="3"/>
    </row>
    <row r="130" spans="1:17" ht="38.450000000000003" customHeight="1" x14ac:dyDescent="0.25">
      <c r="A130" s="48" t="s">
        <v>203</v>
      </c>
      <c r="B130" s="3" t="s">
        <v>169</v>
      </c>
      <c r="C130" s="3" t="s">
        <v>248</v>
      </c>
      <c r="D130" s="13" t="s">
        <v>207</v>
      </c>
      <c r="E130" s="48" t="s">
        <v>51</v>
      </c>
      <c r="F130" s="48" t="s">
        <v>42</v>
      </c>
      <c r="G130" s="48" t="s">
        <v>140</v>
      </c>
      <c r="H130" s="14" t="s">
        <v>390</v>
      </c>
      <c r="I130" s="6">
        <v>48747</v>
      </c>
      <c r="J130" s="6"/>
      <c r="K130" s="16">
        <f>I130*6</f>
        <v>292482</v>
      </c>
      <c r="L130" s="3" t="s">
        <v>396</v>
      </c>
      <c r="M130" s="3"/>
      <c r="N130" s="3"/>
      <c r="O130" s="3"/>
      <c r="P130" s="3"/>
      <c r="Q130" s="3"/>
    </row>
    <row r="131" spans="1:17" ht="93.75" customHeight="1" x14ac:dyDescent="0.25">
      <c r="A131" s="48" t="s">
        <v>203</v>
      </c>
      <c r="B131" s="3" t="s">
        <v>204</v>
      </c>
      <c r="C131" s="3" t="s">
        <v>205</v>
      </c>
      <c r="D131" s="13" t="s">
        <v>242</v>
      </c>
      <c r="E131" s="48" t="s">
        <v>51</v>
      </c>
      <c r="F131" s="48" t="s">
        <v>42</v>
      </c>
      <c r="G131" s="48" t="s">
        <v>38</v>
      </c>
      <c r="H131" s="14" t="s">
        <v>390</v>
      </c>
      <c r="I131" s="6">
        <v>171202</v>
      </c>
      <c r="J131" s="6"/>
      <c r="K131" s="3"/>
      <c r="L131" s="3" t="s">
        <v>396</v>
      </c>
      <c r="M131" s="3"/>
      <c r="N131" s="3"/>
      <c r="O131" s="16">
        <f>I131*1</f>
        <v>171202</v>
      </c>
      <c r="P131" s="3"/>
      <c r="Q131" s="3"/>
    </row>
    <row r="132" spans="1:17" ht="81.599999999999994" customHeight="1" x14ac:dyDescent="0.25">
      <c r="A132" s="48" t="s">
        <v>203</v>
      </c>
      <c r="B132" s="3" t="s">
        <v>204</v>
      </c>
      <c r="C132" s="3" t="s">
        <v>250</v>
      </c>
      <c r="D132" s="13" t="s">
        <v>242</v>
      </c>
      <c r="E132" s="48" t="s">
        <v>51</v>
      </c>
      <c r="F132" s="60" t="s">
        <v>42</v>
      </c>
      <c r="G132" s="48" t="s">
        <v>38</v>
      </c>
      <c r="H132" s="14" t="s">
        <v>390</v>
      </c>
      <c r="I132" s="6">
        <v>584850</v>
      </c>
      <c r="J132" s="6"/>
      <c r="K132" s="3"/>
      <c r="L132" s="3" t="s">
        <v>396</v>
      </c>
      <c r="M132" s="3"/>
      <c r="N132" s="3"/>
      <c r="O132" s="16">
        <f>I132*1</f>
        <v>584850</v>
      </c>
      <c r="P132" s="3"/>
      <c r="Q132" s="3"/>
    </row>
    <row r="133" spans="1:17" ht="78.599999999999994" customHeight="1" x14ac:dyDescent="0.25">
      <c r="A133" s="48" t="s">
        <v>133</v>
      </c>
      <c r="B133" s="48" t="s">
        <v>208</v>
      </c>
      <c r="C133" s="3" t="s">
        <v>249</v>
      </c>
      <c r="D133" s="13" t="s">
        <v>242</v>
      </c>
      <c r="E133" s="48" t="s">
        <v>51</v>
      </c>
      <c r="F133" s="60" t="s">
        <v>42</v>
      </c>
      <c r="G133" s="48" t="s">
        <v>38</v>
      </c>
      <c r="H133" s="14" t="s">
        <v>390</v>
      </c>
      <c r="I133" s="6">
        <v>584850</v>
      </c>
      <c r="J133" s="6"/>
      <c r="K133" s="3"/>
      <c r="L133" s="3" t="s">
        <v>396</v>
      </c>
      <c r="M133" s="3"/>
      <c r="N133" s="3"/>
      <c r="O133" s="16">
        <f>I133*1</f>
        <v>584850</v>
      </c>
      <c r="P133" s="3"/>
      <c r="Q133" s="3"/>
    </row>
    <row r="134" spans="1:17" ht="163.9" customHeight="1" x14ac:dyDescent="0.25">
      <c r="A134" s="3" t="s">
        <v>102</v>
      </c>
      <c r="B134" s="3" t="s">
        <v>182</v>
      </c>
      <c r="C134" s="3" t="s">
        <v>251</v>
      </c>
      <c r="D134" s="13" t="s">
        <v>211</v>
      </c>
      <c r="E134" s="48" t="s">
        <v>51</v>
      </c>
      <c r="F134" s="48" t="s">
        <v>42</v>
      </c>
      <c r="G134" s="48" t="s">
        <v>110</v>
      </c>
      <c r="H134" s="14" t="s">
        <v>390</v>
      </c>
      <c r="I134" s="6">
        <v>4441</v>
      </c>
      <c r="J134" s="6"/>
      <c r="K134" s="3"/>
      <c r="L134" s="3" t="s">
        <v>396</v>
      </c>
      <c r="M134" s="3"/>
      <c r="N134" s="3"/>
      <c r="O134" s="15"/>
      <c r="P134" s="16">
        <f>I134*200</f>
        <v>888200</v>
      </c>
      <c r="Q134" s="15">
        <f>I134*260</f>
        <v>1154660</v>
      </c>
    </row>
    <row r="135" spans="1:17" ht="48.6" customHeight="1" x14ac:dyDescent="0.25">
      <c r="A135" s="3" t="s">
        <v>102</v>
      </c>
      <c r="B135" s="3" t="s">
        <v>183</v>
      </c>
      <c r="C135" s="3" t="s">
        <v>255</v>
      </c>
      <c r="D135" s="13" t="s">
        <v>253</v>
      </c>
      <c r="E135" s="48" t="s">
        <v>51</v>
      </c>
      <c r="F135" s="48" t="s">
        <v>42</v>
      </c>
      <c r="G135" s="48" t="s">
        <v>110</v>
      </c>
      <c r="H135" s="14" t="s">
        <v>390</v>
      </c>
      <c r="I135" s="6">
        <v>3069</v>
      </c>
      <c r="J135" s="3"/>
      <c r="K135" s="3"/>
      <c r="L135" s="3" t="s">
        <v>396</v>
      </c>
      <c r="M135" s="3"/>
      <c r="N135" s="3"/>
      <c r="O135" s="16">
        <f>I135*3</f>
        <v>9207</v>
      </c>
      <c r="P135" s="3"/>
      <c r="Q135" s="3"/>
    </row>
    <row r="136" spans="1:17" ht="90.6" customHeight="1" x14ac:dyDescent="0.25">
      <c r="A136" s="3" t="s">
        <v>102</v>
      </c>
      <c r="B136" s="3" t="s">
        <v>183</v>
      </c>
      <c r="C136" s="3" t="s">
        <v>254</v>
      </c>
      <c r="D136" s="13" t="s">
        <v>252</v>
      </c>
      <c r="E136" s="48" t="s">
        <v>51</v>
      </c>
      <c r="F136" s="48" t="s">
        <v>42</v>
      </c>
      <c r="G136" s="48" t="s">
        <v>110</v>
      </c>
      <c r="H136" s="14" t="s">
        <v>390</v>
      </c>
      <c r="I136" s="6">
        <v>4541</v>
      </c>
      <c r="J136" s="3"/>
      <c r="K136" s="3"/>
      <c r="L136" s="3" t="s">
        <v>396</v>
      </c>
      <c r="M136" s="3"/>
      <c r="N136" s="3"/>
      <c r="O136" s="16">
        <f>I136*60</f>
        <v>272460</v>
      </c>
      <c r="P136" s="3"/>
      <c r="Q136" s="3"/>
    </row>
    <row r="137" spans="1:17" ht="38.450000000000003" customHeight="1" x14ac:dyDescent="0.25">
      <c r="A137" s="3" t="s">
        <v>102</v>
      </c>
      <c r="B137" s="3" t="s">
        <v>183</v>
      </c>
      <c r="C137" s="3" t="s">
        <v>246</v>
      </c>
      <c r="D137" s="13" t="s">
        <v>247</v>
      </c>
      <c r="E137" s="48" t="s">
        <v>51</v>
      </c>
      <c r="F137" s="48" t="s">
        <v>42</v>
      </c>
      <c r="G137" s="48" t="s">
        <v>110</v>
      </c>
      <c r="H137" s="14" t="s">
        <v>390</v>
      </c>
      <c r="I137" s="6">
        <v>15099</v>
      </c>
      <c r="J137" s="3"/>
      <c r="K137" s="3"/>
      <c r="L137" s="3" t="s">
        <v>396</v>
      </c>
      <c r="M137" s="3"/>
      <c r="N137" s="3"/>
      <c r="O137" s="16">
        <f>I137*10</f>
        <v>150990</v>
      </c>
      <c r="P137" s="3"/>
      <c r="Q137" s="3"/>
    </row>
    <row r="138" spans="1:17" ht="38.450000000000003" customHeight="1" x14ac:dyDescent="0.25">
      <c r="A138" s="3" t="s">
        <v>102</v>
      </c>
      <c r="B138" s="3" t="s">
        <v>183</v>
      </c>
      <c r="C138" s="3" t="s">
        <v>257</v>
      </c>
      <c r="D138" s="13" t="s">
        <v>256</v>
      </c>
      <c r="E138" s="48" t="s">
        <v>51</v>
      </c>
      <c r="F138" s="48" t="s">
        <v>42</v>
      </c>
      <c r="G138" s="48" t="s">
        <v>110</v>
      </c>
      <c r="H138" s="14" t="s">
        <v>390</v>
      </c>
      <c r="I138" s="6">
        <v>73621</v>
      </c>
      <c r="J138" s="3"/>
      <c r="K138" s="3"/>
      <c r="L138" s="3" t="s">
        <v>396</v>
      </c>
      <c r="M138" s="3"/>
      <c r="N138" s="3"/>
      <c r="O138" s="16">
        <f>I138*5</f>
        <v>368105</v>
      </c>
      <c r="P138" s="3"/>
      <c r="Q138" s="3"/>
    </row>
    <row r="139" spans="1:17" ht="33" customHeight="1" x14ac:dyDescent="0.25">
      <c r="A139" s="3" t="s">
        <v>102</v>
      </c>
      <c r="B139" s="3" t="s">
        <v>183</v>
      </c>
      <c r="C139" s="3" t="s">
        <v>326</v>
      </c>
      <c r="D139" s="13" t="s">
        <v>379</v>
      </c>
      <c r="E139" s="48" t="s">
        <v>51</v>
      </c>
      <c r="F139" s="48" t="s">
        <v>42</v>
      </c>
      <c r="G139" s="48" t="s">
        <v>140</v>
      </c>
      <c r="H139" s="14" t="s">
        <v>390</v>
      </c>
      <c r="I139" s="6">
        <v>20386</v>
      </c>
      <c r="J139" s="6"/>
      <c r="K139" s="16">
        <f>I139*7</f>
        <v>142702</v>
      </c>
      <c r="L139" s="3" t="s">
        <v>396</v>
      </c>
      <c r="M139" s="3"/>
      <c r="N139" s="3"/>
      <c r="O139" s="3"/>
      <c r="P139" s="3"/>
      <c r="Q139" s="3"/>
    </row>
    <row r="140" spans="1:17" ht="33" customHeight="1" x14ac:dyDescent="0.25">
      <c r="A140" s="3" t="s">
        <v>102</v>
      </c>
      <c r="B140" s="3" t="s">
        <v>183</v>
      </c>
      <c r="C140" s="3" t="s">
        <v>327</v>
      </c>
      <c r="D140" s="13" t="s">
        <v>380</v>
      </c>
      <c r="E140" s="48" t="s">
        <v>51</v>
      </c>
      <c r="F140" s="48" t="s">
        <v>42</v>
      </c>
      <c r="G140" s="48" t="s">
        <v>140</v>
      </c>
      <c r="H140" s="14" t="s">
        <v>390</v>
      </c>
      <c r="I140" s="6">
        <v>20570</v>
      </c>
      <c r="J140" s="6"/>
      <c r="K140" s="16">
        <f>I140*3</f>
        <v>61710</v>
      </c>
      <c r="L140" s="3" t="s">
        <v>396</v>
      </c>
      <c r="M140" s="3"/>
      <c r="N140" s="3"/>
      <c r="O140" s="3"/>
      <c r="P140" s="3"/>
      <c r="Q140" s="3"/>
    </row>
    <row r="141" spans="1:17" ht="38.450000000000003" customHeight="1" x14ac:dyDescent="0.25">
      <c r="A141" s="3" t="s">
        <v>37</v>
      </c>
      <c r="B141" s="3" t="s">
        <v>175</v>
      </c>
      <c r="C141" s="3" t="s">
        <v>437</v>
      </c>
      <c r="D141" s="13" t="s">
        <v>459</v>
      </c>
      <c r="E141" s="48" t="s">
        <v>51</v>
      </c>
      <c r="F141" s="48" t="s">
        <v>42</v>
      </c>
      <c r="G141" s="48" t="s">
        <v>38</v>
      </c>
      <c r="H141" s="14" t="s">
        <v>390</v>
      </c>
      <c r="I141" s="6">
        <v>13710</v>
      </c>
      <c r="J141" s="6"/>
      <c r="K141" s="3"/>
      <c r="L141" s="3" t="s">
        <v>396</v>
      </c>
      <c r="M141" s="3"/>
      <c r="N141" s="3"/>
      <c r="O141" s="16">
        <f>I141*12</f>
        <v>164520</v>
      </c>
      <c r="P141" s="3"/>
      <c r="Q141" s="3"/>
    </row>
    <row r="142" spans="1:17" ht="231.75" customHeight="1" x14ac:dyDescent="0.25">
      <c r="A142" s="3" t="s">
        <v>33</v>
      </c>
      <c r="B142" s="3" t="s">
        <v>163</v>
      </c>
      <c r="C142" s="3" t="s">
        <v>469</v>
      </c>
      <c r="D142" s="13" t="s">
        <v>258</v>
      </c>
      <c r="E142" s="48" t="s">
        <v>118</v>
      </c>
      <c r="F142" s="3" t="s">
        <v>28</v>
      </c>
      <c r="G142" s="3" t="s">
        <v>140</v>
      </c>
      <c r="H142" s="20" t="s">
        <v>391</v>
      </c>
      <c r="I142" s="6">
        <v>728998</v>
      </c>
      <c r="J142" s="6"/>
      <c r="K142" s="8">
        <f>I142</f>
        <v>728998</v>
      </c>
      <c r="L142" s="3" t="s">
        <v>398</v>
      </c>
      <c r="M142" s="3"/>
      <c r="N142" s="3"/>
      <c r="O142" s="3"/>
      <c r="P142" s="3"/>
      <c r="Q142" s="3"/>
    </row>
    <row r="143" spans="1:17" ht="90" customHeight="1" x14ac:dyDescent="0.25">
      <c r="A143" s="3" t="s">
        <v>61</v>
      </c>
      <c r="B143" s="3" t="s">
        <v>164</v>
      </c>
      <c r="C143" s="3" t="s">
        <v>470</v>
      </c>
      <c r="D143" s="13" t="s">
        <v>471</v>
      </c>
      <c r="E143" s="48" t="s">
        <v>118</v>
      </c>
      <c r="F143" s="3" t="s">
        <v>28</v>
      </c>
      <c r="G143" s="3" t="s">
        <v>140</v>
      </c>
      <c r="H143" s="20" t="s">
        <v>391</v>
      </c>
      <c r="I143" s="6">
        <v>188346</v>
      </c>
      <c r="J143" s="6"/>
      <c r="K143" s="8">
        <f>I143</f>
        <v>188346</v>
      </c>
      <c r="L143" s="3" t="s">
        <v>398</v>
      </c>
      <c r="M143" s="3"/>
      <c r="N143" s="3"/>
      <c r="O143" s="3"/>
      <c r="P143" s="3"/>
      <c r="Q143" s="3"/>
    </row>
    <row r="144" spans="1:17" ht="171" customHeight="1" x14ac:dyDescent="0.25">
      <c r="A144" s="3" t="s">
        <v>35</v>
      </c>
      <c r="B144" s="3" t="s">
        <v>165</v>
      </c>
      <c r="C144" s="3" t="s">
        <v>472</v>
      </c>
      <c r="D144" s="13" t="s">
        <v>258</v>
      </c>
      <c r="E144" s="48" t="s">
        <v>118</v>
      </c>
      <c r="F144" s="3" t="s">
        <v>28</v>
      </c>
      <c r="G144" s="3" t="s">
        <v>140</v>
      </c>
      <c r="H144" s="20" t="s">
        <v>391</v>
      </c>
      <c r="I144" s="6">
        <v>530387</v>
      </c>
      <c r="J144" s="6"/>
      <c r="K144" s="8">
        <f>I144</f>
        <v>530387</v>
      </c>
      <c r="L144" s="3" t="s">
        <v>398</v>
      </c>
      <c r="M144" s="3"/>
      <c r="N144" s="3"/>
      <c r="O144" s="3"/>
      <c r="P144" s="3"/>
      <c r="Q144" s="3"/>
    </row>
    <row r="145" spans="1:17" ht="89.45" customHeight="1" x14ac:dyDescent="0.25">
      <c r="A145" s="3" t="s">
        <v>56</v>
      </c>
      <c r="B145" s="3" t="s">
        <v>166</v>
      </c>
      <c r="C145" s="3" t="s">
        <v>473</v>
      </c>
      <c r="D145" s="13" t="s">
        <v>258</v>
      </c>
      <c r="E145" s="48" t="s">
        <v>118</v>
      </c>
      <c r="F145" s="3" t="s">
        <v>28</v>
      </c>
      <c r="G145" s="3" t="s">
        <v>140</v>
      </c>
      <c r="H145" s="20" t="s">
        <v>391</v>
      </c>
      <c r="I145" s="6">
        <v>1116964</v>
      </c>
      <c r="J145" s="6"/>
      <c r="K145" s="8">
        <f>I145</f>
        <v>1116964</v>
      </c>
      <c r="L145" s="3" t="s">
        <v>398</v>
      </c>
      <c r="M145" s="3"/>
      <c r="N145" s="3"/>
      <c r="O145" s="3"/>
      <c r="P145" s="3"/>
      <c r="Q145" s="3"/>
    </row>
    <row r="146" spans="1:17" ht="181.5" customHeight="1" x14ac:dyDescent="0.25">
      <c r="A146" s="48" t="s">
        <v>59</v>
      </c>
      <c r="B146" s="3" t="s">
        <v>167</v>
      </c>
      <c r="C146" s="3" t="s">
        <v>475</v>
      </c>
      <c r="D146" s="13" t="s">
        <v>258</v>
      </c>
      <c r="E146" s="48" t="s">
        <v>118</v>
      </c>
      <c r="F146" s="3" t="s">
        <v>28</v>
      </c>
      <c r="G146" s="3" t="s">
        <v>140</v>
      </c>
      <c r="H146" s="21" t="s">
        <v>391</v>
      </c>
      <c r="I146" s="6">
        <v>2938052</v>
      </c>
      <c r="J146" s="36"/>
      <c r="K146" s="8">
        <f>I146</f>
        <v>2938052</v>
      </c>
      <c r="L146" s="16" t="s">
        <v>398</v>
      </c>
      <c r="M146" s="3"/>
      <c r="N146" s="3"/>
      <c r="O146" s="3"/>
      <c r="P146" s="3"/>
      <c r="Q146" s="3"/>
    </row>
    <row r="147" spans="1:17" ht="42.6" customHeight="1" x14ac:dyDescent="0.25">
      <c r="A147" s="3" t="s">
        <v>57</v>
      </c>
      <c r="B147" s="3" t="s">
        <v>170</v>
      </c>
      <c r="C147" s="3" t="s">
        <v>259</v>
      </c>
      <c r="D147" s="13" t="s">
        <v>58</v>
      </c>
      <c r="E147" s="48" t="s">
        <v>118</v>
      </c>
      <c r="F147" s="3" t="s">
        <v>28</v>
      </c>
      <c r="G147" s="3" t="s">
        <v>140</v>
      </c>
      <c r="H147" s="3" t="s">
        <v>428</v>
      </c>
      <c r="I147" s="6">
        <v>7074</v>
      </c>
      <c r="J147" s="6">
        <f>+ROUND((I147*$J$2)+I147,0)</f>
        <v>7629</v>
      </c>
      <c r="K147" s="3"/>
      <c r="L147" s="3" t="s">
        <v>423</v>
      </c>
      <c r="M147" s="16">
        <f>J147*1*$M$2</f>
        <v>457740</v>
      </c>
      <c r="N147" s="16">
        <f>+J147*1*$N$2</f>
        <v>610320</v>
      </c>
      <c r="O147" s="3"/>
      <c r="P147" s="3"/>
      <c r="Q147" s="3"/>
    </row>
    <row r="148" spans="1:17" ht="42.6" customHeight="1" x14ac:dyDescent="0.25">
      <c r="A148" s="3" t="s">
        <v>57</v>
      </c>
      <c r="B148" s="3" t="s">
        <v>171</v>
      </c>
      <c r="C148" s="3" t="s">
        <v>260</v>
      </c>
      <c r="D148" s="13" t="s">
        <v>58</v>
      </c>
      <c r="E148" s="48" t="s">
        <v>118</v>
      </c>
      <c r="F148" s="3" t="s">
        <v>28</v>
      </c>
      <c r="G148" s="3" t="s">
        <v>140</v>
      </c>
      <c r="H148" s="3" t="s">
        <v>428</v>
      </c>
      <c r="I148" s="6">
        <v>8705</v>
      </c>
      <c r="J148" s="6">
        <f>+ROUND((I148*$J$2)+I148,0)</f>
        <v>9388</v>
      </c>
      <c r="K148" s="3"/>
      <c r="L148" s="3" t="s">
        <v>423</v>
      </c>
      <c r="M148" s="16">
        <f>J148*1*$M$2</f>
        <v>563280</v>
      </c>
      <c r="N148" s="16">
        <f>+J148*1*$N$2</f>
        <v>751040</v>
      </c>
      <c r="O148" s="3"/>
      <c r="P148" s="3"/>
      <c r="Q148" s="3"/>
    </row>
    <row r="149" spans="1:17" ht="114" customHeight="1" x14ac:dyDescent="0.25">
      <c r="A149" s="49" t="s">
        <v>57</v>
      </c>
      <c r="B149" s="49" t="s">
        <v>171</v>
      </c>
      <c r="C149" s="3" t="s">
        <v>261</v>
      </c>
      <c r="D149" s="20" t="s">
        <v>410</v>
      </c>
      <c r="E149" s="14" t="s">
        <v>118</v>
      </c>
      <c r="F149" s="20" t="s">
        <v>28</v>
      </c>
      <c r="G149" s="20" t="s">
        <v>140</v>
      </c>
      <c r="H149" s="20" t="s">
        <v>397</v>
      </c>
      <c r="I149" s="6">
        <v>8178</v>
      </c>
      <c r="J149" s="6"/>
      <c r="K149" s="8"/>
      <c r="L149" s="3" t="s">
        <v>398</v>
      </c>
      <c r="M149" s="16">
        <f>I149*1*$M$2</f>
        <v>490680</v>
      </c>
      <c r="N149" s="16">
        <f>+I149*1*$N$2</f>
        <v>654240</v>
      </c>
      <c r="O149" s="15"/>
      <c r="P149" s="15"/>
      <c r="Q149" s="15"/>
    </row>
    <row r="150" spans="1:17" ht="51" x14ac:dyDescent="0.25">
      <c r="A150" s="49"/>
      <c r="B150" s="49"/>
      <c r="C150" s="3" t="s">
        <v>262</v>
      </c>
      <c r="D150" s="20" t="s">
        <v>411</v>
      </c>
      <c r="E150" s="14" t="s">
        <v>118</v>
      </c>
      <c r="F150" s="20" t="s">
        <v>28</v>
      </c>
      <c r="G150" s="20" t="s">
        <v>140</v>
      </c>
      <c r="H150" s="20" t="s">
        <v>397</v>
      </c>
      <c r="I150" s="6">
        <v>3082</v>
      </c>
      <c r="J150" s="6"/>
      <c r="K150" s="3"/>
      <c r="L150" s="3" t="s">
        <v>398</v>
      </c>
      <c r="M150" s="16">
        <f>I150*1*$M$2</f>
        <v>184920</v>
      </c>
      <c r="N150" s="16">
        <f>+I150*1*$N$2</f>
        <v>246560</v>
      </c>
      <c r="O150" s="15"/>
      <c r="P150" s="15"/>
      <c r="Q150" s="15"/>
    </row>
    <row r="151" spans="1:17" ht="51" x14ac:dyDescent="0.25">
      <c r="A151" s="49"/>
      <c r="B151" s="49"/>
      <c r="C151" s="3" t="s">
        <v>263</v>
      </c>
      <c r="D151" s="20" t="s">
        <v>411</v>
      </c>
      <c r="E151" s="14" t="s">
        <v>118</v>
      </c>
      <c r="F151" s="20" t="s">
        <v>28</v>
      </c>
      <c r="G151" s="20" t="s">
        <v>140</v>
      </c>
      <c r="H151" s="20" t="s">
        <v>397</v>
      </c>
      <c r="I151" s="6">
        <v>1737</v>
      </c>
      <c r="J151" s="6"/>
      <c r="K151" s="16"/>
      <c r="L151" s="3" t="s">
        <v>398</v>
      </c>
      <c r="M151" s="16">
        <f>I151*1*$M$2</f>
        <v>104220</v>
      </c>
      <c r="N151" s="16">
        <f>+I151*1*$N$2</f>
        <v>138960</v>
      </c>
      <c r="O151" s="15"/>
      <c r="P151" s="15"/>
      <c r="Q151" s="15"/>
    </row>
    <row r="152" spans="1:17" ht="51" x14ac:dyDescent="0.25">
      <c r="A152" s="49"/>
      <c r="B152" s="49"/>
      <c r="C152" s="3" t="s">
        <v>264</v>
      </c>
      <c r="D152" s="20" t="s">
        <v>451</v>
      </c>
      <c r="E152" s="14" t="s">
        <v>118</v>
      </c>
      <c r="F152" s="20" t="s">
        <v>28</v>
      </c>
      <c r="G152" s="20" t="s">
        <v>140</v>
      </c>
      <c r="H152" s="21" t="s">
        <v>391</v>
      </c>
      <c r="I152" s="6">
        <v>2630</v>
      </c>
      <c r="J152" s="6"/>
      <c r="K152" s="16">
        <f>I152*20</f>
        <v>52600</v>
      </c>
      <c r="L152" s="3" t="s">
        <v>398</v>
      </c>
      <c r="M152" s="3"/>
      <c r="N152" s="3"/>
      <c r="O152" s="3"/>
      <c r="P152" s="3"/>
      <c r="Q152" s="3"/>
    </row>
    <row r="153" spans="1:17" ht="87" customHeight="1" x14ac:dyDescent="0.25">
      <c r="A153" s="49"/>
      <c r="B153" s="49"/>
      <c r="C153" s="3" t="s">
        <v>265</v>
      </c>
      <c r="D153" s="20" t="s">
        <v>412</v>
      </c>
      <c r="E153" s="14" t="s">
        <v>118</v>
      </c>
      <c r="F153" s="20" t="s">
        <v>28</v>
      </c>
      <c r="G153" s="20" t="s">
        <v>140</v>
      </c>
      <c r="H153" s="20" t="s">
        <v>397</v>
      </c>
      <c r="I153" s="6">
        <v>4258</v>
      </c>
      <c r="J153" s="6"/>
      <c r="K153" s="16"/>
      <c r="L153" s="3" t="s">
        <v>398</v>
      </c>
      <c r="M153" s="15">
        <f>I153*$M$2</f>
        <v>255480</v>
      </c>
      <c r="N153" s="15">
        <f>I153*$N$2</f>
        <v>340640</v>
      </c>
      <c r="O153" s="15"/>
      <c r="P153" s="15"/>
      <c r="Q153" s="15"/>
    </row>
    <row r="154" spans="1:17" ht="51" x14ac:dyDescent="0.25">
      <c r="A154" s="49"/>
      <c r="B154" s="49"/>
      <c r="C154" s="3" t="s">
        <v>266</v>
      </c>
      <c r="D154" s="20" t="s">
        <v>413</v>
      </c>
      <c r="E154" s="14" t="s">
        <v>118</v>
      </c>
      <c r="F154" s="20" t="s">
        <v>28</v>
      </c>
      <c r="G154" s="20" t="s">
        <v>140</v>
      </c>
      <c r="H154" s="20" t="s">
        <v>397</v>
      </c>
      <c r="I154" s="6">
        <v>2666</v>
      </c>
      <c r="J154" s="6"/>
      <c r="K154" s="16"/>
      <c r="L154" s="3" t="s">
        <v>398</v>
      </c>
      <c r="M154" s="15">
        <f t="shared" ref="M154:M155" si="3">I154*$M$2</f>
        <v>159960</v>
      </c>
      <c r="N154" s="15">
        <f t="shared" ref="N154:N155" si="4">I154*$N$2</f>
        <v>213280</v>
      </c>
      <c r="O154" s="15"/>
      <c r="P154" s="15"/>
      <c r="Q154" s="15"/>
    </row>
    <row r="155" spans="1:17" ht="51" x14ac:dyDescent="0.25">
      <c r="A155" s="49"/>
      <c r="B155" s="49"/>
      <c r="C155" s="3" t="s">
        <v>267</v>
      </c>
      <c r="D155" s="20" t="s">
        <v>414</v>
      </c>
      <c r="E155" s="14" t="s">
        <v>118</v>
      </c>
      <c r="F155" s="20" t="s">
        <v>28</v>
      </c>
      <c r="G155" s="20" t="s">
        <v>140</v>
      </c>
      <c r="H155" s="20" t="s">
        <v>397</v>
      </c>
      <c r="I155" s="6">
        <v>5084</v>
      </c>
      <c r="J155" s="6"/>
      <c r="K155" s="16"/>
      <c r="L155" s="3" t="s">
        <v>398</v>
      </c>
      <c r="M155" s="15">
        <f t="shared" si="3"/>
        <v>305040</v>
      </c>
      <c r="N155" s="15">
        <f t="shared" si="4"/>
        <v>406720</v>
      </c>
      <c r="O155" s="15"/>
      <c r="P155" s="3"/>
      <c r="Q155" s="3"/>
    </row>
    <row r="156" spans="1:17" ht="51" customHeight="1" x14ac:dyDescent="0.25">
      <c r="A156" s="3" t="s">
        <v>57</v>
      </c>
      <c r="B156" s="3" t="s">
        <v>171</v>
      </c>
      <c r="C156" s="3" t="s">
        <v>268</v>
      </c>
      <c r="D156" s="13" t="s">
        <v>58</v>
      </c>
      <c r="E156" s="48" t="s">
        <v>118</v>
      </c>
      <c r="F156" s="3" t="s">
        <v>28</v>
      </c>
      <c r="G156" s="3" t="s">
        <v>140</v>
      </c>
      <c r="H156" s="3" t="s">
        <v>428</v>
      </c>
      <c r="I156" s="6">
        <v>5583</v>
      </c>
      <c r="J156" s="6">
        <f>+ROUND((I156*$J$2)+I156,0)</f>
        <v>6021</v>
      </c>
      <c r="K156" s="3"/>
      <c r="L156" s="3" t="s">
        <v>423</v>
      </c>
      <c r="M156" s="16">
        <f>J156*1*$M$2</f>
        <v>361260</v>
      </c>
      <c r="N156" s="16">
        <f>+J156*1*$N$2</f>
        <v>481680</v>
      </c>
      <c r="O156" s="2"/>
      <c r="P156" s="3"/>
      <c r="Q156" s="3"/>
    </row>
    <row r="157" spans="1:17" ht="147.75" customHeight="1" x14ac:dyDescent="0.25">
      <c r="A157" s="3" t="s">
        <v>36</v>
      </c>
      <c r="B157" s="27" t="s">
        <v>172</v>
      </c>
      <c r="C157" s="3" t="s">
        <v>269</v>
      </c>
      <c r="D157" s="13" t="s">
        <v>258</v>
      </c>
      <c r="E157" s="48" t="s">
        <v>118</v>
      </c>
      <c r="F157" s="48" t="s">
        <v>28</v>
      </c>
      <c r="G157" s="48" t="s">
        <v>140</v>
      </c>
      <c r="H157" s="21" t="s">
        <v>391</v>
      </c>
      <c r="I157" s="6">
        <v>641610</v>
      </c>
      <c r="J157" s="6"/>
      <c r="K157" s="8">
        <f>I157</f>
        <v>641610</v>
      </c>
      <c r="L157" s="3" t="s">
        <v>398</v>
      </c>
      <c r="M157" s="3"/>
      <c r="N157" s="3"/>
      <c r="O157" s="3"/>
      <c r="P157" s="3"/>
      <c r="Q157" s="3"/>
    </row>
    <row r="158" spans="1:17" ht="187.15" customHeight="1" x14ac:dyDescent="0.25">
      <c r="A158" s="3" t="s">
        <v>37</v>
      </c>
      <c r="B158" s="3" t="s">
        <v>175</v>
      </c>
      <c r="C158" s="3" t="s">
        <v>270</v>
      </c>
      <c r="D158" s="13" t="s">
        <v>258</v>
      </c>
      <c r="E158" s="48" t="s">
        <v>118</v>
      </c>
      <c r="F158" s="48" t="s">
        <v>28</v>
      </c>
      <c r="G158" s="48" t="s">
        <v>140</v>
      </c>
      <c r="H158" s="21" t="s">
        <v>391</v>
      </c>
      <c r="I158" s="6">
        <v>574490</v>
      </c>
      <c r="J158" s="6"/>
      <c r="K158" s="8">
        <f>I158</f>
        <v>574490</v>
      </c>
      <c r="L158" s="3" t="s">
        <v>398</v>
      </c>
      <c r="M158" s="3"/>
      <c r="N158" s="3"/>
      <c r="O158" s="3"/>
      <c r="P158" s="3"/>
      <c r="Q158" s="3"/>
    </row>
    <row r="159" spans="1:17" ht="241.5" customHeight="1" x14ac:dyDescent="0.25">
      <c r="A159" s="3" t="s">
        <v>271</v>
      </c>
      <c r="B159" s="3" t="s">
        <v>169</v>
      </c>
      <c r="C159" s="3" t="s">
        <v>476</v>
      </c>
      <c r="D159" s="3" t="s">
        <v>258</v>
      </c>
      <c r="E159" s="48" t="s">
        <v>118</v>
      </c>
      <c r="F159" s="3" t="s">
        <v>28</v>
      </c>
      <c r="G159" s="3" t="s">
        <v>140</v>
      </c>
      <c r="H159" s="21" t="s">
        <v>391</v>
      </c>
      <c r="I159" s="6">
        <v>344681</v>
      </c>
      <c r="J159" s="36"/>
      <c r="K159" s="8">
        <f>I159</f>
        <v>344681</v>
      </c>
      <c r="L159" s="3" t="s">
        <v>398</v>
      </c>
      <c r="M159" s="3"/>
      <c r="N159" s="3"/>
      <c r="O159" s="3"/>
      <c r="P159" s="3"/>
      <c r="Q159" s="3"/>
    </row>
    <row r="160" spans="1:17" ht="129" customHeight="1" x14ac:dyDescent="0.25">
      <c r="A160" s="3" t="s">
        <v>40</v>
      </c>
      <c r="B160" s="3" t="s">
        <v>376</v>
      </c>
      <c r="C160" s="3" t="s">
        <v>477</v>
      </c>
      <c r="D160" s="3" t="s">
        <v>258</v>
      </c>
      <c r="E160" s="3" t="s">
        <v>118</v>
      </c>
      <c r="F160" s="3" t="s">
        <v>139</v>
      </c>
      <c r="G160" s="3" t="s">
        <v>140</v>
      </c>
      <c r="H160" s="3" t="s">
        <v>427</v>
      </c>
      <c r="I160" s="6">
        <v>291667</v>
      </c>
      <c r="J160" s="6">
        <f>+ROUND((I160*$J$2)+I160,0)</f>
        <v>314563</v>
      </c>
      <c r="K160" s="8">
        <f>J160*1</f>
        <v>314563</v>
      </c>
      <c r="L160" s="3" t="s">
        <v>423</v>
      </c>
      <c r="M160" s="3"/>
      <c r="N160" s="3"/>
      <c r="O160" s="3"/>
      <c r="P160" s="3"/>
      <c r="Q160" s="3"/>
    </row>
    <row r="161" spans="1:17" ht="369.75" x14ac:dyDescent="0.25">
      <c r="A161" s="3" t="s">
        <v>39</v>
      </c>
      <c r="B161" s="3" t="s">
        <v>378</v>
      </c>
      <c r="C161" s="3" t="s">
        <v>478</v>
      </c>
      <c r="D161" s="3" t="s">
        <v>258</v>
      </c>
      <c r="E161" s="3" t="s">
        <v>118</v>
      </c>
      <c r="F161" s="3" t="s">
        <v>139</v>
      </c>
      <c r="G161" s="3" t="s">
        <v>140</v>
      </c>
      <c r="H161" s="21" t="s">
        <v>391</v>
      </c>
      <c r="I161" s="6">
        <v>247194</v>
      </c>
      <c r="J161" s="36"/>
      <c r="K161" s="8">
        <f>I161</f>
        <v>247194</v>
      </c>
      <c r="L161" s="16" t="s">
        <v>398</v>
      </c>
      <c r="M161" s="3"/>
      <c r="N161" s="3"/>
      <c r="O161" s="3"/>
      <c r="P161" s="3"/>
      <c r="Q161" s="3"/>
    </row>
    <row r="162" spans="1:17" ht="69.75" customHeight="1" x14ac:dyDescent="0.25">
      <c r="A162" s="3" t="s">
        <v>41</v>
      </c>
      <c r="B162" s="3" t="s">
        <v>377</v>
      </c>
      <c r="C162" s="3" t="s">
        <v>479</v>
      </c>
      <c r="D162" s="3" t="s">
        <v>258</v>
      </c>
      <c r="E162" s="3" t="s">
        <v>118</v>
      </c>
      <c r="F162" s="3" t="s">
        <v>139</v>
      </c>
      <c r="G162" s="3" t="s">
        <v>140</v>
      </c>
      <c r="H162" s="21" t="s">
        <v>391</v>
      </c>
      <c r="I162" s="37">
        <v>685228</v>
      </c>
      <c r="J162" s="38"/>
      <c r="K162" s="39">
        <f>I162</f>
        <v>685228</v>
      </c>
      <c r="L162" s="21" t="s">
        <v>398</v>
      </c>
      <c r="M162" s="3"/>
      <c r="N162" s="3"/>
      <c r="O162" s="3"/>
      <c r="P162" s="3"/>
      <c r="Q162" s="3"/>
    </row>
    <row r="163" spans="1:17" ht="57.6" customHeight="1" x14ac:dyDescent="0.25">
      <c r="A163" s="3" t="s">
        <v>97</v>
      </c>
      <c r="B163" s="3" t="s">
        <v>173</v>
      </c>
      <c r="C163" s="3" t="s">
        <v>272</v>
      </c>
      <c r="D163" s="13" t="s">
        <v>95</v>
      </c>
      <c r="E163" s="3" t="s">
        <v>51</v>
      </c>
      <c r="F163" s="3" t="s">
        <v>29</v>
      </c>
      <c r="G163" s="3" t="s">
        <v>45</v>
      </c>
      <c r="H163" s="20" t="s">
        <v>390</v>
      </c>
      <c r="I163" s="6">
        <v>3687</v>
      </c>
      <c r="J163" s="6"/>
      <c r="K163" s="16"/>
      <c r="L163" s="3" t="s">
        <v>396</v>
      </c>
      <c r="M163" s="22">
        <f>+ROUND((I163*$M$3)/2,0)</f>
        <v>55305</v>
      </c>
      <c r="N163" s="22">
        <f>+ROUND((I163*$N$3)/2,0)</f>
        <v>73740</v>
      </c>
      <c r="O163" s="22"/>
      <c r="P163" s="15"/>
      <c r="Q163" s="3"/>
    </row>
    <row r="164" spans="1:17" ht="57.6" customHeight="1" x14ac:dyDescent="0.25">
      <c r="A164" s="3" t="s">
        <v>97</v>
      </c>
      <c r="B164" s="3" t="s">
        <v>173</v>
      </c>
      <c r="C164" s="3" t="s">
        <v>273</v>
      </c>
      <c r="D164" s="13" t="s">
        <v>96</v>
      </c>
      <c r="E164" s="3" t="s">
        <v>51</v>
      </c>
      <c r="F164" s="3" t="s">
        <v>29</v>
      </c>
      <c r="G164" s="3" t="s">
        <v>111</v>
      </c>
      <c r="H164" s="20" t="s">
        <v>390</v>
      </c>
      <c r="I164" s="6">
        <v>7079</v>
      </c>
      <c r="J164" s="6"/>
      <c r="K164" s="16"/>
      <c r="L164" s="3" t="s">
        <v>396</v>
      </c>
      <c r="M164" s="22">
        <f>+ROUND(I164*$M$3,0)</f>
        <v>212370</v>
      </c>
      <c r="N164" s="22">
        <f>+ROUND(I164*$N$3,0)</f>
        <v>283160</v>
      </c>
      <c r="O164" s="22"/>
      <c r="P164" s="3"/>
      <c r="Q164" s="3"/>
    </row>
    <row r="165" spans="1:17" ht="57.6" customHeight="1" x14ac:dyDescent="0.25">
      <c r="A165" s="3" t="s">
        <v>97</v>
      </c>
      <c r="B165" s="3" t="s">
        <v>173</v>
      </c>
      <c r="C165" s="3" t="s">
        <v>274</v>
      </c>
      <c r="D165" s="13" t="s">
        <v>275</v>
      </c>
      <c r="E165" s="3" t="s">
        <v>51</v>
      </c>
      <c r="F165" s="3" t="s">
        <v>29</v>
      </c>
      <c r="G165" s="3" t="s">
        <v>111</v>
      </c>
      <c r="H165" s="20" t="s">
        <v>390</v>
      </c>
      <c r="I165" s="6">
        <v>15753</v>
      </c>
      <c r="J165" s="6"/>
      <c r="K165" s="16"/>
      <c r="L165" s="3" t="s">
        <v>396</v>
      </c>
      <c r="M165" s="22">
        <f>+ROUND(I165*$M$3,0)</f>
        <v>472590</v>
      </c>
      <c r="N165" s="22">
        <f>+ROUND(I165*$N$3,0)</f>
        <v>630120</v>
      </c>
      <c r="O165" s="22"/>
      <c r="P165" s="3"/>
      <c r="Q165" s="3"/>
    </row>
    <row r="166" spans="1:17" ht="54" customHeight="1" x14ac:dyDescent="0.25">
      <c r="A166" s="3" t="s">
        <v>97</v>
      </c>
      <c r="B166" s="3" t="s">
        <v>173</v>
      </c>
      <c r="C166" s="3" t="s">
        <v>276</v>
      </c>
      <c r="D166" s="13" t="s">
        <v>277</v>
      </c>
      <c r="E166" s="3" t="s">
        <v>51</v>
      </c>
      <c r="F166" s="3" t="s">
        <v>29</v>
      </c>
      <c r="G166" s="3" t="s">
        <v>111</v>
      </c>
      <c r="H166" s="20" t="s">
        <v>390</v>
      </c>
      <c r="I166" s="6">
        <v>13126</v>
      </c>
      <c r="J166" s="6"/>
      <c r="K166" s="16"/>
      <c r="L166" s="3" t="s">
        <v>396</v>
      </c>
      <c r="M166" s="22">
        <f>+ROUND(I166*$M$3,0)</f>
        <v>393780</v>
      </c>
      <c r="N166" s="22">
        <f>+ROUND(I166*$N$3,0)</f>
        <v>525040</v>
      </c>
      <c r="O166" s="22"/>
      <c r="P166" s="3"/>
      <c r="Q166" s="3"/>
    </row>
    <row r="167" spans="1:17" ht="54" customHeight="1" x14ac:dyDescent="0.25">
      <c r="A167" s="3" t="s">
        <v>97</v>
      </c>
      <c r="B167" s="3" t="s">
        <v>173</v>
      </c>
      <c r="C167" s="3" t="s">
        <v>323</v>
      </c>
      <c r="D167" s="13" t="s">
        <v>322</v>
      </c>
      <c r="E167" s="3" t="s">
        <v>51</v>
      </c>
      <c r="F167" s="3" t="s">
        <v>29</v>
      </c>
      <c r="G167" s="3" t="s">
        <v>110</v>
      </c>
      <c r="H167" s="3" t="s">
        <v>390</v>
      </c>
      <c r="I167" s="6">
        <v>21234</v>
      </c>
      <c r="J167" s="6"/>
      <c r="K167" s="16"/>
      <c r="L167" s="3" t="s">
        <v>396</v>
      </c>
      <c r="M167" s="3"/>
      <c r="N167" s="3"/>
      <c r="O167" s="3"/>
      <c r="P167" s="22">
        <f>+ROUND(I167*$M$3,0)</f>
        <v>637020</v>
      </c>
      <c r="Q167" s="22">
        <f>+ROUND(I167*$N$3,0)</f>
        <v>849360</v>
      </c>
    </row>
    <row r="168" spans="1:17" ht="54" customHeight="1" x14ac:dyDescent="0.25">
      <c r="A168" s="3" t="s">
        <v>97</v>
      </c>
      <c r="B168" s="3" t="s">
        <v>173</v>
      </c>
      <c r="C168" s="3" t="s">
        <v>278</v>
      </c>
      <c r="D168" s="13" t="s">
        <v>213</v>
      </c>
      <c r="E168" s="3" t="s">
        <v>51</v>
      </c>
      <c r="F168" s="3" t="s">
        <v>29</v>
      </c>
      <c r="G168" s="3" t="s">
        <v>111</v>
      </c>
      <c r="H168" s="20" t="s">
        <v>390</v>
      </c>
      <c r="I168" s="6">
        <v>8694</v>
      </c>
      <c r="J168" s="6"/>
      <c r="K168" s="16"/>
      <c r="L168" s="3" t="s">
        <v>396</v>
      </c>
      <c r="M168" s="22">
        <f>+ROUND(I168*$M$3,0)</f>
        <v>260820</v>
      </c>
      <c r="N168" s="22">
        <f>+ROUND(I168*$N$3,0)</f>
        <v>347760</v>
      </c>
      <c r="O168" s="22"/>
      <c r="P168" s="3"/>
      <c r="Q168" s="3"/>
    </row>
    <row r="169" spans="1:17" ht="54" customHeight="1" x14ac:dyDescent="0.25">
      <c r="A169" s="3" t="s">
        <v>97</v>
      </c>
      <c r="B169" s="3" t="s">
        <v>173</v>
      </c>
      <c r="C169" s="3" t="s">
        <v>279</v>
      </c>
      <c r="D169" s="13" t="s">
        <v>213</v>
      </c>
      <c r="E169" s="3" t="s">
        <v>51</v>
      </c>
      <c r="F169" s="3" t="s">
        <v>29</v>
      </c>
      <c r="G169" s="3" t="s">
        <v>111</v>
      </c>
      <c r="H169" s="20" t="s">
        <v>390</v>
      </c>
      <c r="I169" s="6">
        <v>18312</v>
      </c>
      <c r="J169" s="6"/>
      <c r="K169" s="16"/>
      <c r="L169" s="3" t="s">
        <v>396</v>
      </c>
      <c r="M169" s="22">
        <f>+ROUND(I169*$M$3,0)</f>
        <v>549360</v>
      </c>
      <c r="N169" s="22">
        <f>+ROUND(I169*$N$3,0)</f>
        <v>732480</v>
      </c>
      <c r="O169" s="22"/>
      <c r="P169" s="3"/>
      <c r="Q169" s="3"/>
    </row>
    <row r="170" spans="1:17" ht="54" customHeight="1" x14ac:dyDescent="0.25">
      <c r="A170" s="3" t="s">
        <v>97</v>
      </c>
      <c r="B170" s="3" t="s">
        <v>173</v>
      </c>
      <c r="C170" s="3" t="s">
        <v>280</v>
      </c>
      <c r="D170" s="13" t="s">
        <v>281</v>
      </c>
      <c r="E170" s="3" t="s">
        <v>51</v>
      </c>
      <c r="F170" s="3" t="s">
        <v>29</v>
      </c>
      <c r="G170" s="3" t="s">
        <v>111</v>
      </c>
      <c r="H170" s="20" t="s">
        <v>390</v>
      </c>
      <c r="I170" s="6">
        <v>3762</v>
      </c>
      <c r="J170" s="6"/>
      <c r="K170" s="16"/>
      <c r="L170" s="3" t="s">
        <v>396</v>
      </c>
      <c r="M170" s="22">
        <f>+ROUND((I170*$M$3)*2,0)</f>
        <v>225720</v>
      </c>
      <c r="N170" s="22">
        <f>+ROUND((I170*$N$3)*2,0)</f>
        <v>300960</v>
      </c>
      <c r="O170" s="22"/>
      <c r="P170" s="15"/>
      <c r="Q170" s="3"/>
    </row>
    <row r="171" spans="1:17" ht="58.9" customHeight="1" x14ac:dyDescent="0.25">
      <c r="A171" s="3" t="s">
        <v>97</v>
      </c>
      <c r="B171" s="3" t="s">
        <v>173</v>
      </c>
      <c r="C171" s="3" t="s">
        <v>282</v>
      </c>
      <c r="D171" s="13" t="s">
        <v>95</v>
      </c>
      <c r="E171" s="3" t="s">
        <v>51</v>
      </c>
      <c r="F171" s="3" t="s">
        <v>29</v>
      </c>
      <c r="G171" s="3" t="s">
        <v>111</v>
      </c>
      <c r="H171" s="20" t="s">
        <v>390</v>
      </c>
      <c r="I171" s="6">
        <v>9921</v>
      </c>
      <c r="J171" s="6"/>
      <c r="K171" s="16"/>
      <c r="L171" s="3" t="s">
        <v>396</v>
      </c>
      <c r="M171" s="22">
        <f>ROUND((I171*$M$3)/2,0)</f>
        <v>148815</v>
      </c>
      <c r="N171" s="22">
        <f>ROUND((I171*$N$3)/2,0)</f>
        <v>198420</v>
      </c>
      <c r="O171" s="22"/>
      <c r="P171" s="15"/>
      <c r="Q171" s="3"/>
    </row>
    <row r="172" spans="1:17" ht="57" customHeight="1" x14ac:dyDescent="0.25">
      <c r="A172" s="3" t="s">
        <v>97</v>
      </c>
      <c r="B172" s="3" t="s">
        <v>173</v>
      </c>
      <c r="C172" s="3" t="s">
        <v>325</v>
      </c>
      <c r="D172" s="13" t="s">
        <v>95</v>
      </c>
      <c r="E172" s="3" t="s">
        <v>51</v>
      </c>
      <c r="F172" s="3" t="s">
        <v>29</v>
      </c>
      <c r="G172" s="3" t="s">
        <v>111</v>
      </c>
      <c r="H172" s="20" t="s">
        <v>390</v>
      </c>
      <c r="I172" s="40">
        <v>43329</v>
      </c>
      <c r="J172" s="40"/>
      <c r="K172" s="16"/>
      <c r="L172" s="3" t="s">
        <v>396</v>
      </c>
      <c r="M172" s="22">
        <f>ROUND((I172*$M$3)/2,0)</f>
        <v>649935</v>
      </c>
      <c r="N172" s="22">
        <f>ROUND((I172*$N$3)/2,0)</f>
        <v>866580</v>
      </c>
      <c r="O172" s="22"/>
      <c r="P172" s="3"/>
      <c r="Q172" s="3"/>
    </row>
    <row r="173" spans="1:17" ht="57" customHeight="1" x14ac:dyDescent="0.25">
      <c r="A173" s="3" t="s">
        <v>97</v>
      </c>
      <c r="B173" s="3" t="s">
        <v>173</v>
      </c>
      <c r="C173" s="3" t="s">
        <v>284</v>
      </c>
      <c r="D173" s="13" t="s">
        <v>283</v>
      </c>
      <c r="E173" s="3" t="s">
        <v>51</v>
      </c>
      <c r="F173" s="3" t="s">
        <v>29</v>
      </c>
      <c r="G173" s="3" t="s">
        <v>45</v>
      </c>
      <c r="H173" s="20" t="s">
        <v>390</v>
      </c>
      <c r="I173" s="6">
        <v>10206</v>
      </c>
      <c r="J173" s="6"/>
      <c r="K173" s="16"/>
      <c r="L173" s="3" t="s">
        <v>396</v>
      </c>
      <c r="M173" s="22">
        <f>ROUND(I173*$M$3,0)</f>
        <v>306180</v>
      </c>
      <c r="N173" s="22">
        <f>ROUND(I173*$N$3,0)</f>
        <v>408240</v>
      </c>
      <c r="O173" s="22"/>
      <c r="P173" s="15"/>
      <c r="Q173" s="3"/>
    </row>
    <row r="174" spans="1:17" ht="127.5" customHeight="1" x14ac:dyDescent="0.25">
      <c r="A174" s="3" t="s">
        <v>97</v>
      </c>
      <c r="B174" s="3" t="s">
        <v>173</v>
      </c>
      <c r="C174" s="3" t="s">
        <v>356</v>
      </c>
      <c r="D174" s="13" t="s">
        <v>357</v>
      </c>
      <c r="E174" s="3" t="s">
        <v>51</v>
      </c>
      <c r="F174" s="3" t="s">
        <v>29</v>
      </c>
      <c r="G174" s="3" t="s">
        <v>38</v>
      </c>
      <c r="H174" s="20" t="s">
        <v>390</v>
      </c>
      <c r="I174" s="6">
        <v>25564</v>
      </c>
      <c r="J174" s="6"/>
      <c r="K174" s="16"/>
      <c r="L174" s="3" t="s">
        <v>396</v>
      </c>
      <c r="M174" s="3"/>
      <c r="N174" s="3"/>
      <c r="O174" s="3"/>
      <c r="P174" s="22">
        <f>ROUND(I174*$M$3*2,0)</f>
        <v>1533840</v>
      </c>
      <c r="Q174" s="22">
        <f>ROUND(I174*$N$3*2,0)</f>
        <v>2045120</v>
      </c>
    </row>
    <row r="175" spans="1:17" ht="57" customHeight="1" x14ac:dyDescent="0.25">
      <c r="A175" s="3" t="s">
        <v>97</v>
      </c>
      <c r="B175" s="3" t="s">
        <v>173</v>
      </c>
      <c r="C175" s="3" t="s">
        <v>285</v>
      </c>
      <c r="D175" s="13" t="s">
        <v>302</v>
      </c>
      <c r="E175" s="3" t="s">
        <v>51</v>
      </c>
      <c r="F175" s="3" t="s">
        <v>29</v>
      </c>
      <c r="G175" s="3" t="s">
        <v>45</v>
      </c>
      <c r="H175" s="20" t="s">
        <v>390</v>
      </c>
      <c r="I175" s="6">
        <v>3200</v>
      </c>
      <c r="J175" s="6"/>
      <c r="K175" s="16"/>
      <c r="L175" s="3" t="s">
        <v>396</v>
      </c>
      <c r="M175" s="22">
        <f>ROUND(I175*$M$3*4,0)</f>
        <v>384000</v>
      </c>
      <c r="N175" s="22">
        <f>ROUND(I175*$N$3*4,0)</f>
        <v>512000</v>
      </c>
      <c r="O175" s="22"/>
      <c r="P175" s="15"/>
      <c r="Q175" s="3"/>
    </row>
    <row r="176" spans="1:17" ht="57" customHeight="1" x14ac:dyDescent="0.25">
      <c r="A176" s="3" t="s">
        <v>97</v>
      </c>
      <c r="B176" s="3" t="s">
        <v>173</v>
      </c>
      <c r="C176" s="3" t="s">
        <v>286</v>
      </c>
      <c r="D176" s="13" t="s">
        <v>287</v>
      </c>
      <c r="E176" s="3" t="s">
        <v>51</v>
      </c>
      <c r="F176" s="3" t="s">
        <v>29</v>
      </c>
      <c r="G176" s="3" t="s">
        <v>110</v>
      </c>
      <c r="H176" s="20" t="s">
        <v>390</v>
      </c>
      <c r="I176" s="6">
        <v>5953</v>
      </c>
      <c r="J176" s="6"/>
      <c r="K176" s="16"/>
      <c r="L176" s="3" t="s">
        <v>396</v>
      </c>
      <c r="M176" s="3"/>
      <c r="N176" s="3"/>
      <c r="O176" s="3"/>
      <c r="P176" s="22">
        <f>ROUND(I176*$M$3,0)</f>
        <v>178590</v>
      </c>
      <c r="Q176" s="22">
        <f>ROUND(I176*$N$3,0)</f>
        <v>238120</v>
      </c>
    </row>
    <row r="177" spans="1:17" ht="57" customHeight="1" x14ac:dyDescent="0.25">
      <c r="A177" s="3" t="s">
        <v>97</v>
      </c>
      <c r="B177" s="3" t="s">
        <v>173</v>
      </c>
      <c r="C177" s="3" t="s">
        <v>289</v>
      </c>
      <c r="D177" s="13" t="s">
        <v>288</v>
      </c>
      <c r="E177" s="3" t="s">
        <v>51</v>
      </c>
      <c r="F177" s="3" t="s">
        <v>29</v>
      </c>
      <c r="G177" s="3" t="s">
        <v>110</v>
      </c>
      <c r="H177" s="20" t="s">
        <v>390</v>
      </c>
      <c r="I177" s="6">
        <v>4363</v>
      </c>
      <c r="J177" s="6"/>
      <c r="K177" s="16"/>
      <c r="L177" s="3" t="s">
        <v>396</v>
      </c>
      <c r="M177" s="3"/>
      <c r="N177" s="3"/>
      <c r="O177" s="3"/>
      <c r="P177" s="22">
        <f>ROUND(I177*$M$3*2,0)</f>
        <v>261780</v>
      </c>
      <c r="Q177" s="22">
        <f>ROUND(I177*$N$3*2,0)</f>
        <v>349040</v>
      </c>
    </row>
    <row r="178" spans="1:17" ht="57" customHeight="1" x14ac:dyDescent="0.25">
      <c r="A178" s="3" t="s">
        <v>94</v>
      </c>
      <c r="B178" s="3" t="s">
        <v>176</v>
      </c>
      <c r="C178" s="3" t="s">
        <v>290</v>
      </c>
      <c r="D178" s="13" t="s">
        <v>95</v>
      </c>
      <c r="E178" s="3" t="s">
        <v>51</v>
      </c>
      <c r="F178" s="3" t="s">
        <v>29</v>
      </c>
      <c r="G178" s="3" t="s">
        <v>45</v>
      </c>
      <c r="H178" s="20" t="s">
        <v>390</v>
      </c>
      <c r="I178" s="6">
        <v>3687</v>
      </c>
      <c r="J178" s="6"/>
      <c r="K178" s="16"/>
      <c r="L178" s="3" t="s">
        <v>396</v>
      </c>
      <c r="M178" s="22">
        <f>ROUND((I178*$M$3)/2,0)</f>
        <v>55305</v>
      </c>
      <c r="N178" s="22">
        <f>ROUND((I178*$N$3)/2,0)</f>
        <v>73740</v>
      </c>
      <c r="O178" s="22"/>
      <c r="P178" s="3"/>
      <c r="Q178" s="3"/>
    </row>
    <row r="179" spans="1:17" ht="57" customHeight="1" x14ac:dyDescent="0.25">
      <c r="A179" s="3" t="s">
        <v>94</v>
      </c>
      <c r="B179" s="3" t="s">
        <v>174</v>
      </c>
      <c r="C179" s="3" t="s">
        <v>291</v>
      </c>
      <c r="D179" s="13" t="s">
        <v>96</v>
      </c>
      <c r="E179" s="3" t="s">
        <v>51</v>
      </c>
      <c r="F179" s="3" t="s">
        <v>29</v>
      </c>
      <c r="G179" s="3" t="s">
        <v>45</v>
      </c>
      <c r="H179" s="20" t="s">
        <v>390</v>
      </c>
      <c r="I179" s="6">
        <v>7079</v>
      </c>
      <c r="J179" s="6"/>
      <c r="K179" s="16"/>
      <c r="L179" s="3" t="s">
        <v>396</v>
      </c>
      <c r="M179" s="22">
        <f>ROUND(I179*$M$3,0)</f>
        <v>212370</v>
      </c>
      <c r="N179" s="22">
        <f>ROUND(I179*$N$3,0)</f>
        <v>283160</v>
      </c>
      <c r="O179" s="22"/>
      <c r="P179" s="3"/>
      <c r="Q179" s="3"/>
    </row>
    <row r="180" spans="1:17" ht="57" customHeight="1" x14ac:dyDescent="0.25">
      <c r="A180" s="3" t="s">
        <v>94</v>
      </c>
      <c r="B180" s="3" t="s">
        <v>176</v>
      </c>
      <c r="C180" s="3" t="s">
        <v>292</v>
      </c>
      <c r="D180" s="13" t="s">
        <v>275</v>
      </c>
      <c r="E180" s="3" t="s">
        <v>51</v>
      </c>
      <c r="F180" s="3" t="s">
        <v>29</v>
      </c>
      <c r="G180" s="3" t="s">
        <v>45</v>
      </c>
      <c r="H180" s="20" t="s">
        <v>390</v>
      </c>
      <c r="I180" s="6">
        <v>15753</v>
      </c>
      <c r="J180" s="6"/>
      <c r="K180" s="16"/>
      <c r="L180" s="3" t="s">
        <v>396</v>
      </c>
      <c r="M180" s="22">
        <f>ROUND(I180*$M$3,0)</f>
        <v>472590</v>
      </c>
      <c r="N180" s="22">
        <f>ROUND(I180*$N$3,0)</f>
        <v>630120</v>
      </c>
      <c r="O180" s="22"/>
      <c r="P180" s="3"/>
      <c r="Q180" s="3"/>
    </row>
    <row r="181" spans="1:17" ht="57" customHeight="1" x14ac:dyDescent="0.25">
      <c r="A181" s="3" t="s">
        <v>94</v>
      </c>
      <c r="B181" s="3" t="s">
        <v>176</v>
      </c>
      <c r="C181" s="3" t="s">
        <v>293</v>
      </c>
      <c r="D181" s="13" t="s">
        <v>277</v>
      </c>
      <c r="E181" s="3" t="s">
        <v>51</v>
      </c>
      <c r="F181" s="3" t="s">
        <v>29</v>
      </c>
      <c r="G181" s="3" t="s">
        <v>45</v>
      </c>
      <c r="H181" s="20" t="s">
        <v>390</v>
      </c>
      <c r="I181" s="6">
        <v>13126</v>
      </c>
      <c r="J181" s="6"/>
      <c r="K181" s="16"/>
      <c r="L181" s="3" t="s">
        <v>396</v>
      </c>
      <c r="M181" s="22">
        <f>ROUND(I181*$M$3,0)</f>
        <v>393780</v>
      </c>
      <c r="N181" s="22">
        <f>ROUND(I181*$N$3,0)</f>
        <v>525040</v>
      </c>
      <c r="O181" s="22"/>
      <c r="P181" s="3"/>
      <c r="Q181" s="3"/>
    </row>
    <row r="182" spans="1:17" ht="53.45" customHeight="1" x14ac:dyDescent="0.25">
      <c r="A182" s="3" t="s">
        <v>94</v>
      </c>
      <c r="B182" s="3" t="s">
        <v>176</v>
      </c>
      <c r="C182" s="3" t="s">
        <v>323</v>
      </c>
      <c r="D182" s="13" t="s">
        <v>322</v>
      </c>
      <c r="E182" s="3" t="s">
        <v>51</v>
      </c>
      <c r="F182" s="3" t="s">
        <v>29</v>
      </c>
      <c r="G182" s="3" t="s">
        <v>491</v>
      </c>
      <c r="H182" s="20" t="s">
        <v>390</v>
      </c>
      <c r="I182" s="6">
        <v>21234</v>
      </c>
      <c r="J182" s="6"/>
      <c r="K182" s="16"/>
      <c r="L182" s="3" t="s">
        <v>396</v>
      </c>
      <c r="M182" s="3"/>
      <c r="N182" s="3"/>
      <c r="O182" s="3"/>
      <c r="P182" s="22">
        <f>ROUND(I182*$M$3,0)</f>
        <v>637020</v>
      </c>
      <c r="Q182" s="22">
        <f>ROUND(I182*$N$3,0)</f>
        <v>849360</v>
      </c>
    </row>
    <row r="183" spans="1:17" ht="53.45" customHeight="1" x14ac:dyDescent="0.25">
      <c r="A183" s="3" t="s">
        <v>94</v>
      </c>
      <c r="B183" s="3" t="s">
        <v>176</v>
      </c>
      <c r="C183" s="3" t="s">
        <v>294</v>
      </c>
      <c r="D183" s="13" t="s">
        <v>96</v>
      </c>
      <c r="E183" s="3" t="s">
        <v>51</v>
      </c>
      <c r="F183" s="3" t="s">
        <v>29</v>
      </c>
      <c r="G183" s="3" t="s">
        <v>45</v>
      </c>
      <c r="H183" s="20" t="s">
        <v>390</v>
      </c>
      <c r="I183" s="6">
        <v>8694</v>
      </c>
      <c r="J183" s="6"/>
      <c r="K183" s="16"/>
      <c r="L183" s="3" t="s">
        <v>396</v>
      </c>
      <c r="M183" s="22">
        <f>ROUND(I183*$M$3,0)</f>
        <v>260820</v>
      </c>
      <c r="N183" s="22">
        <f>ROUND(I183*$N$3,0)</f>
        <v>347760</v>
      </c>
      <c r="O183" s="22"/>
      <c r="P183" s="3"/>
      <c r="Q183" s="3"/>
    </row>
    <row r="184" spans="1:17" ht="53.45" customHeight="1" x14ac:dyDescent="0.25">
      <c r="A184" s="3" t="s">
        <v>94</v>
      </c>
      <c r="B184" s="3" t="s">
        <v>176</v>
      </c>
      <c r="C184" s="3" t="s">
        <v>295</v>
      </c>
      <c r="D184" s="13" t="s">
        <v>213</v>
      </c>
      <c r="E184" s="3" t="s">
        <v>51</v>
      </c>
      <c r="F184" s="3" t="s">
        <v>29</v>
      </c>
      <c r="G184" s="3" t="s">
        <v>45</v>
      </c>
      <c r="H184" s="20" t="s">
        <v>390</v>
      </c>
      <c r="I184" s="6">
        <v>18312</v>
      </c>
      <c r="J184" s="6"/>
      <c r="K184" s="16"/>
      <c r="L184" s="3" t="s">
        <v>396</v>
      </c>
      <c r="M184" s="22">
        <f>ROUND(I184*$M$3,0)</f>
        <v>549360</v>
      </c>
      <c r="N184" s="22">
        <f>ROUND(I184*$N$3,0)</f>
        <v>732480</v>
      </c>
      <c r="O184" s="22"/>
      <c r="P184" s="3"/>
      <c r="Q184" s="3"/>
    </row>
    <row r="185" spans="1:17" ht="53.45" customHeight="1" x14ac:dyDescent="0.25">
      <c r="A185" s="3" t="s">
        <v>94</v>
      </c>
      <c r="B185" s="3" t="s">
        <v>176</v>
      </c>
      <c r="C185" s="3" t="s">
        <v>296</v>
      </c>
      <c r="D185" s="13" t="s">
        <v>281</v>
      </c>
      <c r="E185" s="3" t="s">
        <v>51</v>
      </c>
      <c r="F185" s="3" t="s">
        <v>29</v>
      </c>
      <c r="G185" s="3" t="s">
        <v>45</v>
      </c>
      <c r="H185" s="3" t="s">
        <v>429</v>
      </c>
      <c r="I185" s="6">
        <v>3762</v>
      </c>
      <c r="J185" s="6"/>
      <c r="K185" s="16"/>
      <c r="L185" s="41" t="s">
        <v>396</v>
      </c>
      <c r="M185" s="22">
        <f>+ROUND((I185*$M$3)*2,0)</f>
        <v>225720</v>
      </c>
      <c r="N185" s="22">
        <f>+ROUND((I185*$N$3)*2,0)</f>
        <v>300960</v>
      </c>
      <c r="O185" s="22"/>
      <c r="P185" s="3"/>
      <c r="Q185" s="3"/>
    </row>
    <row r="186" spans="1:17" ht="53.45" customHeight="1" x14ac:dyDescent="0.25">
      <c r="A186" s="3" t="s">
        <v>94</v>
      </c>
      <c r="B186" s="3" t="s">
        <v>176</v>
      </c>
      <c r="C186" s="3" t="s">
        <v>282</v>
      </c>
      <c r="D186" s="13" t="s">
        <v>95</v>
      </c>
      <c r="E186" s="3" t="s">
        <v>51</v>
      </c>
      <c r="F186" s="3" t="s">
        <v>29</v>
      </c>
      <c r="G186" s="3" t="s">
        <v>45</v>
      </c>
      <c r="H186" s="20" t="s">
        <v>390</v>
      </c>
      <c r="I186" s="6">
        <v>9921</v>
      </c>
      <c r="J186" s="6"/>
      <c r="K186" s="16"/>
      <c r="L186" s="3" t="s">
        <v>396</v>
      </c>
      <c r="M186" s="22">
        <f>ROUND((I186*$M$3)/2,0)</f>
        <v>148815</v>
      </c>
      <c r="N186" s="22">
        <f>ROUND((I186*$N$3/2),0)</f>
        <v>198420</v>
      </c>
      <c r="O186" s="22"/>
      <c r="P186" s="3"/>
      <c r="Q186" s="3"/>
    </row>
    <row r="187" spans="1:17" ht="53.45" customHeight="1" x14ac:dyDescent="0.25">
      <c r="A187" s="3" t="s">
        <v>94</v>
      </c>
      <c r="B187" s="3" t="s">
        <v>176</v>
      </c>
      <c r="C187" s="3" t="s">
        <v>324</v>
      </c>
      <c r="D187" s="13" t="s">
        <v>95</v>
      </c>
      <c r="E187" s="3" t="s">
        <v>51</v>
      </c>
      <c r="F187" s="3" t="s">
        <v>29</v>
      </c>
      <c r="G187" s="3" t="s">
        <v>111</v>
      </c>
      <c r="H187" s="20" t="s">
        <v>390</v>
      </c>
      <c r="I187" s="6">
        <v>43329</v>
      </c>
      <c r="J187" s="6"/>
      <c r="K187" s="16"/>
      <c r="L187" s="3" t="s">
        <v>396</v>
      </c>
      <c r="M187" s="22">
        <f>ROUND((I187*$M$3)/2,0)</f>
        <v>649935</v>
      </c>
      <c r="N187" s="22">
        <f>ROUND((I187*$N$3/2),0)</f>
        <v>866580</v>
      </c>
      <c r="O187" s="22"/>
      <c r="P187" s="3"/>
      <c r="Q187" s="3"/>
    </row>
    <row r="188" spans="1:17" ht="77.45" customHeight="1" x14ac:dyDescent="0.25">
      <c r="A188" s="3" t="s">
        <v>94</v>
      </c>
      <c r="B188" s="3" t="s">
        <v>176</v>
      </c>
      <c r="C188" s="3" t="s">
        <v>359</v>
      </c>
      <c r="D188" s="13" t="s">
        <v>358</v>
      </c>
      <c r="E188" s="3" t="s">
        <v>51</v>
      </c>
      <c r="F188" s="3" t="s">
        <v>29</v>
      </c>
      <c r="G188" s="3" t="s">
        <v>110</v>
      </c>
      <c r="H188" s="20" t="s">
        <v>390</v>
      </c>
      <c r="I188" s="6">
        <v>25564</v>
      </c>
      <c r="J188" s="6"/>
      <c r="K188" s="16"/>
      <c r="L188" s="3" t="s">
        <v>396</v>
      </c>
      <c r="M188" s="3"/>
      <c r="N188" s="3"/>
      <c r="O188" s="3"/>
      <c r="P188" s="22">
        <f>ROUND((I188*$M$3)*2,0)</f>
        <v>1533840</v>
      </c>
      <c r="Q188" s="22">
        <f>ROUND((I188*$N$3*2),0)</f>
        <v>2045120</v>
      </c>
    </row>
    <row r="189" spans="1:17" ht="53.45" customHeight="1" x14ac:dyDescent="0.25">
      <c r="A189" s="3" t="s">
        <v>94</v>
      </c>
      <c r="B189" s="3" t="s">
        <v>176</v>
      </c>
      <c r="C189" s="3" t="s">
        <v>299</v>
      </c>
      <c r="D189" s="13" t="s">
        <v>297</v>
      </c>
      <c r="E189" s="3" t="s">
        <v>51</v>
      </c>
      <c r="F189" s="3" t="s">
        <v>29</v>
      </c>
      <c r="G189" s="3" t="s">
        <v>45</v>
      </c>
      <c r="H189" s="20" t="s">
        <v>390</v>
      </c>
      <c r="I189" s="6">
        <v>3200</v>
      </c>
      <c r="J189" s="6"/>
      <c r="K189" s="16"/>
      <c r="L189" s="3" t="s">
        <v>396</v>
      </c>
      <c r="M189" s="22">
        <f>ROUND((I189*$M$3)*4,0)</f>
        <v>384000</v>
      </c>
      <c r="N189" s="22">
        <f>ROUND((I189*$N$3*4),0)</f>
        <v>512000</v>
      </c>
      <c r="O189" s="22"/>
      <c r="P189" s="3"/>
      <c r="Q189" s="3"/>
    </row>
    <row r="190" spans="1:17" ht="53.45" customHeight="1" x14ac:dyDescent="0.25">
      <c r="A190" s="3" t="s">
        <v>94</v>
      </c>
      <c r="B190" s="3" t="s">
        <v>176</v>
      </c>
      <c r="C190" s="3" t="s">
        <v>298</v>
      </c>
      <c r="D190" s="13" t="s">
        <v>287</v>
      </c>
      <c r="E190" s="3" t="s">
        <v>51</v>
      </c>
      <c r="F190" s="3" t="s">
        <v>29</v>
      </c>
      <c r="G190" s="3" t="s">
        <v>110</v>
      </c>
      <c r="H190" s="20" t="s">
        <v>390</v>
      </c>
      <c r="I190" s="6">
        <v>5953</v>
      </c>
      <c r="J190" s="6"/>
      <c r="K190" s="16"/>
      <c r="L190" s="3" t="s">
        <v>396</v>
      </c>
      <c r="M190" s="3"/>
      <c r="N190" s="3"/>
      <c r="O190" s="3"/>
      <c r="P190" s="22">
        <f>ROUND(I190*$M$3,0)</f>
        <v>178590</v>
      </c>
      <c r="Q190" s="22">
        <f>ROUND(I190*$N$3,0)</f>
        <v>238120</v>
      </c>
    </row>
    <row r="191" spans="1:17" ht="53.45" customHeight="1" x14ac:dyDescent="0.25">
      <c r="A191" s="3" t="s">
        <v>94</v>
      </c>
      <c r="B191" s="3" t="s">
        <v>176</v>
      </c>
      <c r="C191" s="3" t="s">
        <v>300</v>
      </c>
      <c r="D191" s="13" t="s">
        <v>301</v>
      </c>
      <c r="E191" s="3" t="s">
        <v>51</v>
      </c>
      <c r="F191" s="3" t="s">
        <v>29</v>
      </c>
      <c r="G191" s="3" t="s">
        <v>110</v>
      </c>
      <c r="H191" s="20" t="s">
        <v>390</v>
      </c>
      <c r="I191" s="6">
        <v>4363</v>
      </c>
      <c r="J191" s="6"/>
      <c r="K191" s="16"/>
      <c r="L191" s="3" t="s">
        <v>396</v>
      </c>
      <c r="M191" s="3"/>
      <c r="N191" s="3"/>
      <c r="O191" s="3"/>
      <c r="P191" s="22">
        <f>ROUND((I191*$M$3)*2,0)</f>
        <v>261780</v>
      </c>
      <c r="Q191" s="22">
        <f>ROUND((I191*$N$3*2),0)</f>
        <v>349040</v>
      </c>
    </row>
    <row r="192" spans="1:17" ht="36" customHeight="1" x14ac:dyDescent="0.25">
      <c r="A192" s="3" t="s">
        <v>133</v>
      </c>
      <c r="B192" s="3" t="s">
        <v>177</v>
      </c>
      <c r="C192" s="3" t="s">
        <v>431</v>
      </c>
      <c r="D192" s="13" t="s">
        <v>430</v>
      </c>
      <c r="E192" s="3" t="s">
        <v>51</v>
      </c>
      <c r="F192" s="3" t="s">
        <v>490</v>
      </c>
      <c r="G192" s="3" t="s">
        <v>110</v>
      </c>
      <c r="H192" s="20" t="s">
        <v>390</v>
      </c>
      <c r="I192" s="6">
        <v>101676</v>
      </c>
      <c r="J192" s="6"/>
      <c r="K192" s="3"/>
      <c r="L192" s="3" t="s">
        <v>396</v>
      </c>
      <c r="M192" s="3"/>
      <c r="N192" s="3"/>
      <c r="O192" s="16">
        <f>I192*8</f>
        <v>813408</v>
      </c>
      <c r="P192" s="3"/>
      <c r="Q192" s="3"/>
    </row>
    <row r="193" spans="1:17" ht="36" customHeight="1" x14ac:dyDescent="0.25">
      <c r="A193" s="3" t="s">
        <v>133</v>
      </c>
      <c r="B193" s="3" t="s">
        <v>177</v>
      </c>
      <c r="C193" s="3" t="s">
        <v>463</v>
      </c>
      <c r="D193" s="13" t="s">
        <v>134</v>
      </c>
      <c r="E193" s="3" t="s">
        <v>51</v>
      </c>
      <c r="F193" s="3" t="s">
        <v>490</v>
      </c>
      <c r="G193" s="3" t="s">
        <v>110</v>
      </c>
      <c r="H193" s="20" t="s">
        <v>390</v>
      </c>
      <c r="I193" s="6">
        <v>248976</v>
      </c>
      <c r="J193" s="6"/>
      <c r="K193" s="3"/>
      <c r="L193" s="3" t="s">
        <v>396</v>
      </c>
      <c r="M193" s="3"/>
      <c r="N193" s="3"/>
      <c r="O193" s="16">
        <f>I193*1</f>
        <v>248976</v>
      </c>
      <c r="P193" s="3"/>
      <c r="Q193" s="3"/>
    </row>
    <row r="194" spans="1:17" ht="45.75" customHeight="1" x14ac:dyDescent="0.25">
      <c r="A194" s="3" t="s">
        <v>133</v>
      </c>
      <c r="B194" s="3" t="s">
        <v>177</v>
      </c>
      <c r="C194" s="3" t="s">
        <v>432</v>
      </c>
      <c r="D194" s="13" t="s">
        <v>481</v>
      </c>
      <c r="E194" s="3" t="s">
        <v>51</v>
      </c>
      <c r="F194" s="3" t="s">
        <v>490</v>
      </c>
      <c r="G194" s="3" t="s">
        <v>110</v>
      </c>
      <c r="H194" s="3" t="s">
        <v>424</v>
      </c>
      <c r="I194" s="6">
        <v>34250</v>
      </c>
      <c r="J194" s="6">
        <f>+ROUND((I194*$J$2)+I194,0)</f>
        <v>36939</v>
      </c>
      <c r="K194" s="16"/>
      <c r="L194" s="3" t="s">
        <v>423</v>
      </c>
      <c r="M194" s="3"/>
      <c r="N194" s="3"/>
      <c r="O194" s="15">
        <f>J194*4</f>
        <v>147756</v>
      </c>
      <c r="P194" s="3"/>
      <c r="Q194" s="3"/>
    </row>
    <row r="195" spans="1:17" ht="36" customHeight="1" x14ac:dyDescent="0.25">
      <c r="A195" s="3" t="s">
        <v>133</v>
      </c>
      <c r="B195" s="3" t="s">
        <v>177</v>
      </c>
      <c r="C195" s="3" t="s">
        <v>464</v>
      </c>
      <c r="D195" s="13" t="s">
        <v>135</v>
      </c>
      <c r="E195" s="3" t="s">
        <v>51</v>
      </c>
      <c r="F195" s="3" t="s">
        <v>490</v>
      </c>
      <c r="G195" s="3" t="s">
        <v>110</v>
      </c>
      <c r="H195" s="20" t="s">
        <v>390</v>
      </c>
      <c r="I195" s="6">
        <v>219271</v>
      </c>
      <c r="J195" s="6"/>
      <c r="K195" s="3"/>
      <c r="L195" s="3" t="s">
        <v>396</v>
      </c>
      <c r="M195" s="3"/>
      <c r="N195" s="3"/>
      <c r="O195" s="16">
        <f>I195*1</f>
        <v>219271</v>
      </c>
      <c r="P195" s="3"/>
      <c r="Q195" s="3"/>
    </row>
    <row r="196" spans="1:17" ht="82.5" customHeight="1" x14ac:dyDescent="0.25">
      <c r="A196" s="3" t="s">
        <v>133</v>
      </c>
      <c r="B196" s="3" t="s">
        <v>177</v>
      </c>
      <c r="C196" s="3" t="s">
        <v>482</v>
      </c>
      <c r="D196" s="13" t="s">
        <v>483</v>
      </c>
      <c r="E196" s="3" t="s">
        <v>51</v>
      </c>
      <c r="F196" s="3" t="s">
        <v>490</v>
      </c>
      <c r="G196" s="3" t="s">
        <v>110</v>
      </c>
      <c r="H196" s="20" t="s">
        <v>390</v>
      </c>
      <c r="I196" s="6">
        <v>3259</v>
      </c>
      <c r="J196" s="6"/>
      <c r="K196" s="16"/>
      <c r="L196" s="3" t="s">
        <v>396</v>
      </c>
      <c r="M196" s="3"/>
      <c r="N196" s="3"/>
      <c r="O196" s="15"/>
      <c r="P196" s="15">
        <f>I196*42</f>
        <v>136878</v>
      </c>
      <c r="Q196" s="15">
        <f>I196*64</f>
        <v>208576</v>
      </c>
    </row>
    <row r="197" spans="1:17" ht="51" customHeight="1" x14ac:dyDescent="0.25">
      <c r="A197" s="3" t="s">
        <v>133</v>
      </c>
      <c r="B197" s="3" t="s">
        <v>177</v>
      </c>
      <c r="C197" s="3" t="s">
        <v>433</v>
      </c>
      <c r="D197" s="13" t="s">
        <v>136</v>
      </c>
      <c r="E197" s="3" t="s">
        <v>51</v>
      </c>
      <c r="F197" s="3" t="s">
        <v>490</v>
      </c>
      <c r="G197" s="3" t="s">
        <v>110</v>
      </c>
      <c r="H197" s="3" t="s">
        <v>390</v>
      </c>
      <c r="I197" s="6">
        <v>32595</v>
      </c>
      <c r="J197" s="6"/>
      <c r="K197" s="3"/>
      <c r="L197" s="3" t="s">
        <v>396</v>
      </c>
      <c r="M197" s="3"/>
      <c r="N197" s="3"/>
      <c r="O197" s="16">
        <f>I197*20</f>
        <v>651900</v>
      </c>
      <c r="P197" s="3"/>
      <c r="Q197" s="3"/>
    </row>
    <row r="198" spans="1:17" ht="69" customHeight="1" x14ac:dyDescent="0.25">
      <c r="A198" s="3" t="s">
        <v>133</v>
      </c>
      <c r="B198" s="3" t="s">
        <v>177</v>
      </c>
      <c r="C198" s="3" t="s">
        <v>484</v>
      </c>
      <c r="D198" s="13" t="s">
        <v>329</v>
      </c>
      <c r="E198" s="3" t="s">
        <v>51</v>
      </c>
      <c r="F198" s="3" t="s">
        <v>490</v>
      </c>
      <c r="G198" s="3" t="s">
        <v>110</v>
      </c>
      <c r="H198" s="20" t="s">
        <v>390</v>
      </c>
      <c r="I198" s="6">
        <v>76417</v>
      </c>
      <c r="J198" s="6"/>
      <c r="K198" s="16"/>
      <c r="L198" s="3" t="s">
        <v>396</v>
      </c>
      <c r="M198" s="3"/>
      <c r="N198" s="3"/>
      <c r="O198" s="15">
        <f>I198*7</f>
        <v>534919</v>
      </c>
      <c r="P198" s="3"/>
      <c r="Q198" s="3"/>
    </row>
    <row r="199" spans="1:17" ht="177" customHeight="1" x14ac:dyDescent="0.25">
      <c r="A199" s="3" t="s">
        <v>98</v>
      </c>
      <c r="B199" s="3" t="s">
        <v>186</v>
      </c>
      <c r="C199" s="3" t="s">
        <v>494</v>
      </c>
      <c r="D199" s="13">
        <v>1</v>
      </c>
      <c r="E199" s="3" t="s">
        <v>51</v>
      </c>
      <c r="F199" s="3" t="s">
        <v>488</v>
      </c>
      <c r="G199" s="3" t="s">
        <v>111</v>
      </c>
      <c r="H199" s="14" t="s">
        <v>394</v>
      </c>
      <c r="I199" s="6">
        <v>98480</v>
      </c>
      <c r="J199" s="6"/>
      <c r="K199" s="16"/>
      <c r="L199" s="3" t="s">
        <v>396</v>
      </c>
      <c r="M199" s="15">
        <f>I199*$M$2</f>
        <v>5908800</v>
      </c>
      <c r="N199" s="15">
        <f>I199*$N$2</f>
        <v>7878400</v>
      </c>
      <c r="O199" s="3"/>
      <c r="P199" s="3"/>
      <c r="Q199" s="3"/>
    </row>
    <row r="200" spans="1:17" ht="253.5" customHeight="1" x14ac:dyDescent="0.25">
      <c r="A200" s="3" t="s">
        <v>98</v>
      </c>
      <c r="B200" s="3" t="s">
        <v>354</v>
      </c>
      <c r="C200" s="3" t="s">
        <v>495</v>
      </c>
      <c r="D200" s="13">
        <v>1</v>
      </c>
      <c r="E200" s="3" t="s">
        <v>258</v>
      </c>
      <c r="F200" s="3" t="s">
        <v>366</v>
      </c>
      <c r="G200" s="3" t="s">
        <v>140</v>
      </c>
      <c r="H200" s="3" t="s">
        <v>465</v>
      </c>
      <c r="I200" s="6">
        <v>9504000</v>
      </c>
      <c r="J200" s="6">
        <f>+ROUND((I200*J3)+I200,0)</f>
        <v>10454400</v>
      </c>
      <c r="K200" s="16">
        <f>+J200</f>
        <v>10454400</v>
      </c>
      <c r="L200" s="3" t="s">
        <v>466</v>
      </c>
      <c r="M200" s="3"/>
      <c r="N200" s="3"/>
      <c r="O200" s="3"/>
      <c r="P200" s="3"/>
      <c r="Q200" s="3"/>
    </row>
    <row r="201" spans="1:17" ht="78.75" customHeight="1" x14ac:dyDescent="0.25">
      <c r="A201" s="3" t="s">
        <v>141</v>
      </c>
      <c r="B201" s="3" t="s">
        <v>185</v>
      </c>
      <c r="C201" s="3" t="s">
        <v>502</v>
      </c>
      <c r="D201" s="13">
        <v>1</v>
      </c>
      <c r="E201" s="3" t="s">
        <v>258</v>
      </c>
      <c r="F201" s="3" t="s">
        <v>485</v>
      </c>
      <c r="G201" s="3" t="s">
        <v>140</v>
      </c>
      <c r="H201" s="20" t="s">
        <v>395</v>
      </c>
      <c r="I201" s="6">
        <v>434051</v>
      </c>
      <c r="J201" s="6"/>
      <c r="K201" s="16"/>
      <c r="L201" s="3" t="s">
        <v>396</v>
      </c>
      <c r="M201" s="15">
        <f>I201*$M$2</f>
        <v>26043060</v>
      </c>
      <c r="N201" s="15">
        <f>I201*$N$2</f>
        <v>34724080</v>
      </c>
      <c r="O201" s="3"/>
      <c r="P201" s="3"/>
      <c r="Q201" s="3"/>
    </row>
    <row r="202" spans="1:17" ht="132.75" customHeight="1" x14ac:dyDescent="0.25">
      <c r="A202" s="3" t="s">
        <v>328</v>
      </c>
      <c r="B202" s="3" t="s">
        <v>185</v>
      </c>
      <c r="C202" s="3" t="s">
        <v>331</v>
      </c>
      <c r="D202" s="3"/>
      <c r="E202" s="3" t="s">
        <v>258</v>
      </c>
      <c r="F202" s="3" t="s">
        <v>487</v>
      </c>
      <c r="G202" s="3" t="s">
        <v>110</v>
      </c>
      <c r="H202" s="3" t="s">
        <v>389</v>
      </c>
      <c r="I202" s="6">
        <v>92393</v>
      </c>
      <c r="J202" s="6"/>
      <c r="K202" s="16"/>
      <c r="L202" s="3" t="s">
        <v>396</v>
      </c>
      <c r="M202" s="15">
        <f>I202*$M$2</f>
        <v>5543580</v>
      </c>
      <c r="N202" s="15">
        <f>I202*$N$2</f>
        <v>7391440</v>
      </c>
      <c r="O202" s="3"/>
      <c r="P202" s="3"/>
      <c r="Q202" s="3"/>
    </row>
    <row r="203" spans="1:17" ht="165" customHeight="1" x14ac:dyDescent="0.25">
      <c r="A203" s="3" t="s">
        <v>328</v>
      </c>
      <c r="B203" s="3" t="s">
        <v>185</v>
      </c>
      <c r="C203" s="3" t="s">
        <v>332</v>
      </c>
      <c r="D203" s="13" t="s">
        <v>492</v>
      </c>
      <c r="E203" s="3" t="s">
        <v>258</v>
      </c>
      <c r="F203" s="3" t="s">
        <v>511</v>
      </c>
      <c r="G203" s="3" t="s">
        <v>110</v>
      </c>
      <c r="H203" s="20" t="s">
        <v>391</v>
      </c>
      <c r="I203" s="6">
        <v>248737</v>
      </c>
      <c r="J203" s="6"/>
      <c r="K203" s="3"/>
      <c r="L203" s="3" t="s">
        <v>396</v>
      </c>
      <c r="M203" s="3"/>
      <c r="N203" s="3"/>
      <c r="O203" s="16">
        <f>+I203</f>
        <v>248737</v>
      </c>
      <c r="P203" s="3"/>
      <c r="Q203" s="3"/>
    </row>
    <row r="204" spans="1:17" ht="69" customHeight="1" x14ac:dyDescent="0.25">
      <c r="A204" s="3" t="s">
        <v>59</v>
      </c>
      <c r="B204" s="3" t="s">
        <v>474</v>
      </c>
      <c r="C204" s="3" t="s">
        <v>330</v>
      </c>
      <c r="D204" s="13" t="s">
        <v>415</v>
      </c>
      <c r="E204" s="3" t="s">
        <v>118</v>
      </c>
      <c r="F204" s="3" t="s">
        <v>28</v>
      </c>
      <c r="G204" s="3" t="s">
        <v>146</v>
      </c>
      <c r="H204" s="20" t="s">
        <v>390</v>
      </c>
      <c r="I204" s="6">
        <v>545560</v>
      </c>
      <c r="J204" s="6"/>
      <c r="K204" s="16">
        <f>+ROUND(I204/12,0)</f>
        <v>45463</v>
      </c>
      <c r="L204" s="3" t="s">
        <v>396</v>
      </c>
      <c r="M204" s="3"/>
      <c r="N204" s="3"/>
      <c r="O204" s="6"/>
      <c r="P204" s="3"/>
      <c r="Q204" s="3"/>
    </row>
    <row r="205" spans="1:17" ht="58.9" customHeight="1" x14ac:dyDescent="0.25">
      <c r="A205" s="3" t="s">
        <v>100</v>
      </c>
      <c r="B205" s="3" t="s">
        <v>181</v>
      </c>
      <c r="C205" s="3" t="s">
        <v>480</v>
      </c>
      <c r="D205" s="13" t="s">
        <v>416</v>
      </c>
      <c r="E205" s="3" t="s">
        <v>118</v>
      </c>
      <c r="F205" s="3" t="s">
        <v>490</v>
      </c>
      <c r="G205" s="3" t="s">
        <v>110</v>
      </c>
      <c r="H205" s="20" t="s">
        <v>390</v>
      </c>
      <c r="I205" s="6">
        <v>76892</v>
      </c>
      <c r="J205" s="6"/>
      <c r="K205" s="16"/>
      <c r="L205" s="3" t="s">
        <v>396</v>
      </c>
      <c r="M205" s="3"/>
      <c r="N205" s="3"/>
      <c r="O205" s="61">
        <f>I205*1</f>
        <v>76892</v>
      </c>
      <c r="P205" s="3"/>
      <c r="Q205" s="3"/>
    </row>
    <row r="206" spans="1:17" ht="98.25" customHeight="1" x14ac:dyDescent="0.25">
      <c r="A206" s="3" t="s">
        <v>100</v>
      </c>
      <c r="B206" s="3" t="s">
        <v>181</v>
      </c>
      <c r="C206" s="3" t="s">
        <v>407</v>
      </c>
      <c r="D206" s="13" t="s">
        <v>438</v>
      </c>
      <c r="E206" s="3" t="s">
        <v>118</v>
      </c>
      <c r="F206" s="3" t="s">
        <v>490</v>
      </c>
      <c r="G206" s="3" t="s">
        <v>110</v>
      </c>
      <c r="H206" s="20" t="s">
        <v>390</v>
      </c>
      <c r="I206" s="6">
        <v>224851</v>
      </c>
      <c r="J206" s="6"/>
      <c r="K206" s="16"/>
      <c r="L206" s="3" t="s">
        <v>396</v>
      </c>
      <c r="M206" s="3"/>
      <c r="N206" s="3"/>
      <c r="O206" s="61">
        <f>I206*2</f>
        <v>449702</v>
      </c>
      <c r="P206" s="3"/>
      <c r="Q206" s="3"/>
    </row>
    <row r="207" spans="1:17" ht="45" customHeight="1" x14ac:dyDescent="0.25">
      <c r="A207" s="3" t="s">
        <v>100</v>
      </c>
      <c r="B207" s="3" t="s">
        <v>181</v>
      </c>
      <c r="C207" s="3" t="s">
        <v>303</v>
      </c>
      <c r="D207" s="13" t="s">
        <v>486</v>
      </c>
      <c r="E207" s="3" t="s">
        <v>118</v>
      </c>
      <c r="F207" s="3" t="s">
        <v>490</v>
      </c>
      <c r="G207" s="3" t="s">
        <v>110</v>
      </c>
      <c r="H207" s="20" t="s">
        <v>390</v>
      </c>
      <c r="I207" s="6">
        <v>86190</v>
      </c>
      <c r="J207" s="6"/>
      <c r="K207" s="16"/>
      <c r="L207" s="3" t="s">
        <v>396</v>
      </c>
      <c r="M207" s="3"/>
      <c r="N207" s="3"/>
      <c r="O207" s="61">
        <f>I207*2</f>
        <v>172380</v>
      </c>
      <c r="P207" s="3"/>
      <c r="Q207" s="3"/>
    </row>
    <row r="208" spans="1:17" ht="128.25" customHeight="1" x14ac:dyDescent="0.25">
      <c r="A208" s="3" t="s">
        <v>100</v>
      </c>
      <c r="B208" s="3" t="s">
        <v>181</v>
      </c>
      <c r="C208" s="3" t="s">
        <v>408</v>
      </c>
      <c r="D208" s="13" t="s">
        <v>417</v>
      </c>
      <c r="E208" s="3" t="s">
        <v>118</v>
      </c>
      <c r="F208" s="3" t="s">
        <v>490</v>
      </c>
      <c r="G208" s="3" t="s">
        <v>110</v>
      </c>
      <c r="H208" s="20" t="s">
        <v>390</v>
      </c>
      <c r="I208" s="6">
        <v>73129</v>
      </c>
      <c r="J208" s="6"/>
      <c r="K208" s="16"/>
      <c r="L208" s="3" t="s">
        <v>396</v>
      </c>
      <c r="M208" s="3"/>
      <c r="N208" s="3"/>
      <c r="O208" s="61">
        <f>I208*4</f>
        <v>292516</v>
      </c>
      <c r="P208" s="3"/>
      <c r="Q208" s="3"/>
    </row>
    <row r="209" spans="1:17" ht="43.9" customHeight="1" x14ac:dyDescent="0.25">
      <c r="A209" s="3" t="s">
        <v>100</v>
      </c>
      <c r="B209" s="3" t="s">
        <v>181</v>
      </c>
      <c r="C209" s="3" t="s">
        <v>304</v>
      </c>
      <c r="D209" s="13" t="s">
        <v>416</v>
      </c>
      <c r="E209" s="3" t="s">
        <v>118</v>
      </c>
      <c r="F209" s="3" t="s">
        <v>490</v>
      </c>
      <c r="G209" s="3" t="s">
        <v>110</v>
      </c>
      <c r="H209" s="20" t="s">
        <v>390</v>
      </c>
      <c r="I209" s="6">
        <v>71673</v>
      </c>
      <c r="J209" s="6"/>
      <c r="K209" s="16"/>
      <c r="L209" s="3" t="s">
        <v>396</v>
      </c>
      <c r="M209" s="59"/>
      <c r="N209" s="3"/>
      <c r="O209" s="61">
        <f>I209*1</f>
        <v>71673</v>
      </c>
      <c r="P209" s="3"/>
      <c r="Q209" s="3"/>
    </row>
    <row r="210" spans="1:17" ht="55.5" customHeight="1" x14ac:dyDescent="0.25">
      <c r="A210" s="3" t="s">
        <v>100</v>
      </c>
      <c r="B210" s="3" t="s">
        <v>181</v>
      </c>
      <c r="C210" s="3" t="s">
        <v>305</v>
      </c>
      <c r="D210" s="13" t="s">
        <v>242</v>
      </c>
      <c r="E210" s="3" t="s">
        <v>118</v>
      </c>
      <c r="F210" s="3" t="s">
        <v>490</v>
      </c>
      <c r="G210" s="3" t="s">
        <v>110</v>
      </c>
      <c r="H210" s="20" t="s">
        <v>390</v>
      </c>
      <c r="I210" s="6">
        <v>71673</v>
      </c>
      <c r="J210" s="6"/>
      <c r="K210" s="16"/>
      <c r="L210" s="3" t="s">
        <v>396</v>
      </c>
      <c r="M210" s="3"/>
      <c r="N210" s="3"/>
      <c r="O210" s="61">
        <f>I210*1</f>
        <v>71673</v>
      </c>
      <c r="P210" s="3"/>
      <c r="Q210" s="3"/>
    </row>
    <row r="211" spans="1:17" ht="69" customHeight="1" x14ac:dyDescent="0.25">
      <c r="A211" s="3" t="s">
        <v>100</v>
      </c>
      <c r="B211" s="3" t="s">
        <v>181</v>
      </c>
      <c r="C211" s="3" t="s">
        <v>439</v>
      </c>
      <c r="D211" s="13" t="s">
        <v>460</v>
      </c>
      <c r="E211" s="3" t="s">
        <v>118</v>
      </c>
      <c r="F211" s="3" t="s">
        <v>490</v>
      </c>
      <c r="G211" s="3" t="s">
        <v>110</v>
      </c>
      <c r="H211" s="20" t="s">
        <v>390</v>
      </c>
      <c r="I211" s="6">
        <v>43714</v>
      </c>
      <c r="J211" s="6"/>
      <c r="K211" s="16"/>
      <c r="L211" s="3" t="s">
        <v>396</v>
      </c>
      <c r="M211" s="3"/>
      <c r="N211" s="3"/>
      <c r="O211" s="13"/>
      <c r="P211" s="15">
        <f>I211*15</f>
        <v>655710</v>
      </c>
      <c r="Q211" s="15">
        <f>I211*20</f>
        <v>874280</v>
      </c>
    </row>
    <row r="212" spans="1:17" ht="114" customHeight="1" x14ac:dyDescent="0.25">
      <c r="A212" s="3" t="s">
        <v>100</v>
      </c>
      <c r="B212" s="3" t="s">
        <v>181</v>
      </c>
      <c r="C212" s="3" t="s">
        <v>101</v>
      </c>
      <c r="D212" s="13" t="s">
        <v>418</v>
      </c>
      <c r="E212" s="3" t="s">
        <v>118</v>
      </c>
      <c r="F212" s="3" t="s">
        <v>490</v>
      </c>
      <c r="G212" s="3" t="s">
        <v>110</v>
      </c>
      <c r="H212" s="20" t="s">
        <v>390</v>
      </c>
      <c r="I212" s="6">
        <v>183584</v>
      </c>
      <c r="J212" s="6"/>
      <c r="K212" s="16"/>
      <c r="L212" s="3" t="s">
        <v>396</v>
      </c>
      <c r="M212" s="3"/>
      <c r="N212" s="3"/>
      <c r="O212" s="61">
        <f t="shared" ref="O212:O217" si="5">I212*1</f>
        <v>183584</v>
      </c>
      <c r="P212" s="3"/>
      <c r="Q212" s="3"/>
    </row>
    <row r="213" spans="1:17" ht="60" customHeight="1" x14ac:dyDescent="0.25">
      <c r="A213" s="3" t="s">
        <v>100</v>
      </c>
      <c r="B213" s="3" t="s">
        <v>181</v>
      </c>
      <c r="C213" s="3" t="s">
        <v>374</v>
      </c>
      <c r="D213" s="13" t="s">
        <v>416</v>
      </c>
      <c r="E213" s="3" t="s">
        <v>118</v>
      </c>
      <c r="F213" s="3" t="s">
        <v>490</v>
      </c>
      <c r="G213" s="3" t="s">
        <v>110</v>
      </c>
      <c r="H213" s="20" t="s">
        <v>390</v>
      </c>
      <c r="I213" s="6">
        <v>68240</v>
      </c>
      <c r="J213" s="6"/>
      <c r="K213" s="16"/>
      <c r="L213" s="3" t="s">
        <v>396</v>
      </c>
      <c r="M213" s="3"/>
      <c r="N213" s="3"/>
      <c r="O213" s="61">
        <f t="shared" si="5"/>
        <v>68240</v>
      </c>
      <c r="P213" s="3"/>
      <c r="Q213" s="3"/>
    </row>
    <row r="214" spans="1:17" ht="40.9" customHeight="1" x14ac:dyDescent="0.25">
      <c r="A214" s="3" t="s">
        <v>100</v>
      </c>
      <c r="B214" s="3" t="s">
        <v>181</v>
      </c>
      <c r="C214" s="3" t="s">
        <v>375</v>
      </c>
      <c r="D214" s="13" t="s">
        <v>416</v>
      </c>
      <c r="E214" s="3" t="s">
        <v>118</v>
      </c>
      <c r="F214" s="3" t="s">
        <v>490</v>
      </c>
      <c r="G214" s="3" t="s">
        <v>110</v>
      </c>
      <c r="H214" s="20" t="s">
        <v>390</v>
      </c>
      <c r="I214" s="6">
        <v>68240</v>
      </c>
      <c r="J214" s="6"/>
      <c r="K214" s="16"/>
      <c r="L214" s="3" t="s">
        <v>396</v>
      </c>
      <c r="M214" s="3"/>
      <c r="N214" s="3"/>
      <c r="O214" s="61">
        <f t="shared" si="5"/>
        <v>68240</v>
      </c>
      <c r="P214" s="3"/>
      <c r="Q214" s="3"/>
    </row>
    <row r="215" spans="1:17" ht="40.9" customHeight="1" x14ac:dyDescent="0.25">
      <c r="A215" s="3" t="s">
        <v>100</v>
      </c>
      <c r="B215" s="3" t="s">
        <v>181</v>
      </c>
      <c r="C215" s="3" t="s">
        <v>371</v>
      </c>
      <c r="D215" s="13" t="s">
        <v>418</v>
      </c>
      <c r="E215" s="3" t="s">
        <v>118</v>
      </c>
      <c r="F215" s="3" t="s">
        <v>490</v>
      </c>
      <c r="G215" s="3" t="s">
        <v>110</v>
      </c>
      <c r="H215" s="20" t="s">
        <v>390</v>
      </c>
      <c r="I215" s="6">
        <v>71673</v>
      </c>
      <c r="J215" s="6"/>
      <c r="K215" s="16"/>
      <c r="L215" s="3" t="s">
        <v>396</v>
      </c>
      <c r="M215" s="3"/>
      <c r="N215" s="3"/>
      <c r="O215" s="61">
        <f t="shared" si="5"/>
        <v>71673</v>
      </c>
      <c r="P215" s="3"/>
      <c r="Q215" s="3"/>
    </row>
    <row r="216" spans="1:17" ht="40.9" customHeight="1" x14ac:dyDescent="0.25">
      <c r="A216" s="3" t="s">
        <v>100</v>
      </c>
      <c r="B216" s="3" t="s">
        <v>181</v>
      </c>
      <c r="C216" s="3" t="s">
        <v>372</v>
      </c>
      <c r="D216" s="13" t="s">
        <v>419</v>
      </c>
      <c r="E216" s="3" t="s">
        <v>118</v>
      </c>
      <c r="F216" s="3" t="s">
        <v>490</v>
      </c>
      <c r="G216" s="3" t="s">
        <v>110</v>
      </c>
      <c r="H216" s="20" t="s">
        <v>390</v>
      </c>
      <c r="I216" s="6">
        <v>51488</v>
      </c>
      <c r="J216" s="6"/>
      <c r="K216" s="16"/>
      <c r="L216" s="3" t="s">
        <v>396</v>
      </c>
      <c r="M216" s="3"/>
      <c r="N216" s="3"/>
      <c r="O216" s="61">
        <f t="shared" si="5"/>
        <v>51488</v>
      </c>
      <c r="P216" s="3"/>
      <c r="Q216" s="3"/>
    </row>
    <row r="217" spans="1:17" ht="40.9" customHeight="1" x14ac:dyDescent="0.25">
      <c r="A217" s="3" t="s">
        <v>100</v>
      </c>
      <c r="B217" s="3" t="s">
        <v>181</v>
      </c>
      <c r="C217" s="3" t="s">
        <v>373</v>
      </c>
      <c r="D217" s="13" t="s">
        <v>416</v>
      </c>
      <c r="E217" s="3" t="s">
        <v>118</v>
      </c>
      <c r="F217" s="3" t="s">
        <v>490</v>
      </c>
      <c r="G217" s="3" t="s">
        <v>110</v>
      </c>
      <c r="H217" s="20" t="s">
        <v>390</v>
      </c>
      <c r="I217" s="6">
        <v>37349</v>
      </c>
      <c r="J217" s="6"/>
      <c r="K217" s="16"/>
      <c r="L217" s="3" t="s">
        <v>396</v>
      </c>
      <c r="M217" s="3"/>
      <c r="N217" s="3"/>
      <c r="O217" s="61">
        <f t="shared" si="5"/>
        <v>37349</v>
      </c>
      <c r="P217" s="3"/>
      <c r="Q217" s="3"/>
    </row>
    <row r="218" spans="1:17" ht="299.25" customHeight="1" x14ac:dyDescent="0.25">
      <c r="A218" s="3" t="s">
        <v>100</v>
      </c>
      <c r="B218" s="3" t="s">
        <v>181</v>
      </c>
      <c r="C218" s="3" t="s">
        <v>454</v>
      </c>
      <c r="D218" s="13">
        <v>7</v>
      </c>
      <c r="E218" s="3" t="s">
        <v>118</v>
      </c>
      <c r="F218" s="3" t="s">
        <v>490</v>
      </c>
      <c r="G218" s="3" t="s">
        <v>110</v>
      </c>
      <c r="H218" s="3" t="s">
        <v>424</v>
      </c>
      <c r="I218" s="6">
        <f>+(68240*4)+71673+51488+37349</f>
        <v>433470</v>
      </c>
      <c r="J218" s="6"/>
      <c r="K218" s="16"/>
      <c r="L218" s="3" t="s">
        <v>396</v>
      </c>
      <c r="M218" s="3"/>
      <c r="N218" s="3"/>
      <c r="O218" s="61">
        <f>I218</f>
        <v>433470</v>
      </c>
      <c r="P218" s="3"/>
      <c r="Q218" s="3"/>
    </row>
    <row r="219" spans="1:17" ht="54.6" customHeight="1" x14ac:dyDescent="0.25">
      <c r="A219" s="3" t="s">
        <v>100</v>
      </c>
      <c r="B219" s="3" t="s">
        <v>181</v>
      </c>
      <c r="C219" s="3" t="s">
        <v>306</v>
      </c>
      <c r="D219" s="13" t="s">
        <v>416</v>
      </c>
      <c r="E219" s="3" t="s">
        <v>118</v>
      </c>
      <c r="F219" s="3" t="s">
        <v>490</v>
      </c>
      <c r="G219" s="3" t="s">
        <v>110</v>
      </c>
      <c r="H219" s="20" t="s">
        <v>390</v>
      </c>
      <c r="I219" s="6">
        <v>27177</v>
      </c>
      <c r="J219" s="6"/>
      <c r="K219" s="16"/>
      <c r="L219" s="3" t="s">
        <v>396</v>
      </c>
      <c r="M219" s="3"/>
      <c r="N219" s="3"/>
      <c r="O219" s="61">
        <f>I219*1</f>
        <v>27177</v>
      </c>
      <c r="P219" s="3"/>
      <c r="Q219" s="3"/>
    </row>
    <row r="220" spans="1:17" ht="62.25" customHeight="1" x14ac:dyDescent="0.25">
      <c r="A220" s="3" t="s">
        <v>100</v>
      </c>
      <c r="B220" s="3" t="s">
        <v>181</v>
      </c>
      <c r="C220" s="3" t="s">
        <v>307</v>
      </c>
      <c r="D220" s="13" t="s">
        <v>416</v>
      </c>
      <c r="E220" s="3" t="s">
        <v>118</v>
      </c>
      <c r="F220" s="3" t="s">
        <v>490</v>
      </c>
      <c r="G220" s="3" t="s">
        <v>110</v>
      </c>
      <c r="H220" s="20" t="s">
        <v>390</v>
      </c>
      <c r="I220" s="6">
        <v>120165</v>
      </c>
      <c r="J220" s="6"/>
      <c r="K220" s="16"/>
      <c r="L220" s="3" t="s">
        <v>396</v>
      </c>
      <c r="M220" s="3"/>
      <c r="N220" s="3"/>
      <c r="O220" s="61">
        <f>I220*1</f>
        <v>120165</v>
      </c>
      <c r="P220" s="3"/>
      <c r="Q220" s="3"/>
    </row>
    <row r="221" spans="1:17" ht="78" customHeight="1" x14ac:dyDescent="0.25">
      <c r="A221" s="3" t="s">
        <v>100</v>
      </c>
      <c r="B221" s="3" t="s">
        <v>181</v>
      </c>
      <c r="C221" s="3" t="s">
        <v>308</v>
      </c>
      <c r="D221" s="13" t="s">
        <v>420</v>
      </c>
      <c r="E221" s="3" t="s">
        <v>118</v>
      </c>
      <c r="F221" s="3" t="s">
        <v>490</v>
      </c>
      <c r="G221" s="3" t="s">
        <v>110</v>
      </c>
      <c r="H221" s="20" t="s">
        <v>390</v>
      </c>
      <c r="I221" s="6">
        <v>41786</v>
      </c>
      <c r="J221" s="6"/>
      <c r="K221" s="16"/>
      <c r="L221" s="3" t="s">
        <v>396</v>
      </c>
      <c r="M221" s="3"/>
      <c r="N221" s="3"/>
      <c r="O221" s="61">
        <f>I221*2</f>
        <v>83572</v>
      </c>
      <c r="P221" s="3"/>
      <c r="Q221" s="3"/>
    </row>
    <row r="222" spans="1:17" ht="89.25" customHeight="1" x14ac:dyDescent="0.25">
      <c r="A222" s="3" t="s">
        <v>100</v>
      </c>
      <c r="B222" s="3" t="s">
        <v>181</v>
      </c>
      <c r="C222" s="3" t="s">
        <v>309</v>
      </c>
      <c r="D222" s="13">
        <v>1</v>
      </c>
      <c r="E222" s="3" t="s">
        <v>118</v>
      </c>
      <c r="F222" s="3" t="s">
        <v>493</v>
      </c>
      <c r="G222" s="3" t="s">
        <v>140</v>
      </c>
      <c r="H222" s="3" t="s">
        <v>436</v>
      </c>
      <c r="I222" s="6">
        <v>157500</v>
      </c>
      <c r="J222" s="6">
        <f>+ROUND((I222*$J$2)+I222,0)</f>
        <v>169864</v>
      </c>
      <c r="K222" s="16">
        <f>J222</f>
        <v>169864</v>
      </c>
      <c r="L222" s="3" t="s">
        <v>423</v>
      </c>
      <c r="M222" s="15"/>
      <c r="N222" s="3"/>
      <c r="O222" s="13"/>
      <c r="P222" s="3"/>
      <c r="Q222" s="3"/>
    </row>
    <row r="223" spans="1:17" ht="54" customHeight="1" x14ac:dyDescent="0.25">
      <c r="A223" s="3" t="s">
        <v>100</v>
      </c>
      <c r="B223" s="3" t="s">
        <v>181</v>
      </c>
      <c r="C223" s="3" t="s">
        <v>212</v>
      </c>
      <c r="D223" s="13" t="s">
        <v>418</v>
      </c>
      <c r="E223" s="3" t="s">
        <v>51</v>
      </c>
      <c r="F223" s="3" t="s">
        <v>490</v>
      </c>
      <c r="G223" s="3" t="s">
        <v>110</v>
      </c>
      <c r="H223" s="20" t="s">
        <v>390</v>
      </c>
      <c r="I223" s="6">
        <v>5414</v>
      </c>
      <c r="J223" s="6"/>
      <c r="K223" s="3"/>
      <c r="L223" s="3" t="s">
        <v>396</v>
      </c>
      <c r="M223" s="3"/>
      <c r="N223" s="3"/>
      <c r="O223" s="16">
        <f>+I223</f>
        <v>5414</v>
      </c>
      <c r="P223" s="3"/>
      <c r="Q223" s="3"/>
    </row>
    <row r="224" spans="1:17" ht="88.5" customHeight="1" x14ac:dyDescent="0.25">
      <c r="A224" s="3" t="s">
        <v>100</v>
      </c>
      <c r="B224" s="3" t="s">
        <v>181</v>
      </c>
      <c r="C224" s="3" t="s">
        <v>489</v>
      </c>
      <c r="D224" s="13" t="s">
        <v>440</v>
      </c>
      <c r="E224" s="3" t="s">
        <v>118</v>
      </c>
      <c r="F224" s="3" t="s">
        <v>490</v>
      </c>
      <c r="G224" s="3" t="s">
        <v>110</v>
      </c>
      <c r="H224" s="20" t="s">
        <v>390</v>
      </c>
      <c r="I224" s="6">
        <v>22470</v>
      </c>
      <c r="J224" s="6"/>
      <c r="K224" s="16"/>
      <c r="L224" s="3" t="s">
        <v>396</v>
      </c>
      <c r="M224" s="3"/>
      <c r="N224" s="3"/>
      <c r="O224" s="61">
        <f>I224*12</f>
        <v>269640</v>
      </c>
      <c r="P224" s="3"/>
      <c r="Q224" s="3"/>
    </row>
    <row r="225" spans="1:17" ht="72.75" customHeight="1" x14ac:dyDescent="0.25">
      <c r="A225" s="3" t="s">
        <v>100</v>
      </c>
      <c r="B225" s="3" t="s">
        <v>181</v>
      </c>
      <c r="C225" s="3" t="s">
        <v>137</v>
      </c>
      <c r="D225" s="13" t="s">
        <v>409</v>
      </c>
      <c r="E225" s="3" t="s">
        <v>118</v>
      </c>
      <c r="F225" s="3" t="s">
        <v>490</v>
      </c>
      <c r="G225" s="3" t="s">
        <v>110</v>
      </c>
      <c r="H225" s="20" t="s">
        <v>390</v>
      </c>
      <c r="I225" s="6">
        <v>24630</v>
      </c>
      <c r="J225" s="6"/>
      <c r="K225" s="3"/>
      <c r="L225" s="3" t="s">
        <v>396</v>
      </c>
      <c r="M225" s="3"/>
      <c r="N225" s="3"/>
      <c r="O225" s="16">
        <f>+I225*6</f>
        <v>147780</v>
      </c>
      <c r="P225" s="3"/>
      <c r="Q225" s="3"/>
    </row>
    <row r="226" spans="1:17" ht="60.75" customHeight="1" x14ac:dyDescent="0.25">
      <c r="A226" s="3" t="s">
        <v>100</v>
      </c>
      <c r="B226" s="3" t="s">
        <v>181</v>
      </c>
      <c r="C226" s="62" t="s">
        <v>434</v>
      </c>
      <c r="D226" s="63">
        <v>1</v>
      </c>
      <c r="E226" s="3" t="s">
        <v>118</v>
      </c>
      <c r="F226" s="3" t="s">
        <v>490</v>
      </c>
      <c r="G226" s="3" t="s">
        <v>110</v>
      </c>
      <c r="H226" s="3" t="s">
        <v>424</v>
      </c>
      <c r="I226" s="6">
        <v>305000</v>
      </c>
      <c r="J226" s="6">
        <f>+ROUND((I226*$J$2)+I226,0)</f>
        <v>328943</v>
      </c>
      <c r="K226" s="16"/>
      <c r="L226" s="3" t="s">
        <v>423</v>
      </c>
      <c r="M226" s="3"/>
      <c r="N226" s="3"/>
      <c r="O226" s="61">
        <f>J226*1</f>
        <v>328943</v>
      </c>
      <c r="P226" s="3"/>
      <c r="Q226" s="3"/>
    </row>
    <row r="227" spans="1:17" ht="113.25" customHeight="1" x14ac:dyDescent="0.25">
      <c r="A227" s="3" t="s">
        <v>100</v>
      </c>
      <c r="B227" s="3" t="s">
        <v>181</v>
      </c>
      <c r="C227" s="3" t="s">
        <v>384</v>
      </c>
      <c r="D227" s="13">
        <v>2</v>
      </c>
      <c r="E227" s="48" t="s">
        <v>118</v>
      </c>
      <c r="F227" s="3" t="s">
        <v>28</v>
      </c>
      <c r="G227" s="3" t="s">
        <v>140</v>
      </c>
      <c r="H227" s="20" t="s">
        <v>390</v>
      </c>
      <c r="I227" s="6">
        <v>1331174</v>
      </c>
      <c r="J227" s="6"/>
      <c r="K227" s="8">
        <f>ROUND((I227/12)*2,0)</f>
        <v>221862</v>
      </c>
      <c r="L227" s="21" t="s">
        <v>398</v>
      </c>
      <c r="M227" s="3"/>
      <c r="N227" s="3"/>
      <c r="O227" s="13"/>
      <c r="P227" s="3"/>
      <c r="Q227" s="3"/>
    </row>
    <row r="228" spans="1:17" ht="118.5" customHeight="1" x14ac:dyDescent="0.25">
      <c r="A228" s="3" t="s">
        <v>105</v>
      </c>
      <c r="B228" s="3" t="s">
        <v>189</v>
      </c>
      <c r="C228" s="3" t="s">
        <v>190</v>
      </c>
      <c r="D228" s="13" t="s">
        <v>310</v>
      </c>
      <c r="E228" s="3" t="s">
        <v>118</v>
      </c>
      <c r="F228" s="3" t="s">
        <v>30</v>
      </c>
      <c r="G228" s="3" t="s">
        <v>110</v>
      </c>
      <c r="H228" s="14" t="s">
        <v>390</v>
      </c>
      <c r="I228" s="6">
        <v>130493</v>
      </c>
      <c r="J228" s="6"/>
      <c r="K228" s="16"/>
      <c r="L228" s="3" t="s">
        <v>396</v>
      </c>
      <c r="M228" s="3"/>
      <c r="N228" s="3"/>
      <c r="O228" s="3"/>
      <c r="P228" s="3"/>
      <c r="Q228" s="3"/>
    </row>
    <row r="229" spans="1:17" ht="118.5" customHeight="1" x14ac:dyDescent="0.25">
      <c r="A229" s="3" t="s">
        <v>105</v>
      </c>
      <c r="B229" s="3" t="s">
        <v>189</v>
      </c>
      <c r="C229" s="3" t="s">
        <v>103</v>
      </c>
      <c r="D229" s="13" t="s">
        <v>311</v>
      </c>
      <c r="E229" s="3" t="s">
        <v>118</v>
      </c>
      <c r="F229" s="3" t="s">
        <v>30</v>
      </c>
      <c r="G229" s="3" t="s">
        <v>110</v>
      </c>
      <c r="H229" s="14" t="s">
        <v>390</v>
      </c>
      <c r="I229" s="6">
        <v>6088</v>
      </c>
      <c r="J229" s="6"/>
      <c r="K229" s="16"/>
      <c r="L229" s="3" t="s">
        <v>396</v>
      </c>
      <c r="M229" s="3"/>
      <c r="N229" s="3"/>
      <c r="O229" s="3"/>
      <c r="P229" s="3"/>
      <c r="Q229" s="3"/>
    </row>
    <row r="230" spans="1:17" ht="118.5" customHeight="1" x14ac:dyDescent="0.25">
      <c r="A230" s="3" t="s">
        <v>105</v>
      </c>
      <c r="B230" s="3" t="s">
        <v>189</v>
      </c>
      <c r="C230" s="3" t="s">
        <v>104</v>
      </c>
      <c r="D230" s="13" t="s">
        <v>312</v>
      </c>
      <c r="E230" s="3" t="s">
        <v>118</v>
      </c>
      <c r="F230" s="3" t="s">
        <v>30</v>
      </c>
      <c r="G230" s="3" t="s">
        <v>110</v>
      </c>
      <c r="H230" s="14" t="s">
        <v>390</v>
      </c>
      <c r="I230" s="6">
        <v>6088</v>
      </c>
      <c r="J230" s="6"/>
      <c r="K230" s="16"/>
      <c r="L230" s="3" t="s">
        <v>396</v>
      </c>
      <c r="M230" s="3"/>
      <c r="N230" s="3"/>
      <c r="O230" s="3"/>
      <c r="P230" s="3"/>
      <c r="Q230" s="3"/>
    </row>
    <row r="231" spans="1:17" s="26" customFormat="1" ht="118.5" customHeight="1" x14ac:dyDescent="0.25">
      <c r="A231" s="3" t="s">
        <v>105</v>
      </c>
      <c r="B231" s="3" t="s">
        <v>189</v>
      </c>
      <c r="C231" s="3" t="s">
        <v>138</v>
      </c>
      <c r="D231" s="13" t="s">
        <v>313</v>
      </c>
      <c r="E231" s="3" t="s">
        <v>118</v>
      </c>
      <c r="F231" s="3" t="s">
        <v>30</v>
      </c>
      <c r="G231" s="3" t="s">
        <v>110</v>
      </c>
      <c r="H231" s="14" t="s">
        <v>390</v>
      </c>
      <c r="I231" s="29">
        <v>72026</v>
      </c>
      <c r="J231" s="29"/>
      <c r="K231" s="24"/>
      <c r="L231" s="58" t="s">
        <v>396</v>
      </c>
      <c r="M231" s="3"/>
      <c r="N231" s="3"/>
      <c r="O231" s="3"/>
      <c r="P231" s="25"/>
      <c r="Q231" s="25"/>
    </row>
    <row r="232" spans="1:17" s="26" customFormat="1" ht="409.5" x14ac:dyDescent="0.25">
      <c r="A232" s="3" t="s">
        <v>99</v>
      </c>
      <c r="B232" s="3" t="s">
        <v>188</v>
      </c>
      <c r="C232" s="3" t="s">
        <v>498</v>
      </c>
      <c r="D232" s="13">
        <v>1</v>
      </c>
      <c r="E232" s="3" t="s">
        <v>51</v>
      </c>
      <c r="F232" s="3" t="s">
        <v>26</v>
      </c>
      <c r="G232" s="3" t="s">
        <v>140</v>
      </c>
      <c r="H232" s="20" t="s">
        <v>392</v>
      </c>
      <c r="I232" s="23">
        <v>11737</v>
      </c>
      <c r="J232" s="23"/>
      <c r="K232" s="24"/>
      <c r="L232" s="58" t="s">
        <v>396</v>
      </c>
      <c r="M232" s="6">
        <f>+I232*$M$2</f>
        <v>704220</v>
      </c>
      <c r="N232" s="6">
        <f>+I232*$N$2</f>
        <v>938960</v>
      </c>
      <c r="O232" s="3"/>
      <c r="P232" s="25"/>
      <c r="Q232" s="25"/>
    </row>
    <row r="233" spans="1:17" ht="331.9" customHeight="1" x14ac:dyDescent="0.25">
      <c r="A233" s="3" t="s">
        <v>109</v>
      </c>
      <c r="B233" s="3" t="s">
        <v>355</v>
      </c>
      <c r="C233" s="3" t="s">
        <v>497</v>
      </c>
      <c r="D233" s="13">
        <v>1</v>
      </c>
      <c r="E233" s="3" t="s">
        <v>51</v>
      </c>
      <c r="F233" s="3" t="s">
        <v>25</v>
      </c>
      <c r="G233" s="3" t="s">
        <v>140</v>
      </c>
      <c r="H233" s="14" t="s">
        <v>391</v>
      </c>
      <c r="I233" s="6">
        <v>17492056</v>
      </c>
      <c r="J233" s="6"/>
      <c r="K233" s="16">
        <f>+I233</f>
        <v>17492056</v>
      </c>
      <c r="L233" s="3" t="s">
        <v>396</v>
      </c>
      <c r="M233" s="3"/>
      <c r="N233" s="3"/>
      <c r="O233" s="3"/>
      <c r="P233" s="3"/>
      <c r="Q233" s="3"/>
    </row>
    <row r="234" spans="1:17" ht="228.75" customHeight="1" x14ac:dyDescent="0.25">
      <c r="A234" s="3" t="s">
        <v>91</v>
      </c>
      <c r="B234" s="3" t="s">
        <v>191</v>
      </c>
      <c r="C234" s="3" t="s">
        <v>499</v>
      </c>
      <c r="D234" s="13" t="s">
        <v>314</v>
      </c>
      <c r="E234" s="3" t="s">
        <v>92</v>
      </c>
      <c r="F234" s="3" t="s">
        <v>93</v>
      </c>
      <c r="G234" s="3" t="s">
        <v>38</v>
      </c>
      <c r="H234" s="14" t="s">
        <v>392</v>
      </c>
      <c r="I234" s="6">
        <v>1011384</v>
      </c>
      <c r="J234" s="6"/>
      <c r="K234" s="16"/>
      <c r="L234" s="3" t="s">
        <v>396</v>
      </c>
      <c r="M234" s="6">
        <f>+I234*$M$2*4</f>
        <v>242732160</v>
      </c>
      <c r="N234" s="6">
        <f>+I234*$N$2*4</f>
        <v>323642880</v>
      </c>
      <c r="O234" s="3"/>
      <c r="P234" s="3"/>
      <c r="Q234" s="3"/>
    </row>
    <row r="235" spans="1:17" ht="286.14999999999998" customHeight="1" x14ac:dyDescent="0.25">
      <c r="A235" s="3" t="s">
        <v>352</v>
      </c>
      <c r="B235" s="3" t="s">
        <v>353</v>
      </c>
      <c r="C235" s="3" t="s">
        <v>496</v>
      </c>
      <c r="D235" s="13" t="s">
        <v>365</v>
      </c>
      <c r="E235" s="3" t="s">
        <v>258</v>
      </c>
      <c r="F235" s="3" t="s">
        <v>364</v>
      </c>
      <c r="G235" s="3" t="s">
        <v>140</v>
      </c>
      <c r="H235" s="3" t="s">
        <v>435</v>
      </c>
      <c r="I235" s="6">
        <v>1627615</v>
      </c>
      <c r="J235" s="6">
        <f>+ROUND((I235*$J$2)+I235,0)</f>
        <v>1755383</v>
      </c>
      <c r="K235" s="16">
        <f>J235</f>
        <v>1755383</v>
      </c>
      <c r="L235" s="3" t="s">
        <v>423</v>
      </c>
      <c r="M235" s="3"/>
      <c r="N235" s="3"/>
      <c r="O235" s="3"/>
      <c r="P235" s="3"/>
      <c r="Q235" s="3"/>
    </row>
    <row r="236" spans="1:17" ht="150.75" customHeight="1" x14ac:dyDescent="0.25">
      <c r="A236" s="3" t="s">
        <v>361</v>
      </c>
      <c r="B236" s="3" t="s">
        <v>362</v>
      </c>
      <c r="C236" s="3" t="s">
        <v>500</v>
      </c>
      <c r="D236" s="13">
        <v>2</v>
      </c>
      <c r="E236" s="3" t="s">
        <v>258</v>
      </c>
      <c r="F236" s="48" t="s">
        <v>363</v>
      </c>
      <c r="G236" s="48" t="s">
        <v>110</v>
      </c>
      <c r="H236" s="14" t="s">
        <v>392</v>
      </c>
      <c r="I236" s="6">
        <v>126727</v>
      </c>
      <c r="J236" s="6"/>
      <c r="K236" s="16"/>
      <c r="L236" s="3" t="s">
        <v>396</v>
      </c>
      <c r="M236" s="6">
        <f>+I236*$M$2*2</f>
        <v>15207240</v>
      </c>
      <c r="N236" s="6">
        <f>+I236*$N$2*2</f>
        <v>20276320</v>
      </c>
      <c r="O236" s="3"/>
      <c r="P236" s="3"/>
      <c r="Q236" s="3"/>
    </row>
    <row r="237" spans="1:17" ht="159.75" customHeight="1" x14ac:dyDescent="0.25">
      <c r="A237" s="3" t="s">
        <v>503</v>
      </c>
      <c r="B237" s="3" t="s">
        <v>506</v>
      </c>
      <c r="C237" s="3" t="s">
        <v>505</v>
      </c>
      <c r="D237" s="13">
        <v>10</v>
      </c>
      <c r="E237" s="48" t="s">
        <v>258</v>
      </c>
      <c r="F237" s="3" t="s">
        <v>504</v>
      </c>
      <c r="G237" s="3" t="s">
        <v>110</v>
      </c>
      <c r="H237" s="3" t="s">
        <v>508</v>
      </c>
      <c r="I237" s="6">
        <v>49350</v>
      </c>
      <c r="J237" s="6">
        <f>+ROUND((I237*J2)+I237,0)</f>
        <v>53224</v>
      </c>
      <c r="K237" s="6">
        <f>+J237</f>
        <v>53224</v>
      </c>
      <c r="L237" s="3" t="s">
        <v>507</v>
      </c>
      <c r="M237" s="6"/>
      <c r="N237" s="6"/>
      <c r="O237" s="22"/>
      <c r="P237" s="3"/>
      <c r="Q237" s="3"/>
    </row>
    <row r="240" spans="1:17" hidden="1" x14ac:dyDescent="0.25"/>
    <row r="241" spans="13:13" hidden="1" x14ac:dyDescent="0.25"/>
    <row r="242" spans="13:13" hidden="1" x14ac:dyDescent="0.25">
      <c r="M242" s="10">
        <f>M201/30*16</f>
        <v>13889632</v>
      </c>
    </row>
    <row r="243" spans="13:13" hidden="1" x14ac:dyDescent="0.25"/>
  </sheetData>
  <autoFilter ref="A7:Q237" xr:uid="{00000000-0001-0000-0000-000000000000}"/>
  <mergeCells count="3">
    <mergeCell ref="A149:A155"/>
    <mergeCell ref="B149:B155"/>
    <mergeCell ref="A5:Q5"/>
  </mergeCells>
  <phoneticPr fontId="1" type="noConversion"/>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15</vt:i4>
      </vt:variant>
    </vt:vector>
  </HeadingPairs>
  <TitlesOfParts>
    <vt:vector size="16" baseType="lpstr">
      <vt:lpstr>SABANA INTERNO</vt:lpstr>
      <vt:lpstr>'SABANA INTERNO'!_Hlk506060687</vt:lpstr>
      <vt:lpstr>'SABANA INTERNO'!_Toc30436205</vt:lpstr>
      <vt:lpstr>'SABANA INTERNO'!_Toc30436206</vt:lpstr>
      <vt:lpstr>'SABANA INTERNO'!_Toc30436207</vt:lpstr>
      <vt:lpstr>'SABANA INTERNO'!_Toc30436208</vt:lpstr>
      <vt:lpstr>'SABANA INTERNO'!_Toc30436209</vt:lpstr>
      <vt:lpstr>'SABANA INTERNO'!_Toc30436211</vt:lpstr>
      <vt:lpstr>'SABANA INTERNO'!_Toc30436212</vt:lpstr>
      <vt:lpstr>'SABANA INTERNO'!_Toc30436218</vt:lpstr>
      <vt:lpstr>'SABANA INTERNO'!_Toc30436219</vt:lpstr>
      <vt:lpstr>'SABANA INTERNO'!_Toc30436221</vt:lpstr>
      <vt:lpstr>'SABANA INTERNO'!_Toc30436222</vt:lpstr>
      <vt:lpstr>'SABANA INTERNO'!_Toc30436223</vt:lpstr>
      <vt:lpstr>'SABANA INTERNO'!_Toc30498717</vt:lpstr>
      <vt:lpstr>'SABANA INTERNO'!_Toc30498718</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 Ardila Ardila</dc:creator>
  <cp:lastModifiedBy>PATRICIA RENDON</cp:lastModifiedBy>
  <cp:lastPrinted>2020-01-15T01:04:13Z</cp:lastPrinted>
  <dcterms:created xsi:type="dcterms:W3CDTF">2018-02-09T19:11:43Z</dcterms:created>
  <dcterms:modified xsi:type="dcterms:W3CDTF">2022-11-09T16:19:18Z</dcterms:modified>
</cp:coreProperties>
</file>