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autoCompressPictures="0"/>
  <mc:AlternateContent xmlns:mc="http://schemas.openxmlformats.org/markup-compatibility/2006">
    <mc:Choice Requires="x15">
      <x15ac:absPath xmlns:x15ac="http://schemas.microsoft.com/office/spreadsheetml/2010/11/ac" url="C:\Users\zaida\Downloads\"/>
    </mc:Choice>
  </mc:AlternateContent>
  <xr:revisionPtr revIDLastSave="0" documentId="13_ncr:1_{5F370D12-505A-48A8-86B7-D503E7E388AF}" xr6:coauthVersionLast="47" xr6:coauthVersionMax="47" xr10:uidLastSave="{00000000-0000-0000-0000-000000000000}"/>
  <bookViews>
    <workbookView xWindow="-108" yWindow="-108" windowWidth="23256" windowHeight="12456" tabRatio="746" firstSheet="9" activeTab="9" xr2:uid="{00000000-000D-0000-FFFF-FFFF00000000}"/>
  </bookViews>
  <sheets>
    <sheet name="CONDICIONES GENERALES" sheetId="61" r:id="rId1"/>
    <sheet name="LISTA DE OFERENTES" sheetId="60" r:id="rId2"/>
    <sheet name="EVALUACION TÉC PRELIMINAR" sheetId="68" r:id="rId3"/>
    <sheet name="F. PONDERABLES PRELIMINAR" sheetId="69" r:id="rId4"/>
    <sheet name="RESUMEN EVALUACIÓN PRELIMINAR" sheetId="70" r:id="rId5"/>
    <sheet name="PRO09" sheetId="66" state="hidden" r:id="rId6"/>
    <sheet name="P2" sheetId="65" state="hidden" r:id="rId7"/>
    <sheet name="EVALUACION TÉC FINAL" sheetId="58" r:id="rId8"/>
    <sheet name="K RESIDUAL" sheetId="59" r:id="rId9"/>
    <sheet name="F. PONDERABLES FINAL" sheetId="71" r:id="rId10"/>
    <sheet name="RESUMEN EVALUACIÓN FINAL" sheetId="53" r:id="rId11"/>
  </sheets>
  <definedNames>
    <definedName name="_Fill" localSheetId="7" hidden="1">#REF!</definedName>
    <definedName name="_Fill" localSheetId="2" hidden="1">#REF!</definedName>
    <definedName name="_Fill" localSheetId="8" hidden="1">#REF!</definedName>
    <definedName name="_Fill" hidden="1">#REF!</definedName>
    <definedName name="_xlnm._FilterDatabase" localSheetId="9" hidden="1">'F. PONDERABLES FINAL'!$A$7:$I$32</definedName>
    <definedName name="_xlnm._FilterDatabase" localSheetId="3" hidden="1">'F. PONDERABLES PRELIMINAR'!$A$7:$I$32</definedName>
    <definedName name="_xlnm._FilterDatabase" localSheetId="10" hidden="1">'RESUMEN EVALUACIÓN FINAL'!$A$5:$M$38</definedName>
    <definedName name="_xlnm._FilterDatabase" localSheetId="4" hidden="1">'RESUMEN EVALUACIÓN PRELIMINAR'!$A$5:$M$38</definedName>
    <definedName name="_xlnm.Print_Area" localSheetId="9">'F. PONDERABLES FINAL'!$A$1:$I$32</definedName>
    <definedName name="_xlnm.Print_Area" localSheetId="3">'F. PONDERABLES PRELIMINAR'!$A$1:$I$32</definedName>
    <definedName name="_xlnm.Print_Area">#N/A</definedName>
    <definedName name="PRINT_AREA_MI">#N/A</definedName>
    <definedName name="PRINT_TITLES_MI">#N/A</definedName>
    <definedName name="_xlnm.Print_Titles">#N/A</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38" i="71" l="1"/>
  <c r="H21" i="71"/>
  <c r="H26" i="71"/>
  <c r="H36" i="71"/>
  <c r="H11" i="71"/>
  <c r="H13" i="71"/>
  <c r="H28" i="71"/>
  <c r="H10" i="71"/>
  <c r="H22" i="71"/>
  <c r="B35" i="71"/>
  <c r="H35" i="71"/>
  <c r="B32" i="71"/>
  <c r="H32" i="71"/>
  <c r="B25" i="71"/>
  <c r="H25" i="71"/>
  <c r="B12" i="71"/>
  <c r="H12" i="71"/>
  <c r="B9" i="71"/>
  <c r="H9" i="71"/>
  <c r="B30" i="71"/>
  <c r="H30" i="71"/>
  <c r="B29" i="71"/>
  <c r="H29" i="71"/>
  <c r="B19" i="71"/>
  <c r="H19" i="71"/>
  <c r="B24" i="71"/>
  <c r="H24" i="71"/>
  <c r="B22" i="71"/>
  <c r="B10" i="71"/>
  <c r="B40" i="71"/>
  <c r="B23" i="71"/>
  <c r="H23" i="71"/>
  <c r="B33" i="71"/>
  <c r="H33" i="71"/>
  <c r="B20" i="71"/>
  <c r="H20" i="71"/>
  <c r="B15" i="71"/>
  <c r="H15" i="71"/>
  <c r="B16" i="71"/>
  <c r="H16" i="71"/>
  <c r="B34" i="71"/>
  <c r="H34" i="71"/>
  <c r="B37" i="71"/>
  <c r="H37" i="71"/>
  <c r="B41" i="71"/>
  <c r="B27" i="71"/>
  <c r="H27" i="71"/>
  <c r="B39" i="71"/>
  <c r="H39" i="71"/>
  <c r="B31" i="71"/>
  <c r="H31" i="71"/>
  <c r="B8" i="71"/>
  <c r="H8" i="71"/>
  <c r="B14" i="71"/>
  <c r="H14" i="71"/>
  <c r="B42" i="71"/>
  <c r="B28" i="71"/>
  <c r="B43" i="71"/>
  <c r="B17" i="71"/>
  <c r="H17" i="71"/>
  <c r="B18" i="71"/>
  <c r="H18" i="71"/>
  <c r="B13" i="71"/>
  <c r="B21" i="71"/>
  <c r="B26" i="71"/>
  <c r="B36" i="71"/>
  <c r="B11" i="71"/>
  <c r="B44" i="71"/>
  <c r="B45" i="71"/>
  <c r="B38" i="71"/>
  <c r="H36" i="69"/>
  <c r="F386" i="58"/>
  <c r="O398" i="68"/>
  <c r="F110" i="58"/>
  <c r="F108" i="58"/>
  <c r="B43" i="70"/>
  <c r="B42" i="70"/>
  <c r="B41" i="70"/>
  <c r="B40" i="70"/>
  <c r="B39" i="70"/>
  <c r="B38" i="70"/>
  <c r="B37" i="70"/>
  <c r="B36" i="70"/>
  <c r="B35" i="70"/>
  <c r="B34" i="70"/>
  <c r="B33" i="70"/>
  <c r="B32" i="70"/>
  <c r="B31" i="70"/>
  <c r="B30" i="70"/>
  <c r="B29" i="70"/>
  <c r="B28" i="70"/>
  <c r="B27" i="70"/>
  <c r="B26" i="70"/>
  <c r="B25" i="70"/>
  <c r="B24" i="70"/>
  <c r="B23" i="70"/>
  <c r="B22" i="70"/>
  <c r="B21" i="70"/>
  <c r="B20" i="70"/>
  <c r="B19" i="70"/>
  <c r="B18" i="70"/>
  <c r="B17" i="70"/>
  <c r="B16" i="70"/>
  <c r="B15" i="70"/>
  <c r="B14" i="70"/>
  <c r="B13" i="70"/>
  <c r="B12" i="70"/>
  <c r="B11" i="70"/>
  <c r="B10" i="70"/>
  <c r="B9" i="70"/>
  <c r="B8" i="70"/>
  <c r="B7" i="70"/>
  <c r="B6" i="70"/>
  <c r="B45" i="69"/>
  <c r="B44" i="69"/>
  <c r="B43" i="69"/>
  <c r="B42" i="69"/>
  <c r="B41" i="69"/>
  <c r="B40" i="69"/>
  <c r="B39" i="69"/>
  <c r="B38" i="69"/>
  <c r="H37" i="69"/>
  <c r="B37" i="69"/>
  <c r="B36" i="69"/>
  <c r="B35" i="69"/>
  <c r="H34" i="69"/>
  <c r="B34" i="69"/>
  <c r="B33" i="69"/>
  <c r="H32" i="69"/>
  <c r="B32" i="69"/>
  <c r="H31" i="69"/>
  <c r="B31" i="69"/>
  <c r="H30" i="69"/>
  <c r="B30" i="69"/>
  <c r="H29" i="69"/>
  <c r="B29" i="69"/>
  <c r="H28" i="69"/>
  <c r="B28" i="69"/>
  <c r="B27" i="69"/>
  <c r="H26" i="69"/>
  <c r="B26" i="69"/>
  <c r="H25" i="69"/>
  <c r="B25" i="69"/>
  <c r="H24" i="69"/>
  <c r="B24" i="69"/>
  <c r="H23" i="69"/>
  <c r="B23" i="69"/>
  <c r="H22" i="69"/>
  <c r="B22" i="69"/>
  <c r="H21" i="69"/>
  <c r="B21" i="69"/>
  <c r="H20" i="69"/>
  <c r="B20" i="69"/>
  <c r="H19" i="69"/>
  <c r="B19" i="69"/>
  <c r="B18" i="69"/>
  <c r="H17" i="69"/>
  <c r="B17" i="69"/>
  <c r="H16" i="69"/>
  <c r="B16" i="69"/>
  <c r="H15" i="69"/>
  <c r="B15" i="69"/>
  <c r="H14" i="69"/>
  <c r="B14" i="69"/>
  <c r="H13" i="69"/>
  <c r="B13" i="69"/>
  <c r="H12" i="69"/>
  <c r="B12" i="69"/>
  <c r="H11" i="69"/>
  <c r="B11" i="69"/>
  <c r="H10" i="69"/>
  <c r="B10" i="69"/>
  <c r="H9" i="69"/>
  <c r="B9" i="69"/>
  <c r="H8" i="69"/>
  <c r="B8" i="69"/>
  <c r="E506" i="68"/>
  <c r="D481" i="68" s="1"/>
  <c r="D482" i="68" s="1"/>
  <c r="C484" i="68" s="1"/>
  <c r="C506" i="68"/>
  <c r="D506" i="68" s="1"/>
  <c r="I502" i="68"/>
  <c r="M502" i="68" s="1"/>
  <c r="I501" i="68"/>
  <c r="C495" i="68"/>
  <c r="C482" i="68"/>
  <c r="I477" i="68"/>
  <c r="M477" i="68" s="1"/>
  <c r="I476" i="68"/>
  <c r="M476" i="68" s="1"/>
  <c r="I475" i="68"/>
  <c r="M475" i="68" s="1"/>
  <c r="I474" i="68"/>
  <c r="C467" i="68"/>
  <c r="O462" i="68"/>
  <c r="G462" i="68"/>
  <c r="I462" i="68" s="1"/>
  <c r="M462" i="68" s="1"/>
  <c r="G461" i="68"/>
  <c r="I461" i="68" s="1"/>
  <c r="M461" i="68" s="1"/>
  <c r="G460" i="68"/>
  <c r="I460" i="68" s="1"/>
  <c r="C454" i="68"/>
  <c r="O449" i="68"/>
  <c r="G449" i="68"/>
  <c r="I449" i="68" s="1"/>
  <c r="M449" i="68" s="1"/>
  <c r="O448" i="68"/>
  <c r="G448" i="68"/>
  <c r="I448" i="68" s="1"/>
  <c r="C442" i="68"/>
  <c r="O437" i="68"/>
  <c r="G437" i="68"/>
  <c r="I437" i="68" s="1"/>
  <c r="M437" i="68" s="1"/>
  <c r="O436" i="68"/>
  <c r="G436" i="68"/>
  <c r="I436" i="68" s="1"/>
  <c r="C430" i="68"/>
  <c r="O425" i="68"/>
  <c r="G425" i="68"/>
  <c r="I425" i="68" s="1"/>
  <c r="M425" i="68" s="1"/>
  <c r="O424" i="68"/>
  <c r="G424" i="68"/>
  <c r="I424" i="68" s="1"/>
  <c r="C418" i="68"/>
  <c r="C405" i="68"/>
  <c r="C392" i="68"/>
  <c r="C380" i="68"/>
  <c r="A378" i="68"/>
  <c r="O375" i="68"/>
  <c r="G375" i="68"/>
  <c r="I375" i="68" s="1"/>
  <c r="M375" i="68" s="1"/>
  <c r="A374" i="68"/>
  <c r="L374" i="68" s="1"/>
  <c r="A371" i="68"/>
  <c r="C369" i="68"/>
  <c r="A369" i="68"/>
  <c r="E367" i="68"/>
  <c r="A356" i="68"/>
  <c r="A370" i="68" s="1"/>
  <c r="C355" i="68"/>
  <c r="E353" i="68"/>
  <c r="C343" i="68"/>
  <c r="D342" i="68"/>
  <c r="D343" i="68" s="1"/>
  <c r="A337" i="68"/>
  <c r="G336" i="68"/>
  <c r="I336" i="68" s="1"/>
  <c r="M336" i="68" s="1"/>
  <c r="F336" i="68"/>
  <c r="O336" i="68" s="1"/>
  <c r="G335" i="68"/>
  <c r="I335" i="68" s="1"/>
  <c r="M335" i="68" s="1"/>
  <c r="F335" i="68"/>
  <c r="O335" i="68" s="1"/>
  <c r="G334" i="68"/>
  <c r="I334" i="68" s="1"/>
  <c r="M334" i="68" s="1"/>
  <c r="F334" i="68"/>
  <c r="O334" i="68" s="1"/>
  <c r="O333" i="68"/>
  <c r="G333" i="68"/>
  <c r="I333" i="68" s="1"/>
  <c r="M333" i="68" s="1"/>
  <c r="G332" i="68"/>
  <c r="I332" i="68" s="1"/>
  <c r="A331" i="68"/>
  <c r="L331" i="68" s="1"/>
  <c r="C326" i="68"/>
  <c r="G321" i="68"/>
  <c r="I321" i="68" s="1"/>
  <c r="M321" i="68" s="1"/>
  <c r="F321" i="68"/>
  <c r="O321" i="68" s="1"/>
  <c r="G320" i="68"/>
  <c r="I320" i="68" s="1"/>
  <c r="F320" i="68"/>
  <c r="O320" i="68" s="1"/>
  <c r="A319" i="68"/>
  <c r="L319" i="68" s="1"/>
  <c r="C314" i="68"/>
  <c r="D313" i="68"/>
  <c r="D314" i="68" s="1"/>
  <c r="G309" i="68"/>
  <c r="I309" i="68" s="1"/>
  <c r="M309" i="68" s="1"/>
  <c r="F309" i="68"/>
  <c r="O309" i="68" s="1"/>
  <c r="M308" i="68"/>
  <c r="G308" i="68"/>
  <c r="M306" i="68"/>
  <c r="G306" i="68"/>
  <c r="O305" i="68"/>
  <c r="G305" i="68"/>
  <c r="I305" i="68" s="1"/>
  <c r="C299" i="68"/>
  <c r="D298" i="68"/>
  <c r="D299" i="68" s="1"/>
  <c r="O293" i="68"/>
  <c r="G293" i="68"/>
  <c r="I293" i="68" s="1"/>
  <c r="M293" i="68" s="1"/>
  <c r="G292" i="68"/>
  <c r="I292" i="68" s="1"/>
  <c r="F292" i="68"/>
  <c r="O292" i="68" s="1"/>
  <c r="C286" i="68"/>
  <c r="D285" i="68"/>
  <c r="D286" i="68" s="1"/>
  <c r="G281" i="68"/>
  <c r="I281" i="68" s="1"/>
  <c r="F281" i="68"/>
  <c r="O281" i="68" s="1"/>
  <c r="A280" i="68"/>
  <c r="L280" i="68" s="1"/>
  <c r="C275" i="68"/>
  <c r="D274" i="68"/>
  <c r="O270" i="68"/>
  <c r="G270" i="68"/>
  <c r="I270" i="68" s="1"/>
  <c r="M270" i="68" s="1"/>
  <c r="O269" i="68"/>
  <c r="G269" i="68"/>
  <c r="I269" i="68" s="1"/>
  <c r="C263" i="68"/>
  <c r="D262" i="68"/>
  <c r="O258" i="68"/>
  <c r="G258" i="68"/>
  <c r="I258" i="68" s="1"/>
  <c r="C252" i="68"/>
  <c r="D251" i="68"/>
  <c r="O247" i="68"/>
  <c r="G247" i="68"/>
  <c r="I247" i="68" s="1"/>
  <c r="M247" i="68" s="1"/>
  <c r="O246" i="68"/>
  <c r="G246" i="68"/>
  <c r="I246" i="68" s="1"/>
  <c r="M246" i="68" s="1"/>
  <c r="O244" i="68"/>
  <c r="G244" i="68"/>
  <c r="I244" i="68" s="1"/>
  <c r="C238" i="68"/>
  <c r="D237" i="68"/>
  <c r="O233" i="68"/>
  <c r="G233" i="68"/>
  <c r="I233" i="68" s="1"/>
  <c r="M233" i="68" s="1"/>
  <c r="O232" i="68"/>
  <c r="G232" i="68"/>
  <c r="I232" i="68" s="1"/>
  <c r="C226" i="68"/>
  <c r="D225" i="68"/>
  <c r="O221" i="68"/>
  <c r="G221" i="68"/>
  <c r="I221" i="68" s="1"/>
  <c r="M221" i="68" s="1"/>
  <c r="O220" i="68"/>
  <c r="G220" i="68"/>
  <c r="I220" i="68" s="1"/>
  <c r="M220" i="68" s="1"/>
  <c r="O219" i="68"/>
  <c r="G219" i="68"/>
  <c r="I219" i="68" s="1"/>
  <c r="C213" i="68"/>
  <c r="D212" i="68"/>
  <c r="G208" i="68"/>
  <c r="I208" i="68" s="1"/>
  <c r="M208" i="68" s="1"/>
  <c r="F208" i="68"/>
  <c r="O208" i="68" s="1"/>
  <c r="O207" i="68"/>
  <c r="G207" i="68"/>
  <c r="I207" i="68" s="1"/>
  <c r="C201" i="68"/>
  <c r="D200" i="68"/>
  <c r="O196" i="68"/>
  <c r="G196" i="68"/>
  <c r="I196" i="68" s="1"/>
  <c r="M196" i="68" s="1"/>
  <c r="O195" i="68"/>
  <c r="G195" i="68"/>
  <c r="I195" i="68" s="1"/>
  <c r="C189" i="68"/>
  <c r="D188" i="68"/>
  <c r="O184" i="68"/>
  <c r="G184" i="68"/>
  <c r="I184" i="68" s="1"/>
  <c r="M184" i="68" s="1"/>
  <c r="O183" i="68"/>
  <c r="G183" i="68"/>
  <c r="I183" i="68" s="1"/>
  <c r="M183" i="68" s="1"/>
  <c r="O182" i="68"/>
  <c r="G182" i="68"/>
  <c r="I182" i="68" s="1"/>
  <c r="M182" i="68" s="1"/>
  <c r="O180" i="68"/>
  <c r="D180" i="68"/>
  <c r="G180" i="68" s="1"/>
  <c r="I180" i="68" s="1"/>
  <c r="M180" i="68" s="1"/>
  <c r="O179" i="68"/>
  <c r="G179" i="68"/>
  <c r="I179" i="68" s="1"/>
  <c r="M179" i="68" s="1"/>
  <c r="O178" i="68"/>
  <c r="G178" i="68"/>
  <c r="I178" i="68" s="1"/>
  <c r="M178" i="68" s="1"/>
  <c r="O177" i="68"/>
  <c r="G177" i="68"/>
  <c r="I177" i="68" s="1"/>
  <c r="C171" i="68"/>
  <c r="D170" i="68"/>
  <c r="O164" i="68"/>
  <c r="G164" i="68"/>
  <c r="I164" i="68" s="1"/>
  <c r="C158" i="68"/>
  <c r="D157" i="68"/>
  <c r="G153" i="68"/>
  <c r="I153" i="68" s="1"/>
  <c r="M153" i="68" s="1"/>
  <c r="O152" i="68"/>
  <c r="G152" i="68"/>
  <c r="I152" i="68" s="1"/>
  <c r="M152" i="68" s="1"/>
  <c r="O151" i="68"/>
  <c r="G151" i="68"/>
  <c r="I151" i="68" s="1"/>
  <c r="M151" i="68" s="1"/>
  <c r="O150" i="68"/>
  <c r="G150" i="68"/>
  <c r="I150" i="68" s="1"/>
  <c r="M150" i="68" s="1"/>
  <c r="G148" i="68"/>
  <c r="I148" i="68" s="1"/>
  <c r="C142" i="68"/>
  <c r="D141" i="68"/>
  <c r="O137" i="68"/>
  <c r="G137" i="68"/>
  <c r="I137" i="68" s="1"/>
  <c r="M137" i="68" s="1"/>
  <c r="G136" i="68"/>
  <c r="I136" i="68" s="1"/>
  <c r="C130" i="68"/>
  <c r="D129" i="68"/>
  <c r="D130" i="68" s="1"/>
  <c r="O125" i="68"/>
  <c r="G125" i="68"/>
  <c r="I125" i="68" s="1"/>
  <c r="M125" i="68" s="1"/>
  <c r="O123" i="68"/>
  <c r="G123" i="68"/>
  <c r="I123" i="68" s="1"/>
  <c r="M123" i="68" s="1"/>
  <c r="G121" i="68"/>
  <c r="I121" i="68" s="1"/>
  <c r="C115" i="68"/>
  <c r="D114" i="68"/>
  <c r="C102" i="68"/>
  <c r="D101" i="68"/>
  <c r="O97" i="68"/>
  <c r="G97" i="68"/>
  <c r="I97" i="68" s="1"/>
  <c r="M97" i="68" s="1"/>
  <c r="O95" i="68"/>
  <c r="G95" i="68"/>
  <c r="I95" i="68" s="1"/>
  <c r="M95" i="68" s="1"/>
  <c r="G93" i="68"/>
  <c r="I93" i="68" s="1"/>
  <c r="F93" i="68"/>
  <c r="O93" i="68" s="1"/>
  <c r="C87" i="68"/>
  <c r="D86" i="68"/>
  <c r="O82" i="68"/>
  <c r="G82" i="68"/>
  <c r="I82" i="68" s="1"/>
  <c r="L81" i="68"/>
  <c r="C76" i="68"/>
  <c r="D75" i="68"/>
  <c r="D76" i="68" s="1"/>
  <c r="O71" i="68"/>
  <c r="G71" i="68"/>
  <c r="I71" i="68" s="1"/>
  <c r="M71" i="68" s="1"/>
  <c r="O70" i="68"/>
  <c r="G70" i="68"/>
  <c r="I70" i="68" s="1"/>
  <c r="M70" i="68" s="1"/>
  <c r="A69" i="68"/>
  <c r="O68" i="68"/>
  <c r="D68" i="68"/>
  <c r="G68" i="68" s="1"/>
  <c r="I68" i="68" s="1"/>
  <c r="M68" i="68" s="1"/>
  <c r="F67" i="68"/>
  <c r="O67" i="68" s="1"/>
  <c r="D67" i="68"/>
  <c r="G67" i="68" s="1"/>
  <c r="I67" i="68" s="1"/>
  <c r="A66" i="68"/>
  <c r="L66" i="68" s="1"/>
  <c r="C61" i="68"/>
  <c r="D60" i="68"/>
  <c r="D61" i="68" s="1"/>
  <c r="C47" i="68"/>
  <c r="D46" i="68"/>
  <c r="D47" i="68" s="1"/>
  <c r="O42" i="68"/>
  <c r="G42" i="68"/>
  <c r="I42" i="68" s="1"/>
  <c r="M42" i="68" s="1"/>
  <c r="A41" i="68"/>
  <c r="O40" i="68"/>
  <c r="G40" i="68"/>
  <c r="I40" i="68" s="1"/>
  <c r="C34" i="68"/>
  <c r="D33" i="68"/>
  <c r="O29" i="68"/>
  <c r="G29" i="68"/>
  <c r="I29" i="68" s="1"/>
  <c r="C23" i="68"/>
  <c r="D22" i="68"/>
  <c r="A21" i="68"/>
  <c r="O18" i="68"/>
  <c r="G18" i="68"/>
  <c r="I18" i="68" s="1"/>
  <c r="M18" i="68" s="1"/>
  <c r="A17" i="68"/>
  <c r="O16" i="68"/>
  <c r="G16" i="68"/>
  <c r="I16" i="68" s="1"/>
  <c r="L15" i="68"/>
  <c r="C10" i="68"/>
  <c r="D9" i="68"/>
  <c r="D10" i="68" s="1"/>
  <c r="E8" i="68"/>
  <c r="G401" i="58"/>
  <c r="I401" i="58" s="1"/>
  <c r="M401" i="58" s="1"/>
  <c r="B17" i="53"/>
  <c r="I491" i="58"/>
  <c r="I478" i="58"/>
  <c r="M478" i="58" s="1"/>
  <c r="I477" i="58"/>
  <c r="M477" i="58" s="1"/>
  <c r="G137" i="58"/>
  <c r="N4" i="66"/>
  <c r="Q4" i="66" s="1"/>
  <c r="P4" i="66"/>
  <c r="N3" i="66"/>
  <c r="P3" i="66"/>
  <c r="O137" i="58"/>
  <c r="I137" i="58"/>
  <c r="M137" i="58" s="1"/>
  <c r="I4" i="66"/>
  <c r="I5" i="66"/>
  <c r="I6" i="66"/>
  <c r="I7" i="66"/>
  <c r="I8" i="66"/>
  <c r="I9" i="66"/>
  <c r="I10" i="66"/>
  <c r="I11" i="66"/>
  <c r="I12" i="66"/>
  <c r="I13" i="66"/>
  <c r="I14" i="66"/>
  <c r="I15" i="66"/>
  <c r="I16" i="66"/>
  <c r="I17" i="66"/>
  <c r="I18" i="66"/>
  <c r="I19" i="66"/>
  <c r="I3" i="66"/>
  <c r="G4" i="66"/>
  <c r="G5" i="66"/>
  <c r="G6" i="66"/>
  <c r="G7" i="66"/>
  <c r="G8" i="66"/>
  <c r="G9" i="66"/>
  <c r="G10" i="66"/>
  <c r="G11" i="66"/>
  <c r="G12" i="66"/>
  <c r="G13" i="66"/>
  <c r="G14" i="66"/>
  <c r="G15" i="66"/>
  <c r="G16" i="66"/>
  <c r="G17" i="66"/>
  <c r="G18" i="66"/>
  <c r="G19" i="66"/>
  <c r="G3" i="66"/>
  <c r="F93" i="58"/>
  <c r="G463" i="58"/>
  <c r="I463" i="58" s="1"/>
  <c r="M463" i="58" s="1"/>
  <c r="O438" i="58"/>
  <c r="O269" i="58"/>
  <c r="G269" i="58"/>
  <c r="I269" i="58" s="1"/>
  <c r="G246" i="58"/>
  <c r="I246" i="58" s="1"/>
  <c r="O232" i="58"/>
  <c r="G232" i="58"/>
  <c r="I232" i="58" s="1"/>
  <c r="O220" i="58"/>
  <c r="G220" i="58"/>
  <c r="I220" i="58" s="1"/>
  <c r="M220" i="58" s="1"/>
  <c r="O219" i="58"/>
  <c r="G219" i="58"/>
  <c r="I219" i="58" s="1"/>
  <c r="F208" i="58"/>
  <c r="O195" i="58"/>
  <c r="G195" i="58"/>
  <c r="I195" i="58" s="1"/>
  <c r="D180" i="58"/>
  <c r="G180" i="58" s="1"/>
  <c r="I180" i="58" s="1"/>
  <c r="M180" i="58" s="1"/>
  <c r="O180" i="58"/>
  <c r="C392" i="58"/>
  <c r="O184" i="58"/>
  <c r="G184" i="58"/>
  <c r="I184" i="58" s="1"/>
  <c r="M184" i="58" s="1"/>
  <c r="O179" i="58"/>
  <c r="G179" i="58"/>
  <c r="I179" i="58" s="1"/>
  <c r="M179" i="58" s="1"/>
  <c r="G183" i="58"/>
  <c r="I183" i="58" s="1"/>
  <c r="G182" i="58"/>
  <c r="I182" i="58" s="1"/>
  <c r="B35" i="53"/>
  <c r="O183" i="58"/>
  <c r="M183" i="58"/>
  <c r="O182" i="58"/>
  <c r="M182" i="58"/>
  <c r="F402" i="58"/>
  <c r="O402" i="58" s="1"/>
  <c r="D402" i="58"/>
  <c r="A399" i="58"/>
  <c r="L397" i="58" s="1"/>
  <c r="A397" i="58"/>
  <c r="F387" i="58"/>
  <c r="O164" i="58"/>
  <c r="L81" i="58"/>
  <c r="G375" i="58"/>
  <c r="I375" i="58"/>
  <c r="O375" i="58"/>
  <c r="A374" i="58"/>
  <c r="L374" i="58" s="1"/>
  <c r="D68" i="58"/>
  <c r="A371" i="58"/>
  <c r="A369" i="58"/>
  <c r="O364" i="58"/>
  <c r="G364" i="58"/>
  <c r="I364" i="58" s="1"/>
  <c r="M364" i="58" s="1"/>
  <c r="D67" i="58"/>
  <c r="G67" i="58" s="1"/>
  <c r="O363" i="58"/>
  <c r="G363" i="58"/>
  <c r="I363" i="58" s="1"/>
  <c r="M363" i="58" s="1"/>
  <c r="F67" i="58"/>
  <c r="O362" i="58"/>
  <c r="A69" i="58"/>
  <c r="A66" i="58"/>
  <c r="L66" i="58" s="1"/>
  <c r="G362" i="58"/>
  <c r="I362" i="58" s="1"/>
  <c r="M362" i="58" s="1"/>
  <c r="A365" i="58"/>
  <c r="O361" i="58"/>
  <c r="G153" i="58"/>
  <c r="O152" i="58"/>
  <c r="O150" i="58"/>
  <c r="O151" i="58"/>
  <c r="A356" i="58"/>
  <c r="A370" i="58" s="1"/>
  <c r="O18" i="58"/>
  <c r="G18" i="58"/>
  <c r="I18" i="58" s="1"/>
  <c r="M18" i="58" s="1"/>
  <c r="A17" i="58"/>
  <c r="G54" i="58"/>
  <c r="A348" i="58"/>
  <c r="L348" i="58" s="1"/>
  <c r="A337" i="58"/>
  <c r="F336" i="58"/>
  <c r="F335" i="58"/>
  <c r="O335" i="58"/>
  <c r="O336" i="58"/>
  <c r="F334" i="58"/>
  <c r="O334" i="58" s="1"/>
  <c r="G333" i="58"/>
  <c r="G334" i="58"/>
  <c r="I334" i="58" s="1"/>
  <c r="M334" i="58" s="1"/>
  <c r="G335" i="58"/>
  <c r="I335" i="58" s="1"/>
  <c r="M335" i="58" s="1"/>
  <c r="G336" i="58"/>
  <c r="I336" i="58" s="1"/>
  <c r="O333" i="58"/>
  <c r="I333" i="58"/>
  <c r="M333" i="58"/>
  <c r="A331" i="58"/>
  <c r="G321" i="58"/>
  <c r="I321" i="58" s="1"/>
  <c r="M321" i="58" s="1"/>
  <c r="F321" i="58"/>
  <c r="O321" i="58" s="1"/>
  <c r="F320" i="58"/>
  <c r="O320" i="58" s="1"/>
  <c r="A319" i="58"/>
  <c r="L319" i="58" s="1"/>
  <c r="O293" i="58"/>
  <c r="G293" i="58"/>
  <c r="I293" i="58" s="1"/>
  <c r="M293" i="58" s="1"/>
  <c r="F292" i="58"/>
  <c r="O292" i="58" s="1"/>
  <c r="F281" i="58"/>
  <c r="O281" i="58" s="1"/>
  <c r="G281" i="58"/>
  <c r="A280" i="58"/>
  <c r="L280" i="58" s="1"/>
  <c r="F309" i="58"/>
  <c r="O309" i="58" s="1"/>
  <c r="G308" i="58"/>
  <c r="G150" i="58"/>
  <c r="I150" i="58" s="1"/>
  <c r="M150" i="58" s="1"/>
  <c r="G151" i="58"/>
  <c r="I151" i="58" s="1"/>
  <c r="M151" i="58" s="1"/>
  <c r="G152" i="58"/>
  <c r="I152" i="58" s="1"/>
  <c r="M152" i="58" s="1"/>
  <c r="I153" i="58"/>
  <c r="M153" i="58" s="1"/>
  <c r="A41" i="58"/>
  <c r="O464" i="58"/>
  <c r="O451" i="58"/>
  <c r="O450" i="58"/>
  <c r="O439" i="58"/>
  <c r="O427" i="58"/>
  <c r="O426" i="58"/>
  <c r="O398" i="58"/>
  <c r="O387" i="58"/>
  <c r="O386" i="58"/>
  <c r="O349" i="58"/>
  <c r="O305" i="58"/>
  <c r="O270" i="58"/>
  <c r="O258" i="58"/>
  <c r="O247" i="58"/>
  <c r="O246" i="58"/>
  <c r="O244" i="58"/>
  <c r="O233" i="58"/>
  <c r="O221" i="58"/>
  <c r="O208" i="58"/>
  <c r="O207" i="58"/>
  <c r="O196" i="58"/>
  <c r="O178" i="58"/>
  <c r="O177" i="58"/>
  <c r="O125" i="58"/>
  <c r="O123" i="58"/>
  <c r="O110" i="58"/>
  <c r="O108" i="58"/>
  <c r="O97" i="58"/>
  <c r="O95" i="58"/>
  <c r="O93" i="58"/>
  <c r="O82" i="58"/>
  <c r="O71" i="58"/>
  <c r="O70" i="58"/>
  <c r="O68" i="58"/>
  <c r="O67" i="58"/>
  <c r="O56" i="58"/>
  <c r="O55" i="58"/>
  <c r="O54" i="58"/>
  <c r="O53" i="58"/>
  <c r="O42" i="58"/>
  <c r="O40" i="58"/>
  <c r="O29" i="58"/>
  <c r="G29" i="58"/>
  <c r="I29" i="58" s="1"/>
  <c r="O16" i="58"/>
  <c r="J181" i="65"/>
  <c r="G464" i="58"/>
  <c r="G462" i="58"/>
  <c r="G451" i="58"/>
  <c r="G450" i="58"/>
  <c r="G439" i="58"/>
  <c r="G438" i="58"/>
  <c r="G427" i="58"/>
  <c r="G426" i="58"/>
  <c r="G415" i="58"/>
  <c r="G413" i="58"/>
  <c r="G402" i="58"/>
  <c r="I402" i="58" s="1"/>
  <c r="G398" i="58"/>
  <c r="G387" i="58"/>
  <c r="G386" i="58"/>
  <c r="G361" i="58"/>
  <c r="G349" i="58"/>
  <c r="G332" i="58"/>
  <c r="G320" i="58"/>
  <c r="G309" i="58"/>
  <c r="G306" i="58"/>
  <c r="G305" i="58"/>
  <c r="G292" i="58"/>
  <c r="G270" i="58"/>
  <c r="G258" i="58"/>
  <c r="G247" i="58"/>
  <c r="G244" i="58"/>
  <c r="G233" i="58"/>
  <c r="G221" i="58"/>
  <c r="G208" i="58"/>
  <c r="G207" i="58"/>
  <c r="G196" i="58"/>
  <c r="G178" i="58"/>
  <c r="G177" i="58"/>
  <c r="G164" i="58"/>
  <c r="G148" i="58"/>
  <c r="G136" i="58"/>
  <c r="G125" i="58"/>
  <c r="G123" i="58"/>
  <c r="G121" i="58"/>
  <c r="G110" i="58"/>
  <c r="G108" i="58"/>
  <c r="G97" i="58"/>
  <c r="G95" i="58"/>
  <c r="G93" i="58"/>
  <c r="G82" i="58"/>
  <c r="G71" i="58"/>
  <c r="G70" i="58"/>
  <c r="G68" i="58"/>
  <c r="G56" i="58"/>
  <c r="G55" i="58"/>
  <c r="G53" i="58"/>
  <c r="G42" i="58"/>
  <c r="G40" i="58"/>
  <c r="G16" i="58"/>
  <c r="F116" i="65"/>
  <c r="G116" i="65" s="1"/>
  <c r="F69" i="65"/>
  <c r="H69" i="65" s="1"/>
  <c r="F3" i="65"/>
  <c r="D23" i="68" l="1"/>
  <c r="D34" i="68"/>
  <c r="D115" i="68"/>
  <c r="D142" i="68"/>
  <c r="D201" i="68"/>
  <c r="D238" i="68"/>
  <c r="D252" i="68"/>
  <c r="D263" i="68"/>
  <c r="D391" i="68"/>
  <c r="D392" i="68" s="1"/>
  <c r="D417" i="68"/>
  <c r="D418" i="68" s="1"/>
  <c r="D441" i="68"/>
  <c r="D442" i="68" s="1"/>
  <c r="D466" i="68"/>
  <c r="D467" i="68" s="1"/>
  <c r="D494" i="68"/>
  <c r="D495" i="68" s="1"/>
  <c r="D87" i="68"/>
  <c r="D102" i="68"/>
  <c r="C104" i="68" s="1"/>
  <c r="D158" i="68"/>
  <c r="D171" i="68"/>
  <c r="D189" i="68"/>
  <c r="D213" i="68"/>
  <c r="D226" i="68"/>
  <c r="D275" i="68"/>
  <c r="D325" i="68"/>
  <c r="D326" i="68" s="1"/>
  <c r="D354" i="68"/>
  <c r="D355" i="68" s="1"/>
  <c r="C357" i="68" s="1"/>
  <c r="D368" i="68"/>
  <c r="D369" i="68" s="1"/>
  <c r="C371" i="68" s="1"/>
  <c r="D379" i="68"/>
  <c r="D380" i="68" s="1"/>
  <c r="D404" i="68"/>
  <c r="D405" i="68" s="1"/>
  <c r="D429" i="68"/>
  <c r="D430" i="68" s="1"/>
  <c r="D453" i="68"/>
  <c r="D454" i="68" s="1"/>
  <c r="I19" i="68"/>
  <c r="C12" i="68" s="1"/>
  <c r="M16" i="68"/>
  <c r="A32" i="68"/>
  <c r="A28" i="68"/>
  <c r="L28" i="68" s="1"/>
  <c r="E21" i="68"/>
  <c r="I30" i="68"/>
  <c r="C25" i="68" s="1"/>
  <c r="M29" i="68"/>
  <c r="I43" i="68"/>
  <c r="M40" i="68"/>
  <c r="C49" i="68"/>
  <c r="I72" i="68"/>
  <c r="C63" i="68" s="1"/>
  <c r="M67" i="68"/>
  <c r="I83" i="68"/>
  <c r="C78" i="68" s="1"/>
  <c r="M82" i="68"/>
  <c r="I98" i="68"/>
  <c r="C89" i="68" s="1"/>
  <c r="M93" i="68"/>
  <c r="I126" i="68"/>
  <c r="M121" i="68"/>
  <c r="I138" i="68"/>
  <c r="C132" i="68" s="1"/>
  <c r="M136" i="68"/>
  <c r="I154" i="68"/>
  <c r="M148" i="68"/>
  <c r="I167" i="68"/>
  <c r="M164" i="68"/>
  <c r="I185" i="68"/>
  <c r="M177" i="68"/>
  <c r="I197" i="68"/>
  <c r="M195" i="68"/>
  <c r="I209" i="68"/>
  <c r="M207" i="68"/>
  <c r="I222" i="68"/>
  <c r="M219" i="68"/>
  <c r="I234" i="68"/>
  <c r="M232" i="68"/>
  <c r="I248" i="68"/>
  <c r="M244" i="68"/>
  <c r="I259" i="68"/>
  <c r="M258" i="68"/>
  <c r="I271" i="68"/>
  <c r="M269" i="68"/>
  <c r="I282" i="68"/>
  <c r="C277" i="68" s="1"/>
  <c r="M281" i="68"/>
  <c r="I295" i="68"/>
  <c r="C288" i="68" s="1"/>
  <c r="M292" i="68"/>
  <c r="I310" i="68"/>
  <c r="C301" i="68" s="1"/>
  <c r="M305" i="68"/>
  <c r="I322" i="68"/>
  <c r="C316" i="68" s="1"/>
  <c r="M320" i="68"/>
  <c r="I339" i="68"/>
  <c r="C328" i="68" s="1"/>
  <c r="M332" i="68"/>
  <c r="C345" i="68"/>
  <c r="A390" i="68"/>
  <c r="E378" i="68"/>
  <c r="C382" i="68"/>
  <c r="I401" i="68"/>
  <c r="C394" i="68" s="1"/>
  <c r="C407" i="68"/>
  <c r="I426" i="68"/>
  <c r="C420" i="68" s="1"/>
  <c r="M424" i="68"/>
  <c r="I438" i="68"/>
  <c r="M436" i="68"/>
  <c r="I450" i="68"/>
  <c r="C444" i="68" s="1"/>
  <c r="M448" i="68"/>
  <c r="I463" i="68"/>
  <c r="C456" i="68" s="1"/>
  <c r="M460" i="68"/>
  <c r="I478" i="68"/>
  <c r="C469" i="68" s="1"/>
  <c r="M474" i="68"/>
  <c r="I503" i="68"/>
  <c r="C497" i="68" s="1"/>
  <c r="M501" i="68"/>
  <c r="I506" i="68"/>
  <c r="H506" i="68"/>
  <c r="G506" i="68"/>
  <c r="Q3" i="66"/>
  <c r="Q20" i="66" s="1"/>
  <c r="Q22" i="66" s="1"/>
  <c r="J3" i="66"/>
  <c r="J19" i="66"/>
  <c r="J18" i="66"/>
  <c r="J17" i="66"/>
  <c r="J16" i="66"/>
  <c r="J15" i="66"/>
  <c r="J14" i="66"/>
  <c r="J13" i="66"/>
  <c r="J12" i="66"/>
  <c r="J11" i="66"/>
  <c r="J10" i="66"/>
  <c r="J9" i="66"/>
  <c r="J8" i="66"/>
  <c r="J7" i="66"/>
  <c r="J6" i="66"/>
  <c r="J5" i="66"/>
  <c r="J4" i="66"/>
  <c r="M269" i="58"/>
  <c r="M195" i="58"/>
  <c r="M219" i="58"/>
  <c r="M232" i="58"/>
  <c r="H3" i="65"/>
  <c r="G3" i="65"/>
  <c r="H116" i="65"/>
  <c r="I116" i="65" s="1"/>
  <c r="G69" i="65"/>
  <c r="I69" i="65" s="1"/>
  <c r="I504" i="58"/>
  <c r="M504" i="58" s="1"/>
  <c r="I503" i="58"/>
  <c r="C497" i="58"/>
  <c r="I492" i="58"/>
  <c r="I490" i="58"/>
  <c r="C484" i="58"/>
  <c r="I479" i="58"/>
  <c r="M479" i="58" s="1"/>
  <c r="I476" i="58"/>
  <c r="C469" i="58"/>
  <c r="I464" i="58"/>
  <c r="M464" i="58" s="1"/>
  <c r="I462" i="58"/>
  <c r="C456" i="58"/>
  <c r="C508" i="58"/>
  <c r="D508" i="58" s="1"/>
  <c r="E508" i="58"/>
  <c r="I451" i="58"/>
  <c r="M451" i="58" s="1"/>
  <c r="I450" i="58"/>
  <c r="C444" i="58"/>
  <c r="C36" i="68" l="1"/>
  <c r="C117" i="68"/>
  <c r="G508" i="58"/>
  <c r="D9" i="58"/>
  <c r="D22" i="58"/>
  <c r="D33" i="58"/>
  <c r="C432" i="68"/>
  <c r="A403" i="68"/>
  <c r="E390" i="68"/>
  <c r="A45" i="68"/>
  <c r="A39" i="68"/>
  <c r="E32" i="68"/>
  <c r="J20" i="66"/>
  <c r="J22" i="66" s="1"/>
  <c r="I3" i="65"/>
  <c r="I181" i="65" s="1"/>
  <c r="D483" i="58"/>
  <c r="D484" i="58" s="1"/>
  <c r="I508" i="58"/>
  <c r="D496" i="58"/>
  <c r="D497" i="58" s="1"/>
  <c r="H508" i="58"/>
  <c r="I505" i="58"/>
  <c r="M503" i="58"/>
  <c r="I493" i="58"/>
  <c r="D455" i="58"/>
  <c r="D456" i="58" s="1"/>
  <c r="D443" i="58"/>
  <c r="D444" i="58" s="1"/>
  <c r="D468" i="58"/>
  <c r="D469" i="58" s="1"/>
  <c r="M476" i="58"/>
  <c r="I480" i="58"/>
  <c r="I465" i="58"/>
  <c r="C458" i="58" s="1"/>
  <c r="M462" i="58"/>
  <c r="I452" i="58"/>
  <c r="M450" i="58"/>
  <c r="A59" i="68" l="1"/>
  <c r="E45" i="68"/>
  <c r="A416" i="68"/>
  <c r="C499" i="58"/>
  <c r="C446" i="58"/>
  <c r="C471" i="58"/>
  <c r="C486" i="58"/>
  <c r="A428" i="68" l="1"/>
  <c r="A423" i="68"/>
  <c r="A74" i="68"/>
  <c r="E59" i="68"/>
  <c r="O833" i="59"/>
  <c r="O856" i="59"/>
  <c r="O810" i="59"/>
  <c r="O787" i="59"/>
  <c r="O764" i="59"/>
  <c r="B43" i="53"/>
  <c r="B42" i="53"/>
  <c r="B41" i="53"/>
  <c r="B40" i="53"/>
  <c r="B39" i="53"/>
  <c r="A85" i="68" l="1"/>
  <c r="E74" i="68"/>
  <c r="A440" i="68"/>
  <c r="A435" i="68"/>
  <c r="I332" i="58"/>
  <c r="I110" i="58"/>
  <c r="I54" i="58"/>
  <c r="M54" i="58" s="1"/>
  <c r="I55" i="58"/>
  <c r="M55" i="58" s="1"/>
  <c r="M53" i="58"/>
  <c r="M56" i="58"/>
  <c r="A452" i="68" l="1"/>
  <c r="A447" i="68"/>
  <c r="A100" i="68"/>
  <c r="A96" i="68"/>
  <c r="L92" i="68" s="1"/>
  <c r="A94" i="68"/>
  <c r="A92" i="68"/>
  <c r="E85" i="68"/>
  <c r="M308" i="58"/>
  <c r="M306" i="58"/>
  <c r="I125" i="58"/>
  <c r="M125" i="58" s="1"/>
  <c r="I123" i="58"/>
  <c r="M123" i="58" s="1"/>
  <c r="A113" i="68" l="1"/>
  <c r="E100" i="68"/>
  <c r="A465" i="68"/>
  <c r="A459" i="68"/>
  <c r="L15" i="58"/>
  <c r="E8" i="58"/>
  <c r="A480" i="68" l="1"/>
  <c r="A472" i="68"/>
  <c r="E465" i="68"/>
  <c r="A128" i="68"/>
  <c r="A124" i="68"/>
  <c r="L120" i="68" s="1"/>
  <c r="A122" i="68"/>
  <c r="A120" i="68"/>
  <c r="E113" i="68"/>
  <c r="M29" i="58"/>
  <c r="A140" i="68" l="1"/>
  <c r="A135" i="68"/>
  <c r="L135" i="68" s="1"/>
  <c r="E128" i="68"/>
  <c r="A493" i="68"/>
  <c r="E480" i="68"/>
  <c r="I30" i="58"/>
  <c r="I439" i="58"/>
  <c r="M439" i="58" s="1"/>
  <c r="I438" i="58"/>
  <c r="C432" i="58"/>
  <c r="I427" i="58"/>
  <c r="M427" i="58" s="1"/>
  <c r="I426" i="58"/>
  <c r="C420" i="58"/>
  <c r="I415" i="58"/>
  <c r="M415" i="58" s="1"/>
  <c r="I413" i="58"/>
  <c r="C407" i="58"/>
  <c r="M402" i="58"/>
  <c r="I398" i="58"/>
  <c r="I403" i="58" s="1"/>
  <c r="I387" i="58"/>
  <c r="M387" i="58" s="1"/>
  <c r="I386" i="58"/>
  <c r="C380" i="58"/>
  <c r="C369" i="58"/>
  <c r="I361" i="58"/>
  <c r="I365" i="58" s="1"/>
  <c r="C355" i="58"/>
  <c r="I349" i="58"/>
  <c r="M349" i="58" s="1"/>
  <c r="C343" i="58"/>
  <c r="M336" i="58"/>
  <c r="C326" i="58"/>
  <c r="I320" i="58"/>
  <c r="I322" i="58" s="1"/>
  <c r="C314" i="58"/>
  <c r="I309" i="58"/>
  <c r="M309" i="58" s="1"/>
  <c r="I305" i="58"/>
  <c r="C299" i="58"/>
  <c r="I292" i="58"/>
  <c r="C286" i="58"/>
  <c r="I281" i="58"/>
  <c r="C275" i="58"/>
  <c r="I270" i="58"/>
  <c r="I271" i="58" s="1"/>
  <c r="C263" i="58"/>
  <c r="I258" i="58"/>
  <c r="M258" i="58" s="1"/>
  <c r="C252" i="58"/>
  <c r="I247" i="58"/>
  <c r="M247" i="58" s="1"/>
  <c r="M246" i="58"/>
  <c r="I244" i="58"/>
  <c r="I248" i="58" s="1"/>
  <c r="C238" i="58"/>
  <c r="I233" i="58"/>
  <c r="C226" i="58"/>
  <c r="I221" i="58"/>
  <c r="I222" i="58" s="1"/>
  <c r="C213" i="58"/>
  <c r="I208" i="58"/>
  <c r="M208" i="58" s="1"/>
  <c r="I207" i="58"/>
  <c r="C201" i="58"/>
  <c r="I196" i="58"/>
  <c r="I197" i="58" s="1"/>
  <c r="C189" i="58"/>
  <c r="I178" i="58"/>
  <c r="M178" i="58" s="1"/>
  <c r="I177" i="58"/>
  <c r="C171" i="58"/>
  <c r="A21" i="58"/>
  <c r="A28" i="58" s="1"/>
  <c r="L28" i="58" s="1"/>
  <c r="I164" i="58"/>
  <c r="C158" i="58"/>
  <c r="I148" i="58"/>
  <c r="I154" i="58" s="1"/>
  <c r="C142" i="58"/>
  <c r="I136" i="58"/>
  <c r="I138" i="58" s="1"/>
  <c r="C130" i="58"/>
  <c r="I121" i="58"/>
  <c r="M121" i="58" s="1"/>
  <c r="C115" i="58"/>
  <c r="M110" i="58"/>
  <c r="I108" i="58"/>
  <c r="C102" i="58"/>
  <c r="I97" i="58"/>
  <c r="M97" i="58" s="1"/>
  <c r="I95" i="58"/>
  <c r="M95" i="58" s="1"/>
  <c r="I93" i="58"/>
  <c r="M93" i="58" s="1"/>
  <c r="C87" i="58"/>
  <c r="I82" i="58"/>
  <c r="M82" i="58" s="1"/>
  <c r="C76" i="58"/>
  <c r="I71" i="58"/>
  <c r="M71" i="58" s="1"/>
  <c r="I70" i="58"/>
  <c r="M70" i="58" s="1"/>
  <c r="I68" i="58"/>
  <c r="M68" i="58" s="1"/>
  <c r="I67" i="58"/>
  <c r="C61" i="58"/>
  <c r="C47" i="58"/>
  <c r="I42" i="58"/>
  <c r="M42" i="58" s="1"/>
  <c r="I40" i="58"/>
  <c r="C34" i="58"/>
  <c r="C23" i="58"/>
  <c r="I16" i="58"/>
  <c r="I19" i="58" s="1"/>
  <c r="C10" i="58"/>
  <c r="D212" i="58"/>
  <c r="B7" i="53"/>
  <c r="B8" i="53"/>
  <c r="B9" i="53"/>
  <c r="B10" i="53"/>
  <c r="B11" i="53"/>
  <c r="B12" i="53"/>
  <c r="B13" i="53"/>
  <c r="B14" i="53"/>
  <c r="B15" i="53"/>
  <c r="B16" i="53"/>
  <c r="B18" i="53"/>
  <c r="B19" i="53"/>
  <c r="B20" i="53"/>
  <c r="B21" i="53"/>
  <c r="B22" i="53"/>
  <c r="B23" i="53"/>
  <c r="B24" i="53"/>
  <c r="B25" i="53"/>
  <c r="B26" i="53"/>
  <c r="B27" i="53"/>
  <c r="B28" i="53"/>
  <c r="B29" i="53"/>
  <c r="B30" i="53"/>
  <c r="B31" i="53"/>
  <c r="B32" i="53"/>
  <c r="B33" i="53"/>
  <c r="B34" i="53"/>
  <c r="B36" i="53"/>
  <c r="B37" i="53"/>
  <c r="B38" i="53"/>
  <c r="B6" i="53"/>
  <c r="O28" i="59"/>
  <c r="O51" i="59"/>
  <c r="O74" i="59"/>
  <c r="O97" i="59"/>
  <c r="O120" i="59"/>
  <c r="O143" i="59"/>
  <c r="O166" i="59"/>
  <c r="O189" i="59"/>
  <c r="O212" i="59"/>
  <c r="O235" i="59"/>
  <c r="O258" i="59"/>
  <c r="O281" i="59"/>
  <c r="O304" i="59"/>
  <c r="O327" i="59"/>
  <c r="O350" i="59"/>
  <c r="O373" i="59"/>
  <c r="O396" i="59"/>
  <c r="O419" i="59"/>
  <c r="O442" i="59"/>
  <c r="O465" i="59"/>
  <c r="O488" i="59"/>
  <c r="O511" i="59"/>
  <c r="O534" i="59"/>
  <c r="O557" i="59"/>
  <c r="O580" i="59"/>
  <c r="O603" i="59"/>
  <c r="O626" i="59"/>
  <c r="O649" i="59"/>
  <c r="O672" i="59"/>
  <c r="O695" i="59"/>
  <c r="O718" i="59"/>
  <c r="O741" i="59"/>
  <c r="O5" i="59"/>
  <c r="I209" i="58" l="1"/>
  <c r="A500" i="68"/>
  <c r="E493" i="68"/>
  <c r="A156" i="68"/>
  <c r="A149" i="68"/>
  <c r="A147" i="68"/>
  <c r="E140" i="68"/>
  <c r="M177" i="58"/>
  <c r="I185" i="58"/>
  <c r="M233" i="58"/>
  <c r="I234" i="58"/>
  <c r="M361" i="58"/>
  <c r="I98" i="58"/>
  <c r="I295" i="58"/>
  <c r="I259" i="58"/>
  <c r="I351" i="58"/>
  <c r="M398" i="58"/>
  <c r="M196" i="58"/>
  <c r="M221" i="58"/>
  <c r="M375" i="58"/>
  <c r="M244" i="58"/>
  <c r="M413" i="58"/>
  <c r="I416" i="58"/>
  <c r="I126" i="58"/>
  <c r="A32" i="58"/>
  <c r="E21" i="58"/>
  <c r="M320" i="58"/>
  <c r="I83" i="58"/>
  <c r="I310" i="58"/>
  <c r="M305" i="58"/>
  <c r="I428" i="58"/>
  <c r="M426" i="58"/>
  <c r="I440" i="58"/>
  <c r="M438" i="58"/>
  <c r="I57" i="58"/>
  <c r="M386" i="58"/>
  <c r="I388" i="58"/>
  <c r="M148" i="58"/>
  <c r="I167" i="58"/>
  <c r="M164" i="58"/>
  <c r="I282" i="58"/>
  <c r="M281" i="58"/>
  <c r="I339" i="58"/>
  <c r="M332" i="58"/>
  <c r="M207" i="58"/>
  <c r="D213" i="58"/>
  <c r="M136" i="58"/>
  <c r="M270" i="58"/>
  <c r="M292" i="58"/>
  <c r="D188" i="58"/>
  <c r="D189" i="58" s="1"/>
  <c r="D46" i="58"/>
  <c r="D47" i="58" s="1"/>
  <c r="D379" i="58"/>
  <c r="D380" i="58" s="1"/>
  <c r="D157" i="58"/>
  <c r="D158" i="58" s="1"/>
  <c r="D298" i="58"/>
  <c r="D299" i="58" s="1"/>
  <c r="D285" i="58"/>
  <c r="D286" i="58" s="1"/>
  <c r="D86" i="58"/>
  <c r="D87" i="58" s="1"/>
  <c r="D262" i="58"/>
  <c r="D263" i="58" s="1"/>
  <c r="D170" i="58"/>
  <c r="D171" i="58" s="1"/>
  <c r="D60" i="58"/>
  <c r="D61" i="58" s="1"/>
  <c r="D114" i="58"/>
  <c r="D115" i="58" s="1"/>
  <c r="D368" i="58"/>
  <c r="D369" i="58" s="1"/>
  <c r="C371" i="58" s="1"/>
  <c r="I72" i="58"/>
  <c r="M67" i="58"/>
  <c r="I43" i="58"/>
  <c r="M40" i="58"/>
  <c r="I111" i="58"/>
  <c r="M108" i="58"/>
  <c r="M16" i="58"/>
  <c r="D23" i="58"/>
  <c r="D200" i="58"/>
  <c r="D201" i="58" s="1"/>
  <c r="D237" i="58"/>
  <c r="D238" i="58" s="1"/>
  <c r="D354" i="58"/>
  <c r="D355" i="58" s="1"/>
  <c r="C357" i="58" s="1"/>
  <c r="D431" i="58"/>
  <c r="D432" i="58" s="1"/>
  <c r="D10" i="58"/>
  <c r="D34" i="58"/>
  <c r="D75" i="58"/>
  <c r="D76" i="58" s="1"/>
  <c r="D141" i="58"/>
  <c r="D142" i="58" s="1"/>
  <c r="D225" i="58"/>
  <c r="D226" i="58" s="1"/>
  <c r="D251" i="58"/>
  <c r="D252" i="58" s="1"/>
  <c r="D274" i="58"/>
  <c r="D275" i="58" s="1"/>
  <c r="D391" i="58"/>
  <c r="D392" i="58" s="1"/>
  <c r="C394" i="58" s="1"/>
  <c r="D325" i="58"/>
  <c r="D326" i="58" s="1"/>
  <c r="D406" i="58"/>
  <c r="D407" i="58" s="1"/>
  <c r="D419" i="58"/>
  <c r="D420" i="58" s="1"/>
  <c r="D342" i="58"/>
  <c r="D343" i="58" s="1"/>
  <c r="D313" i="58"/>
  <c r="D314" i="58" s="1"/>
  <c r="D101" i="58"/>
  <c r="D102" i="58" s="1"/>
  <c r="D129" i="58"/>
  <c r="D130" i="58" s="1"/>
  <c r="C132" i="58" s="1"/>
  <c r="A169" i="68" l="1"/>
  <c r="A165" i="68"/>
  <c r="A163" i="68"/>
  <c r="E156" i="68"/>
  <c r="C288" i="58"/>
  <c r="C89" i="58"/>
  <c r="C117" i="58"/>
  <c r="A39" i="58"/>
  <c r="A45" i="58"/>
  <c r="C78" i="58"/>
  <c r="C409" i="58"/>
  <c r="C382" i="58"/>
  <c r="E32" i="58"/>
  <c r="C301" i="58"/>
  <c r="C316" i="58"/>
  <c r="C328" i="58"/>
  <c r="C434" i="58"/>
  <c r="C345" i="58"/>
  <c r="C12" i="58"/>
  <c r="C422" i="58"/>
  <c r="C277" i="58"/>
  <c r="C63" i="58"/>
  <c r="C49" i="58"/>
  <c r="C104" i="58"/>
  <c r="C36" i="58"/>
  <c r="C25" i="58"/>
  <c r="A187" i="68" l="1"/>
  <c r="A181" i="68"/>
  <c r="A176" i="68"/>
  <c r="E169" i="68"/>
  <c r="A52" i="58"/>
  <c r="L52" i="58" s="1"/>
  <c r="E45" i="58"/>
  <c r="A59" i="58"/>
  <c r="A199" i="68" l="1"/>
  <c r="A194" i="68"/>
  <c r="E187" i="68"/>
  <c r="E59" i="58"/>
  <c r="A74" i="58"/>
  <c r="A211" i="68" l="1"/>
  <c r="A206" i="68"/>
  <c r="E199" i="68"/>
  <c r="E74" i="58"/>
  <c r="A85" i="58"/>
  <c r="A224" i="68" l="1"/>
  <c r="A218" i="68"/>
  <c r="E211" i="68"/>
  <c r="E85" i="58"/>
  <c r="A96" i="58"/>
  <c r="L92" i="58" s="1"/>
  <c r="A94" i="58"/>
  <c r="A92" i="58"/>
  <c r="A100" i="58"/>
  <c r="A109" i="58" s="1"/>
  <c r="A236" i="68" l="1"/>
  <c r="A231" i="68"/>
  <c r="E224" i="68"/>
  <c r="E100" i="58"/>
  <c r="A107" i="58"/>
  <c r="L107" i="58" s="1"/>
  <c r="A113" i="58"/>
  <c r="A250" i="68" l="1"/>
  <c r="A245" i="68"/>
  <c r="A243" i="68"/>
  <c r="E236" i="68"/>
  <c r="A120" i="58"/>
  <c r="A124" i="58"/>
  <c r="L120" i="58" s="1"/>
  <c r="A122" i="58"/>
  <c r="E113" i="58"/>
  <c r="A128" i="58"/>
  <c r="A261" i="68" l="1"/>
  <c r="A257" i="68"/>
  <c r="E250" i="68"/>
  <c r="A140" i="58"/>
  <c r="A135" i="58"/>
  <c r="L135" i="58" s="1"/>
  <c r="E128" i="58"/>
  <c r="A273" i="68" l="1"/>
  <c r="A268" i="68"/>
  <c r="E261" i="68"/>
  <c r="A149" i="58"/>
  <c r="A147" i="58"/>
  <c r="E140" i="58"/>
  <c r="A156" i="58"/>
  <c r="A165" i="58" s="1"/>
  <c r="A284" i="68" l="1"/>
  <c r="E273" i="68"/>
  <c r="A169" i="58"/>
  <c r="E169" i="58" s="1"/>
  <c r="E156" i="58"/>
  <c r="A163" i="58"/>
  <c r="A187" i="58"/>
  <c r="A297" i="68" l="1"/>
  <c r="A312" i="68" s="1"/>
  <c r="A291" i="68"/>
  <c r="E284" i="68"/>
  <c r="A176" i="58"/>
  <c r="A181" i="58"/>
  <c r="A194" i="58"/>
  <c r="E187" i="58"/>
  <c r="A199" i="58"/>
  <c r="A324" i="68" l="1"/>
  <c r="E312" i="68"/>
  <c r="A206" i="58"/>
  <c r="E199" i="58"/>
  <c r="A211" i="58"/>
  <c r="A218" i="58" s="1"/>
  <c r="A341" i="68" l="1"/>
  <c r="E341" i="68" s="1"/>
  <c r="E324" i="68"/>
  <c r="E211" i="58"/>
  <c r="A224" i="58"/>
  <c r="A231" i="58" l="1"/>
  <c r="A236" i="58"/>
  <c r="E224" i="58"/>
  <c r="A245" i="58" l="1"/>
  <c r="A243" i="58"/>
  <c r="A250" i="58"/>
  <c r="A257" i="58" s="1"/>
  <c r="E236" i="58"/>
  <c r="A261" i="58" l="1"/>
  <c r="E250" i="58"/>
  <c r="A268" i="58" l="1"/>
  <c r="A273" i="58"/>
  <c r="E261" i="58"/>
  <c r="A284" i="58" l="1"/>
  <c r="E273" i="58"/>
  <c r="A291" i="58" l="1"/>
  <c r="A297" i="58"/>
  <c r="E284" i="58"/>
  <c r="A312" i="58" l="1"/>
  <c r="E312" i="58" l="1"/>
  <c r="A324" i="58"/>
  <c r="L331" i="58" s="1"/>
  <c r="E324" i="58" l="1"/>
  <c r="A341" i="58"/>
  <c r="L360" i="58" l="1"/>
  <c r="E341" i="58"/>
  <c r="E353" i="58" l="1"/>
  <c r="E367" i="58" l="1"/>
  <c r="A378" i="58"/>
  <c r="A385" i="58" l="1"/>
  <c r="L385" i="58" s="1"/>
  <c r="E378" i="58"/>
  <c r="A390" i="58"/>
  <c r="E390" i="58" l="1"/>
  <c r="A405" i="58"/>
  <c r="A414" i="58" l="1"/>
  <c r="A412" i="58"/>
  <c r="A418" i="58"/>
  <c r="A425" i="58" s="1"/>
  <c r="A430" i="58" l="1"/>
  <c r="A437" i="58" l="1"/>
  <c r="A442" i="58"/>
  <c r="A454" i="58" l="1"/>
  <c r="A449" i="58"/>
  <c r="A461" i="58" l="1"/>
  <c r="A467" i="58"/>
  <c r="A482" i="58" s="1"/>
  <c r="A489" i="58" l="1"/>
  <c r="A495" i="58"/>
  <c r="E482" i="58"/>
  <c r="A474" i="58"/>
  <c r="E467" i="58"/>
  <c r="A502" i="58" l="1"/>
  <c r="E495" i="58"/>
</calcChain>
</file>

<file path=xl/sharedStrings.xml><?xml version="1.0" encoding="utf-8"?>
<sst xmlns="http://schemas.openxmlformats.org/spreadsheetml/2006/main" count="4567" uniqueCount="657">
  <si>
    <r>
      <rPr>
        <b/>
        <sz val="18"/>
        <color rgb="FF000000"/>
        <rFont val="Calibri"/>
        <family val="2"/>
      </rPr>
      <t xml:space="preserve">cada contrato debe cumplir con alguno de estos códigos </t>
    </r>
    <r>
      <rPr>
        <b/>
        <u/>
        <sz val="18"/>
        <color rgb="FF000000"/>
        <rFont val="Calibri"/>
        <family val="2"/>
      </rPr>
      <t>72101500 -72141300-72153100-49221500</t>
    </r>
  </si>
  <si>
    <r>
      <rPr>
        <b/>
        <sz val="10"/>
        <color theme="1"/>
        <rFont val="Calibri"/>
        <family val="2"/>
        <charset val="1"/>
      </rPr>
      <t xml:space="preserve">OBJETO: </t>
    </r>
    <r>
      <rPr>
        <b/>
        <sz val="10"/>
        <rFont val="Calibri"/>
        <family val="2"/>
      </rPr>
      <t>“CONTRATAR A PRECIOS UNITARIOS FIJOS LAS OBRAS NECESARIAS PARA LA CONSTRUCCIÓN DEL PARQUE VECINAL0 IDENTIFICADO CON0 CÓDIGO IDRD 06-061 DENOMINADO URBANIZACIÓN EL TUNAL II, UBICADO EN LA DIAGONAL 44 SUR No. 23B-01, DE LA LOCALIDAD DE TUNJUELITO EN LA CIUDAD DE BOGOTÁ D.C..”.</t>
    </r>
  </si>
  <si>
    <t>Duracion: 7 meses</t>
  </si>
  <si>
    <t>Experiencia en contratos, que incluyan actividades:</t>
  </si>
  <si>
    <t>EXPERIENCIA GENERAL</t>
  </si>
  <si>
    <t>|. CONSTRUCCIÓN Y/O RECONSTRUCCIÓN DE PARQUES  Ó ||. CONSTRUCCIÓN Y/O RECONSTRUCCIÓN DE ESPACIO PUBLICO                                                                                                                                                                                                           Nota 1: Para el caso de experiencia de ESPACIO PÚBLICO se excluyen de estos las vías destinadas al tránsito vehicular, así como la conservación y/o preservación de playas marítimas.
Nota 2: En el caso en el cual el proceso de selección contemple actividades de dotación de mobiliario, la experiencia válida aportada deberá acreditar en por lo menos uno (1) de los contratos actividades de suministro e instalación de mobiliario.</t>
  </si>
  <si>
    <t>PRESUPUESTO OFICIAL (COP)</t>
  </si>
  <si>
    <t>EXPERIENCIA ESPECIFICA</t>
  </si>
  <si>
    <t>PRESUPUESTO OFICIAL (SMMLV)</t>
  </si>
  <si>
    <t>Con la sumatoria de hasta máximo dos (2) de los contratos válidos aportados como experiencia general deben contemplar un área intervenida o construida sea igual o superior al (70%) del total de metros cuadrados del proceso de  selección, el cual corresponde a 3.816 m2.</t>
  </si>
  <si>
    <t>ACTIVIDAD SECUNDARIA</t>
  </si>
  <si>
    <t>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t>
  </si>
  <si>
    <t>NÚMERO DE CONTRATOS: C. El Proponente podrá acreditar la experiencia con mínimo uno (1) y máximo seis (6) contratos,
sin perjuicio de lo indicado para la acreditación de combinaciones de experiencia y la
acreditación de experiencia de los bienes o servicios adicionales a la obra pública de
infraestructura social, los cuales serán evaluados teniendo en cuenta la tabla establecida en
el numeral 3.5.7 del Pliego de Condiciones, así como el contenido contemplado en la matriz
de experiencia aplicable al proyecto de infraestructura social.</t>
  </si>
  <si>
    <t>CONDICIÓN 1:D.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t>
  </si>
  <si>
    <t>CONDICIÓN 2:A. En el Clasificador de Bienes y servicios, el segmento correspondiente para la clasificación de la experiencia es el segmento 72. (72101500 -72141300-72153100-49221500)</t>
  </si>
  <si>
    <t xml:space="preserve">CONDICIÓN 3: C. En caso de que la Entidad Estatal no solicite combinaciones de experiencia o experiencia
adicional por bienes o servicios ajenos a la infraestructura social, si el Proponente relaciona
o anexa más de seis (6) contratos en el Formato 3 - Experiencia, para efectos de evaluación
de la experiencia se tendrán en cuenta cómo máximo los seis (6) contratos aportados de
mayor valor. </t>
  </si>
  <si>
    <t>CONDICIÓN 4: D. Tratándose de Proponentes Plurales se tendrá en cuenta lo siguiente: i) uno de los integrantes debe aportar como mínimo el cincuenta por ciento (50 %) de la experiencia exigida; ii) los demás integrantes deben acreditar al menos el cinco por ciento (5 %) de la experiencia requerida; y iii) sin perjuicio de lo anterior, solo uno de los integrantes, si así lo considera pertinente, podrá no acreditar experiencia. En este último caso, el porcentaje de
participación del integrante que no aporta experiencia relacionada en la estructura plural no podrá superar el cinco por ciento (5 %). Estos porcentajes de experiencia mínima que cumplirán los integrantes del Proponente Plural basta acreditarlos con contratos que cumplan con el requisito de experiencia general exigida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3.5.7</t>
  </si>
  <si>
    <t>CONDICIÓN 5: F. Cuando el contrato que se pretende adjuntar como experiencia haya sido ejecutado en Consorcio o en Unión Temporal, el valor a considerar será el registrado en el RUP, o documento válido en caso de que el integrante no esté obligado a tener RUP. En estos casos, la experiencia efectivamente acreditada para el procedimiento de selección será la presentada multiplicada por el porcentaje de participación que tuvo el integrante o los
integrantes que presentan la oferta.</t>
  </si>
  <si>
    <t>CONDICIÓN 6: H.  Cuando el contrato que se aporte para la experiencia haya sido ejecutado por un Consorcio o una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de la Unión Temporal que ejecutaron el Contrato y que están participando en el presente Proceso de Contratación.</t>
  </si>
  <si>
    <t>FONDO DE DESARROLLO LOCAL DE TUNJUELITO</t>
  </si>
  <si>
    <t>FDLT-LP-004-2022</t>
  </si>
  <si>
    <t xml:space="preserve">No. </t>
  </si>
  <si>
    <t>NOMBRE DEL OFERENTE</t>
  </si>
  <si>
    <t>REPRESENTANTE LEGAL</t>
  </si>
  <si>
    <t>TIPO DE OFERENTE</t>
  </si>
  <si>
    <t>OFERENTE PLURAL</t>
  </si>
  <si>
    <t>OBSERVACIONES</t>
  </si>
  <si>
    <t xml:space="preserve">Número de
Integrantes </t>
  </si>
  <si>
    <t>INTEGRANTE 1</t>
  </si>
  <si>
    <t>INTEGRANTE 2</t>
  </si>
  <si>
    <t>INTEGRANTE 3</t>
  </si>
  <si>
    <t>INTEGRANTE 4</t>
  </si>
  <si>
    <t>INTEGRANTE 5</t>
  </si>
  <si>
    <t>NOMBRE COMPLETO</t>
  </si>
  <si>
    <t>C.C.</t>
  </si>
  <si>
    <t>Nombre Completo</t>
  </si>
  <si>
    <t>Tipo
Identificación</t>
  </si>
  <si>
    <t>Número Identificación</t>
  </si>
  <si>
    <t>% Participación</t>
  </si>
  <si>
    <t>CONSORCIO ESTRUCTURAS Y OBRAS</t>
  </si>
  <si>
    <t>HORACIO OSPINA REYES</t>
  </si>
  <si>
    <t>Consorcio</t>
  </si>
  <si>
    <t>ESTRUCTURAS DE CONCRETO S.A.</t>
  </si>
  <si>
    <t>ESTRUCTURAS DE HORMIGON LTDA</t>
  </si>
  <si>
    <t>OBRAS LTDA</t>
  </si>
  <si>
    <t>HAPIL INGENIERIA SAS</t>
  </si>
  <si>
    <t>LUIS CARLOS HANI PIRA</t>
  </si>
  <si>
    <t>Persona Jurídica</t>
  </si>
  <si>
    <t>CONSORCIO SAN FIORANO</t>
  </si>
  <si>
    <t>ISAIAS VARGAS GONZALEZ</t>
  </si>
  <si>
    <t>JOHN EDISON JORDAN TEJADA</t>
  </si>
  <si>
    <t>Persona Natural</t>
  </si>
  <si>
    <t>INVERSIONES GUERFOR S.A.S</t>
  </si>
  <si>
    <t>OSCAR HERNANDO GUERRERO PIÑEROS</t>
  </si>
  <si>
    <t>NIT</t>
  </si>
  <si>
    <t>860510142-6</t>
  </si>
  <si>
    <t>CONSORCIO PARQUES C&amp;A</t>
  </si>
  <si>
    <t>INGRID NATHALI TORRES CORTES</t>
  </si>
  <si>
    <t>AGORASPORT SA SUCURSAL COLOMBIA</t>
  </si>
  <si>
    <t>900.513.058-3</t>
  </si>
  <si>
    <t>INGENIERIA, CONSULTORIA, SUMINISTROS Y SERVICIOS INTEGRALES S.A.S</t>
  </si>
  <si>
    <t>900819482-8</t>
  </si>
  <si>
    <t>UNION TEMPORAL TUNAL 2022</t>
  </si>
  <si>
    <t>JAIR ERNESTO JULIO COVILLA</t>
  </si>
  <si>
    <t>Unión Temporal</t>
  </si>
  <si>
    <t>ASOCIACION DE MUNICIPIOS DE LA SUBREGION CIENAGA GRANDE DE SANTAMARTA“ASOCIENAGA”</t>
  </si>
  <si>
    <t>819.000.599-0</t>
  </si>
  <si>
    <t>CONSTRUCTORA NASAJHI S.A.S</t>
  </si>
  <si>
    <t>900.546.349-3</t>
  </si>
  <si>
    <t>CONSORCIO TUNJUELO 2022</t>
  </si>
  <si>
    <t>EDILBERTO MATEUS ALVAREZ</t>
  </si>
  <si>
    <t>JOHN WILLIAM CASALLAS JURADO</t>
  </si>
  <si>
    <t>EDILEBERTO MATEUS ALVAREZ</t>
  </si>
  <si>
    <t>PROCIVIN S.A.S</t>
  </si>
  <si>
    <t>900961137-8</t>
  </si>
  <si>
    <t>CONSORCIO INGENIERÍA I</t>
  </si>
  <si>
    <t>JAIME HERRERA OSORIO</t>
  </si>
  <si>
    <t>IC INGENIEROS CONSTRUCTORES SAS</t>
  </si>
  <si>
    <t>INGASI SAS</t>
  </si>
  <si>
    <t>UNIÓN TEMPORAL BCC PARQUES BOGOTA 2022</t>
  </si>
  <si>
    <t>RAUL ERNESTO ARANGO YEPES</t>
  </si>
  <si>
    <t>Construlinea Ingeniería S.A.S</t>
  </si>
  <si>
    <t>901.577.103 - 5</t>
  </si>
  <si>
    <t>Braycon Ingeniería S.A.S</t>
  </si>
  <si>
    <t>901.373.473 - 9</t>
  </si>
  <si>
    <t>Carlos Arturo Arango Salazar</t>
  </si>
  <si>
    <t>LAM CONSTRUCCIONES S.A.S</t>
  </si>
  <si>
    <t>JAIRO VILLAMIZAR SALCEDO</t>
  </si>
  <si>
    <t>UNION TEMPORAL PARQUE TUNAL II</t>
  </si>
  <si>
    <t>OLGA LUCIA GOMEZ</t>
  </si>
  <si>
    <t>VAREGO SAS</t>
  </si>
  <si>
    <t>900.388.354-2</t>
  </si>
  <si>
    <t>EQUIPOS Y CONSTRUCCIONES VAREGO SAS</t>
  </si>
  <si>
    <t>800.229.583-9</t>
  </si>
  <si>
    <t>CONSORCIO UNAL AVL-DHE</t>
  </si>
  <si>
    <t>DIEGO ARMAN CALLEJAS ROCHA</t>
  </si>
  <si>
    <t>1,063,486,876</t>
  </si>
  <si>
    <t>AV&amp;L INGENIERIA SAS</t>
  </si>
  <si>
    <t>901.273.116-5</t>
  </si>
  <si>
    <t>DHE INGENIERIA SAS</t>
  </si>
  <si>
    <t>901.394.545-0</t>
  </si>
  <si>
    <t>CONSORCIO VALHER</t>
  </si>
  <si>
    <t>WILLIAM HENRY GUEVARA TORRES</t>
  </si>
  <si>
    <t>CONSTRUCTORA VALHER SAS</t>
  </si>
  <si>
    <t>900.053.011-3</t>
  </si>
  <si>
    <t>MAGDA HEYNNER UMAÑA TORRES</t>
  </si>
  <si>
    <t>PAVIMENTOS TECNICOS SAS</t>
  </si>
  <si>
    <t>JULIAN ANDRES SANTANA LEON</t>
  </si>
  <si>
    <t>800.185.572-7</t>
  </si>
  <si>
    <t>GESTION RURAL Y URBANA SAS</t>
  </si>
  <si>
    <t>GILDARDO CASTILLO SANCHEZ</t>
  </si>
  <si>
    <t>830.128.894-1</t>
  </si>
  <si>
    <t>ESTUDIOS E INGENIERIA SAS</t>
  </si>
  <si>
    <t>IVAN ALONSO PARDO AVILA</t>
  </si>
  <si>
    <t>900.351.236-1</t>
  </si>
  <si>
    <t>UNIOBRAS SAS</t>
  </si>
  <si>
    <t>JOSE ARVEY FORERO SOTO</t>
  </si>
  <si>
    <t>900.104.795-9</t>
  </si>
  <si>
    <t>CONSORCIO MRTITANIUM</t>
  </si>
  <si>
    <t>HECTOR ENRIQUE MALDONADO BARRIOS</t>
  </si>
  <si>
    <t>GRUPO TITANIUM SAS</t>
  </si>
  <si>
    <t>900.749.719-7</t>
  </si>
  <si>
    <t>MR GROUP COL SAS</t>
  </si>
  <si>
    <t>901.187.401-1</t>
  </si>
  <si>
    <t>MAMUT ACERO Y CONCRETO SAS</t>
  </si>
  <si>
    <t>JUAN JOSE GONZALEZ VILLEGAS</t>
  </si>
  <si>
    <t>800.210.290-2</t>
  </si>
  <si>
    <t>PROYECTOS E INGENIERIA DE VIAS SAS-PROINVIAS SAS</t>
  </si>
  <si>
    <t>ANDREA LILIANA NAVARRO GARCIA</t>
  </si>
  <si>
    <t>901.008.925-2</t>
  </si>
  <si>
    <t>CARLOS ARTURO VERGARA NEGRETE</t>
  </si>
  <si>
    <t>CJS INGENIERIA SAS</t>
  </si>
  <si>
    <t xml:space="preserve">CARLOS HERNANDO SIERRA </t>
  </si>
  <si>
    <t>C.C</t>
  </si>
  <si>
    <t>CONSORCIO VECINAL GC</t>
  </si>
  <si>
    <t>OLGA LORENA PIEDRA CALLE</t>
  </si>
  <si>
    <t>CONSTRUCPIEDRA CIA LTDA</t>
  </si>
  <si>
    <t>900.303.418-0</t>
  </si>
  <si>
    <t>GERMINAR PROYECTOS S.A.S.</t>
  </si>
  <si>
    <t>901.194.419-2</t>
  </si>
  <si>
    <t>BYR CONSTRUCCIONES SAS</t>
  </si>
  <si>
    <t>GEOVANNY ALEXANDER PAEZ HERNANDEZ</t>
  </si>
  <si>
    <t>CONSORCIO PANORAMA</t>
  </si>
  <si>
    <t>LUIS FERNANDO SALGADO ARENAS</t>
  </si>
  <si>
    <t>INCIVIAS SAS</t>
  </si>
  <si>
    <t xml:space="preserve">800.011.687-9 </t>
  </si>
  <si>
    <t>ID SAS</t>
  </si>
  <si>
    <t>830.007.560-6</t>
  </si>
  <si>
    <t xml:space="preserve">UNIOBRAS DEL ORIENTE SAS </t>
  </si>
  <si>
    <t>MIRIAM LUZ GUTIERREZ CORREA</t>
  </si>
  <si>
    <t>CONSORCIO TUNAL CL</t>
  </si>
  <si>
    <t>MARIA PAULA GONZALEZ BOZZI</t>
  </si>
  <si>
    <t xml:space="preserve">MAURICIO RAFAEL PABA PINZON </t>
  </si>
  <si>
    <t>CONSORCIO CDJ 05</t>
  </si>
  <si>
    <t>WILLIAM AUGUSTO ACOSTA LÓPEZ</t>
  </si>
  <si>
    <t>WILLIAMS.CO S.A.S.</t>
  </si>
  <si>
    <t>900101834-4</t>
  </si>
  <si>
    <t>CDJ GROUP S.A.S</t>
  </si>
  <si>
    <t>901.053.612-3</t>
  </si>
  <si>
    <t>CONSORCIO PARQUES INLF</t>
  </si>
  <si>
    <t>ALEXANDER PATIÑO TORRES</t>
  </si>
  <si>
    <t xml:space="preserve">INCIVIL PRO SAS </t>
  </si>
  <si>
    <t>900,604010-1</t>
  </si>
  <si>
    <t>LUFSACIVIL SAS</t>
  </si>
  <si>
    <t>901.407.586-0</t>
  </si>
  <si>
    <t>CONSORCIO CONSTRUC. PARQUE TUNAL II</t>
  </si>
  <si>
    <t>JORGE ANDRES PULIDO OSPINA</t>
  </si>
  <si>
    <t>GERMAN RAMIREZ BARBOSA</t>
  </si>
  <si>
    <t>LYD PROYECTOS S.A.S</t>
  </si>
  <si>
    <t>900.311.811-6</t>
  </si>
  <si>
    <t>CONSORCIO TUNALITO</t>
  </si>
  <si>
    <t>DIEGO FERNANDO SIERRA GARCIA</t>
  </si>
  <si>
    <t>INGENIERIA RYD SAS</t>
  </si>
  <si>
    <t>901499915-4</t>
  </si>
  <si>
    <t>MAZ INTERVENTORES Y 
CONSULTORES SAS</t>
  </si>
  <si>
    <t>901361107-6</t>
  </si>
  <si>
    <t>CONSORCIO EL TUNAL V4G</t>
  </si>
  <si>
    <t>CRISTIAN MATEUS ACEVEDO</t>
  </si>
  <si>
    <t>VEROCO INGENIERIA S.A.S</t>
  </si>
  <si>
    <t>804001081-8</t>
  </si>
  <si>
    <t>4G CONTRATISTAS SAS</t>
  </si>
  <si>
    <t>901413698-1</t>
  </si>
  <si>
    <t>PANAM INGENIEROS SAS</t>
  </si>
  <si>
    <t>JAIME ANDRES SILVA MATAMOROS</t>
  </si>
  <si>
    <t>900.511.471-3</t>
  </si>
  <si>
    <t>CONSORCIO TUNJUELITO VHJ</t>
  </si>
  <si>
    <t>CRISTIAN ADOLFO NEIRA RUBIANO</t>
  </si>
  <si>
    <t>VERTICES INGENIERIA S.A.S</t>
  </si>
  <si>
    <t>900165937-9</t>
  </si>
  <si>
    <t>HINCA S.A.S</t>
  </si>
  <si>
    <t>901274445-8</t>
  </si>
  <si>
    <t>JEFFRY ALEJANDRO 
ASCENCIO MONTENEGRO  (jema ingenieros)</t>
  </si>
  <si>
    <t>1110497559-8</t>
  </si>
  <si>
    <t>CONSORCIO PARQUE VECINAL 2022</t>
  </si>
  <si>
    <t>Santiago Andrés Sánchez Mantilla</t>
  </si>
  <si>
    <t>IMCCA SAS</t>
  </si>
  <si>
    <t>901538098-1</t>
  </si>
  <si>
    <t>FF CONSTRUCCIONES Y CONSULTORIA SAS</t>
  </si>
  <si>
    <t>901.382.452-2</t>
  </si>
  <si>
    <t>MEGA ANDINA INVERSIONES SAS</t>
  </si>
  <si>
    <t>830.104.138-6</t>
  </si>
  <si>
    <t>CONSORCIO PARQUE CAIS2022</t>
  </si>
  <si>
    <t>ALVARO LUIS VILLANUEVA RIASCOS</t>
  </si>
  <si>
    <t>CONSTRUSOCIAL S.A.S</t>
  </si>
  <si>
    <t>819002537-3</t>
  </si>
  <si>
    <t>APIA PROYECTOS Y SOLUCIONES S.A.S</t>
  </si>
  <si>
    <t>900424836 -5</t>
  </si>
  <si>
    <t>INCOSS INGENIERIA SAS</t>
  </si>
  <si>
    <t>900810685 -5</t>
  </si>
  <si>
    <t>PHVA CONSTRUCTORES SAS</t>
  </si>
  <si>
    <t>KELY YICELA QUITIAN CHILA</t>
  </si>
  <si>
    <t>900386607-1</t>
  </si>
  <si>
    <t>REQUISITOS HABILITANTES TÉCNICOS</t>
  </si>
  <si>
    <t>CUMPLE</t>
  </si>
  <si>
    <t>NO CUMPLE</t>
  </si>
  <si>
    <t>NÚMERO DE CONTRATOS PRESENTADOS</t>
  </si>
  <si>
    <t>PRESUPUESTO OFICIAL EN SMMLV</t>
  </si>
  <si>
    <t>VALOR MÍNIMO A CERTIFICAR</t>
  </si>
  <si>
    <t>TERMINO DE EJECUCION EXIGIDO</t>
  </si>
  <si>
    <t>TOTAL SALARIOS MINIMOS ACREDITADOS</t>
  </si>
  <si>
    <t>CONDICIONES DE EXPERIENCIA</t>
  </si>
  <si>
    <t>CONDICION N°. 1 (VER TABLA AL FINAL DE LA HOJA)</t>
  </si>
  <si>
    <t>CONDICION N°. 2 (VER TABLA AL FINAL DE LA HOJA)</t>
  </si>
  <si>
    <t>CONDICION N°. 4 (VER TABLA AL FINAL DE LA HOJA)</t>
  </si>
  <si>
    <t>ACTIVIDAD PRINCIPAL
EXPERIENCIA GENERAL (PARQUES/ESPACIO PUBLICO)</t>
  </si>
  <si>
    <t>ACTIVIDAD PRINCIPAL
EXPERIENCIA ESPECÍFICA=AREA MAYOR A 70% DEL AREA= 2671,2 m2 MAX 2 CONTRATOS.</t>
  </si>
  <si>
    <t>ACTIVIDAD SECUNDARIA
EXPERIENCIA ESPECÍFICA: ZONAS VERDES Y/O URBANISMO Y/O PAISAJISMO Y/O PARQUES Y/O ESPACIO PUBLICO</t>
  </si>
  <si>
    <t>Observación y respuesta a observaciones</t>
  </si>
  <si>
    <t>Objeto del Contrato</t>
  </si>
  <si>
    <t>Entidad Contratante</t>
  </si>
  <si>
    <t>Valor Contrato</t>
  </si>
  <si>
    <t>Año de ejecución aportado</t>
  </si>
  <si>
    <t>Area intervenida(m2)</t>
  </si>
  <si>
    <t>Valor del Contrato en SMMLV</t>
  </si>
  <si>
    <t>Participación UT/CONSORCIO</t>
  </si>
  <si>
    <t>Participación en SMMLV</t>
  </si>
  <si>
    <t>Fecha de terminación del contrato aportado</t>
  </si>
  <si>
    <t>CODIGO UNSPSC
 SEGMENTOS (72101500 -72141300-72153100-49221500)</t>
  </si>
  <si>
    <t>PROPONENTE QUE APOTARTA EL 50% SMMLV(824.80)</t>
  </si>
  <si>
    <t>Valor aportado</t>
  </si>
  <si>
    <t>ESTRUCTURAS DE HORMIGON LTDA ; OBRAS LTDA</t>
  </si>
  <si>
    <t>Area validada</t>
  </si>
  <si>
    <t>REALIZAR POR EL SISTEMA DE PRECIOS UNITARIOS FIJOS SIN FORMULA DE AJUSTE LA CONSTRUCCIÓN DE LAS OBRAS DE LA CUARTA ETAPA DEL PARQUE ZONAL FONTANAR DEL RIO EN BOGOTÁ D.C.</t>
  </si>
  <si>
    <t>IDRD</t>
  </si>
  <si>
    <t>La certificación presentada cumple con los requerimientos del pliego de condiciones, sin embargo no se evidenció instalación de mobiliario.</t>
  </si>
  <si>
    <t>CONSTRUCION DE AULAS PARA EL JARDIN INFANTIL, LABORATORIO DE CIENCIAS INTEGRADAS, PRQUE INFANTIL, CANCHA MULTIPLE Y SISTEMA DE CALEFACCION SOLAR</t>
  </si>
  <si>
    <t>PROVINCIA NUESTRA SEÑORA DE GRACIAS DE COLOMBIA</t>
  </si>
  <si>
    <t>72101500 -72141300-72153100-49221500</t>
  </si>
  <si>
    <t>La certificacion presentada cumple con la experiencia general y además CONTIENE MOBILIARIO. Solamente se tuvo en cuenta el presupuesto del parque realizado. Cumple con experiencia secundaria. La experiencia especifica se cumple con el anterior cotrato, por lo tanto no es necesaria validarla para esta certificación.</t>
  </si>
  <si>
    <t>TOTALES</t>
  </si>
  <si>
    <t>EXPERIENCIA DEL PROPONENTE</t>
  </si>
  <si>
    <t>CONTRATAR LA EJECUCIÓN DE ESTUDIOS, DISEÑOS, Y CONSTRUCCIÓN DE LAS OBRAS PRIORIZADAS, INCLUIDO EL ACOMPAÑAMIENTO SOCIAL NECESARIO DEL PROYECTO MEJORAMIENTO INTEGRAL DE LOS BARRIOS, DE LAS COMUNAS 2 Y 3, DE LA CIUDAD DE NEIVA, DEPARTAMENTO DE HUILA</t>
  </si>
  <si>
    <t>FIDUCIARIA LA PREVISORA SA</t>
  </si>
  <si>
    <t>721531</t>
  </si>
  <si>
    <t>ACTIVIDAD PRINCIPAL
EXPERIENCIA ESPECÍFICA=MAYOR A 70% DEL AREA= 2671,2 m2 MAX 2 CONTRATOS.</t>
  </si>
  <si>
    <t>CONSTRUCCION ADECUACION Y MEJORAMIENTO DE LA PLANTA FISICA DEL PARQUE RECREACIONAL LA MAGDALENA - MUNICIPIO DEL AGRADO - HUILA</t>
  </si>
  <si>
    <t>MUNICIPIO DEL AGRADO-HUILA</t>
  </si>
  <si>
    <t>72101500 -72141300-72153100</t>
  </si>
  <si>
    <t>El proponente cumple con los aspectos de experiencia general, especifica y secundaria.</t>
  </si>
  <si>
    <t>CONSTRUCCIÓN PARQUE RONDA SAN PEDRO EN EL MUNICIPIO DE EL AGRADO DEPARTAMENTO DEL HUILA - ETAPA II"</t>
  </si>
  <si>
    <t>72101500</t>
  </si>
  <si>
    <t xml:space="preserve"> INVERSIONES GUERFOR S.A.S </t>
  </si>
  <si>
    <t>CONTRATAR MEDIANTE EL SISTEMA DE PRECIOS UNITARIOS FIJOS, EL MANTENIMIENTO, ADECUACIÓN Y RECUPERACIÓN DE LA INFRAESTRUCTURA FÍSICA, ASÍ COMO EL SUMINISTRO E INSTALACIÓN DEL MOBILIARIO DE LOS PARQUES VECINALES Y DE BOLSILLO QUE HACEN PARTE DEL SISTEMA DISTRITAL DE PARQUES.” GRUPO 1</t>
  </si>
  <si>
    <t xml:space="preserve"> $ 5.858.976.013 </t>
  </si>
  <si>
    <t xml:space="preserve"> 72101500 -72141300-72153100-49221500 </t>
  </si>
  <si>
    <t>0,00 m2</t>
  </si>
  <si>
    <t>Para la experiencia general cumple según objeto reportado, sin embargo, las certificaciones aportadas no permite establecer el área intervenida para la actividad principal (experiencia especifica), igualmente, no se puede evidenciar las actividades ejecutadas en el contrato, para cumplir con la actividad secundaria.</t>
  </si>
  <si>
    <t>CONTRATAR MEDIANTE EL SISTEMA DE PRECIOS UNITARIOS FIJOS, EL MANTENIMIENTO, ADECUACIÓN Y RECUPERACIÓN DE LA INFRAESTRUCTURA FÍSICA, ASÍ COMO EL SUMINISTRO E INSTALACIÓN DEL MOBILIARIO DE LOS PARQUES VECINALES Y DE BOLSILLO QUE HACEN PARTE DEL SISTEMA DISTRITAL DE PARQUES.” GRUPO 2</t>
  </si>
  <si>
    <t xml:space="preserve"> $ 4.397.636.945 </t>
  </si>
  <si>
    <t>CONTRATAR MEDIANTE EL SISTEMA DE PRECIOS UNITARIOS FIJOS, EL MANTENIMIENTO, ADECUACIÓN Y RECUPERACIÓN DE LA INFRAESTRUCTURA FÍSICA, ASÍ COMO EL SUMINISTRO E INSTALACIÓN DEL MOBILIARIO DE LOS PARQUES VECINALES Y DE BOLSILLO QUE HACEN PARTE DEL SISTEMA DISTRITAL DE PARQUES.” GRUPO 3</t>
  </si>
  <si>
    <t xml:space="preserve"> $ 5.585.976.015 </t>
  </si>
  <si>
    <t xml:space="preserve"> ELABORACION DEL DIAGNÓSTICO Y EJECUCIÓN DE OBRAS DE REHABILITACIÓN Y MANTENIMIENTO DE LAS VÍAS PEATONALES SPRATT BIGHT Y GENNY BAY</t>
  </si>
  <si>
    <t>PATRIMONIO AUTONOMO FINDETER - ARCHIPIÉLAGO DE SAN ANDRÉS</t>
  </si>
  <si>
    <t xml:space="preserve"> $ 1.676.531.872 </t>
  </si>
  <si>
    <t>72101500 --72153100-49221500</t>
  </si>
  <si>
    <t>CONSTRUCCION PARQUE DEPORTIVO Y RECREATIVO LAS VEGAS-ZONA DE FUTBOL MELGAR (TOLIMA)</t>
  </si>
  <si>
    <t>ALCALDIA DE MELGAR</t>
  </si>
  <si>
    <t>La certificación cumple con todo lo enunciado. Presenta instalación de mobiliario. La certificación cumple con actividad principal general, actividad especifica y actividad secundaria.</t>
  </si>
  <si>
    <t>CONSTRUCCION COLISEO PARQUE LAS VEGAS ,CONSTRUCCION CUBIERTA Y ADECUACION POLIDEPORTIVO DEL BARRIO LA FLORIDA ,CONTRUCCION CUBIERTA Y ADECUACION DEL POLIDEPORTIVO DEL BARRIO ICACAL DEL MUNICIPIO DE MELGAR - TOLIMA.</t>
  </si>
  <si>
    <t>Unicamente se tuvieron en cuenta las actividades que tienen relación con espacio público y/o parques. La certificación cumple con experiencia general y con experiencia secundaria.</t>
  </si>
  <si>
    <t>CONSTRUCCION DE GIMNASIO AL AIRE LIBRE EN EL MUNICIPIO DE LOPEZ DE MICAY-DEPARTAMENTO DEL CAUCA</t>
  </si>
  <si>
    <t>MUNICIPIO DE LOPEZ DE MICAY</t>
  </si>
  <si>
    <t>La certificación cumple con todo lo enunciado. Presenta instalación de mobiliario. La certificación cumple con actividad principal general y actividad secundaria.</t>
  </si>
  <si>
    <t>CONSTRUCCION DE GIMNASIO BIOSALUDABLES EN DIFERENTES MUNICIPIOS DEL DEPARTAMENTO DEL HUILA</t>
  </si>
  <si>
    <t>INDERHUILA</t>
  </si>
  <si>
    <t>72101500 -72153100</t>
  </si>
  <si>
    <t>ASOCIACION DE MUNICIPIOS DE LA SUBREGION CIENAGA GRANDE DE SANTAMARTA “ASOCIENAGA”</t>
  </si>
  <si>
    <t>ADECUACION Y RECUPERACION
DEL PARQUE CENTRAL DEL
MUNICIPIO DE SALAMINA EN EL
DEPARTAMENTO DEL
MAGDALENA</t>
  </si>
  <si>
    <t>MUNICIPIO DE SALAMINA,MAGDALENA</t>
  </si>
  <si>
    <t>El proponente cumple con la actividad principal, cumple el área de la actividad especifica y además contempla actividades de paisajismo /urbanismo/ espacio publico segun pliego de condiciones. Las actividades de construcción de otros elementos los cuales funcionarán presentaciones o plazoletas, son tenidas en cuenta como actividades de espación publico, teniendo en cuenta que pertecene a un municipio como parque central.</t>
  </si>
  <si>
    <t xml:space="preserve">"CONTRATAR POR EL SISTEMA DE PRECIOS UNITARIOS
FIJOS, LAS OBRAS DE CONSTRUCCION Y/O
ADECUACION DE PARQUES EN LAS AREAS DE
MEJORAMIENTO INTEGRAL PRIORIZADAS POR LA SDHT
EN EL MARCO DEL CONVENIO INTERADMINISTRATIVO
N°2018(2017-IDRD) DEL 20 DE ABRIL DE 2015 CON
CARGO AL PROYECTO DE INVERSION 1082:
CONSTRUCCION Y ADECUACION DE PARQUES Y
EQUIPAMIENTO PARA TODOS"	</t>
  </si>
  <si>
    <t>La certificacion presenta mobiliario en su actividad principal, cumple con experiencia principal general  y especifica y contiene actividades de paisajismo y urbanismo .</t>
  </si>
  <si>
    <t>REALIZAR POR EL SISTEMA DE PRECIOS GLOBAL FIJO
LOS DISEÑOS Y ESTUDIOS Y POR EL SISTEMA DE
PRECIOS UNITARIOS FIJOS LA CONSTRUCCION DE
DIFERENTES PARQUES DE LA LOCALIDAD DE SUBA DE
BOGOTA</t>
  </si>
  <si>
    <t>REALIZAR LAS OBRAS DE CONSTRUCCION Y
ADECUACION DEL PARQUE ZONAL SIERRA MORENA,
LOCALIDAD DE CIUDAD BOLIVAR</t>
  </si>
  <si>
    <t>La certificacion presenta mobiliario y juegos en su actividad principal, cumple con experiencia principal general  y especifica y contiene actividades de paisajismo y urbanismo.</t>
  </si>
  <si>
    <t>#N/A</t>
  </si>
  <si>
    <t>El proponente no presenta el formato No 3 ni certificaciones o soportes asociados.</t>
  </si>
  <si>
    <t>REALIZAR LOS ESTUDIOS Y
DISEÑOS, Y LAS OBRAS DE  CONSTRUCCION
 DEL COMPONENTE DE MOVILIDAD Y
ESPACIO PUBLICO EN LOS
TERRITORIOS PRIORIZADOS POR
LA SECRETARIA DISTRITAL DEL
HABITAT LOTE 1 - IIM LA
MARIPOSA</t>
  </si>
  <si>
    <t>SECRETARIA DISTRITAL DEL HABITAT DE BOGOTA</t>
  </si>
  <si>
    <t>721413-</t>
  </si>
  <si>
    <t>La certificacion cumple con actividades general, actividad especifica y actividad secundaria. Solamente se tuvo en cuenta actividades de paisajismo, urbanismo, espacio publico y parques. Actividades como vias O señalización/semaforización que pertenecian a vias no se tuvieron en cuenta.</t>
  </si>
  <si>
    <t>RENOVACIÓN ARQUITECTONICA
Y PAISAJÍSTICA DEL PARQUE
PRINCIPAL DEL CORREGMIENTO
DE CHICORAL TOLIMA, EN EL
MUNICIPIO DE EL ESPINAL,
TOLIMA</t>
  </si>
  <si>
    <t>ALCALDIA MUNICIPAL DEL ESPINAL</t>
  </si>
  <si>
    <t>72101500-</t>
  </si>
  <si>
    <t xml:space="preserve">La certificacion cumple con actividades general, actividad especifica y actividad secundaria. Solamente se tuvo en cuenta actividades de paisajismo, urbanismo, espacio publico y parques. </t>
  </si>
  <si>
    <t>RENOVACIÓN ARQUITECTONICA
Y PAISAJÍSTICA DEL PARQUE
BOLÍVAR Y PARQUE
CASTAÑEDA DEL MUNICIPIO DEL
ESPINAL - DEPARTAMENTO DEL
TOLIMA</t>
  </si>
  <si>
    <t>72101500 -72141300</t>
  </si>
  <si>
    <t>La certificacion cumple con actividades general, actividad especifica y actividad secundaria. Solamente se tuvo en cuenta actividades de paisajismo, urbanismo, espacio publico y parques. Actividades como enchapes, vias, subestaciones no fueron tomadas.</t>
  </si>
  <si>
    <t>CONSTRUCCIÓN, ADECUACIÓN,
REHABILITACIÓN Y MANTENIMIENTO DEL PARQUE
GRANCOLOMBIANO UBICADO
EN EL MUNICIPIO DE VILLA DEL
ROSARIO - NORTE DE
SANTANDER, CON CARGO AL
CONTRATO INTERADMINISTRATIVO 1688
MINISTERIO DE CULTURA</t>
  </si>
  <si>
    <t>EMPRESA INMOBILIARIA Y DE SERVICIOS LOGISTICOS DE CUNDINAMARCA</t>
  </si>
  <si>
    <t>721015-</t>
  </si>
  <si>
    <t>La certificación present amobiliario tipo loseta, lo cual no aplica para la actividad de parques /espacio publico. Debido a la nota 2, de la actividad principal general, la experiencia debe contener actividades de mobiliario. Por otra parte, se contempla actividades de urbanismo. No se diferencian las actividades que solo conprenden obras de urbanismo/paisajismo/espacio publico y/o parques, debido  a que se presentan restauración de edificaciones, mantenimiento de cerramiento, entre otros. Se debe aclarar el presupuesto que corresponda según pliego de condiciones.</t>
  </si>
  <si>
    <t>CONSTRUCCIÓN OBRAS DE
URBANISMO PARA EL
CONJUNTO RESIDENCIAL
TORRES DE SEVILLA ETAPA DOS
UBICADO EN LA CARRERA 72
No. 152 B-59 BOGOTA D.C</t>
  </si>
  <si>
    <t>CONSTRUCTORA
KONSTRUKTEK SAS</t>
  </si>
  <si>
    <t>La certificación cumple con certificación de terceros según pliego de condiciones, adjuntando documentos requeridos en literal H, numeral 3.5.5. Las actividades generales cumplen con conformación de urbanismo y/o espacio publico. Contiene mobiliario.</t>
  </si>
  <si>
    <t>CONTRATAR POR EL SISTEMA DE PRECIOS UNITARIOS FIJOS SIN FORMULA DE REAJUSTE LAS OBRAS DE ESPACIO PUBLICO EN 
LOS BARRIOS LA FISCALA SECTOR FORTUNA, YOPAL PEDREGAL Y SAN JUAN DE USME DE LA LOCALIDAD DE USMR DE LA CIUDAD DE BOGOTA DC_x000D_</t>
  </si>
  <si>
    <t>FONDO DE DESARROLLO LOCAL DE USME_x000D_</t>
  </si>
  <si>
    <t>72101500 -72153100-49221500</t>
  </si>
  <si>
    <t>El Integrante Varego SAS no cumple con la experiencia especifica solicitada en M2, que debe ser superior al % del area a construir. Sin embargo se habilita al proponente poor contar con mas contratos que superan el area exigida al sumar 2 contratos</t>
  </si>
  <si>
    <t>Ejecucion de las obras para la rehabilitacion de zonas de ronda y zonas de manejo y preservación Ambiental del canal Rio Fucha Avd 27 a Carrera 50</t>
  </si>
  <si>
    <t>EMPRESA DE ACUEDUCTO Y ALCANTARILLADO DE BOGOTÁ - ESP</t>
  </si>
  <si>
    <t xml:space="preserve">Ejecucion para las obras para la rehabilitacion de zonas de ronda y zonas de manejo y preservación Ambiental del Sistema Ambiental del sistema : canal los Angeles canal Carmelo fase 2 Humedal Jaboque Sector Puerto Amor y Sector Canal Jaboque. Diseño arquitectónico y paisajístico del parque lineal Jaboque
</t>
  </si>
  <si>
    <t>Construccion Obras de rehabilitacion de zonas de ronda y zonas de manejo y preservacion ambiental del humedal Jaboque</t>
  </si>
  <si>
    <t>Contratar por el sistema de precios unitarios fijos, sin formula de ajuste, la construccion de las obras de la segunda etapa del parque zonal Tingua Tibanica</t>
  </si>
  <si>
    <t>INSTITUTO DISTRITAL DE RECREACION Y DEPORTE</t>
  </si>
  <si>
    <t>El integrante AV&amp;L INGENIERIA SAS del proponente Consorcio UNAL AVL-DHE aporta un solo contrato que cumple con todas las exigencias del pliego y tiene una participacion del 95% y habilita al proponente</t>
  </si>
  <si>
    <t>El integrante DHE INGENIERIA SAS del proponente Consorcio UNAL AVL-DHE no aporta  contrato y tiene una participacion del 5%.</t>
  </si>
  <si>
    <t>CONTRATAR MEDIANTE EL SISTEMA DE PRECIOS UNITARIOS FIJOS Y A MONTO AGOTABLE, EL SUMINISTRO E INSTALACIÓN DE MOBILIARIO URBANO, ASÍ COMO EL MANTENIMIENTO DE LA INFRAESTRUCTURA FÍSICA DE LOS PARQUES VECINALES Y DE BOLSILLO DE LA LOCALIDAD OCTAVA DE KENNEDY QUE CONFORMAN EL SISTEMA DISTRITAL DE PARQUES</t>
  </si>
  <si>
    <t>FONDO DE DESARROLLO LOCAL DE KENNEDY</t>
  </si>
  <si>
    <t>CONTRATAR LA EJECUCION DE OBRAS DE LAS INTERVENCIONES DE MEJORAMIENTO EN LAS AREAS PRIORIZADAS POR LA SECRETARIA EN EL MARCO DEL PLAN DE DESARROLLO DISTRITAL 2016-2020 "Bogota mejor para todos"</t>
  </si>
  <si>
    <t>SECRETARIA DISTRITAL DEL HABITAT</t>
  </si>
  <si>
    <t xml:space="preserve"> 72101500 -72141300-72153100</t>
  </si>
  <si>
    <t>REALIZAR POR EL SISTEMA DE PRECIOS UNITARIOS FIJOS SIN FORMULA DE REAJUSTE LA CONSTRUCCION DE LOS PARQUES VECINALES IDENTIFICADOS CON LOS CODIGOS 19-122, 19-210, 19-285 Y DE BOLSILLO IDENTIFICADO CON EL CODIGO 19-524 CONSORME A LOS ESTUDIOS Y DISEÑOS CON QUE CUENTA LA ALCALDIA LOCAL DE CIUDAD BOLIVAR</t>
  </si>
  <si>
    <t>FONDO DE DESARROLLO LOCAL DE CIUDAD BOLIVAR</t>
  </si>
  <si>
    <t>Se requiere el documento que evidencie el suministro e inslacion de mobiliario urbano en el contrato reportado</t>
  </si>
  <si>
    <t>CONTRATAR A PRECIOS UNITARIOS FIJOS, LA CONSTRUCCION, ADECUACION Y DOTACION DE TODA LA INFRAESTRUCTURA FISICA DEL PARQUE VECINAL LAGUNETA, UBICADO EN LA LOCALIDAD DE TUNJUELITO</t>
  </si>
  <si>
    <t>REALIZAR POR EL SISTEMA DE PRECIOS UNITARIOS FIJOS SIN FORMULA DE REAJUSTE LA CONSTRUCCION Y ADECUACION DE LOS DIFERENTES PARQUES DE BOLSILLO DE LA LOCALIDAD DE CIUDAD BOLIVAR</t>
  </si>
  <si>
    <t>Construcción de un Parque con un área de 3.712 m2 correspondiente al Proyecto San José – Urbanización Carvajal, entre Carrera 86 (Av. Ciudad de Cali) y Carrera 91, desde la abscisa K+090 a la abscisa K+220, aproximadamente, contiguo a la Calle 52 A en la ciudad de Bogotá D.C.</t>
  </si>
  <si>
    <t>CARVAJAL PROPIEDADES E INVERSIONES SAS</t>
  </si>
  <si>
    <t>72101500 -72141300-49221500</t>
  </si>
  <si>
    <t>REALIZAR POR SISTEMA DE PRECIOS GLOBAL FIJO LOS ESTUDIOS DE ARQUITECTURA E INGENIERIA Y POR EL SISTEMA DE PRECIOS UNITARIOS, LAS OBRAS DE CONSTRUCCION DE LA SEGUNDA ETAPA DE LAS ZONAS DE JUEGOS INFANTILES Y GIMNASIOS AL AIRE LIBRE DEL PARQUE METROPOLITANO EL TUNAL COD. 06-603 CON CARGO AL PROYECTO 1082 CONSTRUCCION Y ADECUACION DE PARQUES Y EQUIPAMIENTO PARA TODOS</t>
  </si>
  <si>
    <t>REALIZAR POR EL SISTEMA DE PRECIOS UNITARIOS FIJOS, SIN FORMULA DE AJUSTE, EL MANTENIMIENTO, LA REMODELACION, ADECUACION Y RECUPERACION INTEGRAL, PREVENTIVA Y CORRECTIVA DE TODA LA INFRAESTRUCTURA FISICA DE LOS PARQUES VECINALES Y DE BOLSILLO PERTENECIENTES AL SISTEMA DISTRITAL DE PARQUES Y ESCENARIOS DEL DISTRITO CAPITAL</t>
  </si>
  <si>
    <t>REALIZAR POR EL SISTEMA DE PRECIOS UNITARIOS FIJOS, SIN FORMULA DE REAJUSTE LA OBRA DE CONSTRUCCION DEL PARQUE VECINAL URBANIZACION MIRAVALLE I, II Y III ETAPA, EL CORTIJO, SAN JUAN BAUTISTA Y SAN LUIS COD 05-042 DE LA LOCALIDAD DE USME EN BOGOTA D.C.</t>
  </si>
  <si>
    <t>FONDO DE DESARROLLO LOCAL DE USME</t>
  </si>
  <si>
    <t xml:space="preserve"> 72101500 -72141300-72153100-49221500</t>
  </si>
  <si>
    <t>CONTRATAR A PRECIOS UNITARIOS FIJOS, SIN FORMULA DE REAJUSTE LA CONSTRUCCION DEL PARQUE EL TUNAL CON CODIGO IDRD No. 06-031, CATALOGADO COMO VECINAL UBICADO EN LA LOCALIDAD DE TUNJUELITO</t>
  </si>
  <si>
    <t>REALIZAR POR EL SISTEMA DE PRECIOS UNITARIOS FIJOS, SIN FORMULA DE REAJUSTE LA OBRA DE CONSTRUCCION DE LA ETAPA II Y III DEL PARQUE VECINAL URBANIZACION MIRAVALLE I, II Y III ETAPA, EL CORTIJO, SAN JUAN BAUTISTA Y SAN LUIS COD 05-042 DE LA LOCALIDAD DE USME EN BOGOTA D.C.</t>
  </si>
  <si>
    <t>“Contratar por el sistema de precio global fijo los diseños y estudios técnicos generales del parque y por el sistema de precios unitarios fijos sin formula de ajuste, las obras de la construcción de la primera etapa del parque metropolitano Zona Franca código 09-125</t>
  </si>
  <si>
    <t>REALIZAR POR EL SISTEMA DE PRECIO GLOBAL FIJO LOS ESTUDIOS Y DISEOS TECNICOS Y POR EL SISTEMA DE PRECIOS UNITARIOS FIJOS LA CONSTRUCCION DE PARQUE EN LA LOCALIDAD OCTAVA DE KENNEDY-BOGOTA D.C.</t>
  </si>
  <si>
    <t>Realizar la Construcción de la fase I del Parque vecinal Japón, Localidad de Chapinero en Bogotá D.C.</t>
  </si>
  <si>
    <t>EL CONTRATO APORTADO POR ESTE INTEGRANTE NO CUMPLE CON EL AREA MINIMA EXIGIDA</t>
  </si>
  <si>
    <t>CONSTRUCCION DE UN PARQUE PARA LA PRIMERA INFANCIA EN EL BARRIO EL JAZMIN DEL MUNICIPIO DE FLORENCIA</t>
  </si>
  <si>
    <t>MUNICIPIO DE FLORENCIA</t>
  </si>
  <si>
    <t>EL CONTRATO APORTADO POR ESTE INTEGRATE NO CUMPLE CON EL AREA MINIMA EXIGIDA Y CON LA DOCUMENTACION PRESENTADA NO SE PUEDE COMPROBAR QUE SE REALIZO LA ACTIVIDAD DE SUMUNISTRO E INSTALACION DE MOBILIARIO URBANO</t>
  </si>
  <si>
    <t>CONSTRUCCION DE PARQUES RECREATIVOS Y POLIDEPORTIVOS CUBIERTO EN LAS ESCUELAS DE LAS VEREDAS MATEPALMA, EL ACEITICO Y LOS LAURIES DEL MUNICIPIO DE OROCUE, DEPARTAMENTO DE CASANARE</t>
  </si>
  <si>
    <t>AMEC FOSTER WHEELER COLOMBIA SAS</t>
  </si>
  <si>
    <t>PROINVIAS SAS</t>
  </si>
  <si>
    <t>CONSTRUCCION, ADECUACION Y REMODELACION DEL PARQUE LELIO OLARTE, PARQUE DE LAS LUCES Y ESPACIOS PUBLICOS ALEDAÑOS A ESTOS DEL SECTOR URBANO DEL MUNICIPIO DE PUENTE NACIONAL SANTANDER</t>
  </si>
  <si>
    <t>ALCALDIA MUNICIPAL PUENTE NACIONAL SANTANDER</t>
  </si>
  <si>
    <t>MEJORAMIENTO, RECUPERACION Y ADECUACION DEL PARQUE TEMATICO VILLA OLIMPICA, EN EL MUNICIPIO DE EL SOCORRO, SANTANDER</t>
  </si>
  <si>
    <t>ALCALDIA MUNICIPAL DEL SOCORRO SANTANDER</t>
  </si>
  <si>
    <t>CONTRATAR POR EL SISTEMA DE PRECIOS UNITARIOS FIJOS SIN FORMULA DE AJUSTE LAS OBRAS DE ADECUACIÓN DEL PARQUE ZONAL ESTADIO OLAYA HERRERA (18- 207)</t>
  </si>
  <si>
    <t>INSTITUTO DISTRITAL DE RECREACION Y DEPORTE IDRD</t>
  </si>
  <si>
    <t>721015 
721413 
721531</t>
  </si>
  <si>
    <t>Para el área se tuvo en cuenta la sumatoria de lo reportado en el acta de cantidades de obra debidamente firmada, en la cual se señala por el proponente, cancha en grama sintética y senderos y plazonetas.</t>
  </si>
  <si>
    <t>REALIZAR POR EL SISTEMA DE PRECIO GLOBAL FIJO LOS ESTUDIOS Y DISEÑOS TÉCNICOS, Y POR EL SISTEMA DE PRECIOS UNITARIOS SIN FORMULA DE AJUSTE LAS OBRAS DE CONSTRUCCIÓN DE LAS CANCHAS, JUEGOS Y GIMNASIOS EN LOS PARQUES NORMANDÍA. CÓD. 10-190 Y URBANIZACIÓN PORTAL DEL SOL. CÓD. 07-403 EN BOGOTÁ D.C. CON CARGO AL PROYECTO 1082, “CONSTRUCCIÓN Y ADECUACIÓN DE PARQUES Y EQUIPAMIENTOS PARA TODOS”. GRUPO 1.</t>
  </si>
  <si>
    <t>72103300 
72102900 
72101500
72153100</t>
  </si>
  <si>
    <t>Para el área se tuvo en cuenta la sumatoria de lo reportado en el acta de recibo final de los dos parques intervenidos  (Relacion actividades recibidas)</t>
  </si>
  <si>
    <t>GRUPO II “REALIZAR POR EL SISTEMA DE PRECIOS UNITARIOS FIJOS LAS OBRAS DE CONSTRUCCION DEL PARQUE ZONAL ILLIMANI CODIGO 19-346 EN BOGOTA D.C. CON CARGO AL PROYECTO 1082 CONSTRUCCION Y ADECUACION DE PARQUE Y EQUIPAMIENTOS PARA TODOS”.</t>
  </si>
  <si>
    <t>REALIZAR POR EL SISTEMA DE PRECIOS UNITARIOS FIJOS LAS OBRAS DE CONSTRUCCIÓN DE LOS PARQUES ZONAL CARACOLÍ, CÓDIGO 19-710 Y ZONAL ILLIMANÍ CÓD. 19-346 EN BOGOTÁ D.C., CON CARGO AL PROYECTO 1082, “CONSTRUCCIÓN Y ADECUACIÓN DE PARQUES Y EQUIPAMIENTO PARA TODOS. GRUPO I</t>
  </si>
  <si>
    <t>El contrato figura en la relacion de contratos en el FORMATO 3 DE EXPERIENCIA, sin embargo, en los anexos los soportes pertenencen a la ejecucion del parque zonal La Esperanza, por lo anterior debe realizar la aclaracion cual contrato aportará la experiencia.</t>
  </si>
  <si>
    <t>SISTEMA DE ADMINISTRACIÓN DELEGADA, A PRECIOS UNITARIOS FIJOS, SIN FORMULA DE REAJUSTE, LOS DISEÑOS, EVALUACIÓN Y RECUPERACIÓN, ADECUACIÓN Y CONSTRUCCIÓN DE PARQUES Y ESCENARIOS O ESPACIOS RECREO DEPORTIVOS UBICADOS EN LAS LOCALIDADES DE TEUSAQUILLO, SUBA, BARRIOS UNIDOS, SANTA FE, ANTONIO NARIÑO, CANDELARIA, SAN CRISTÓBAL, BOSA, KENNEDY, RAFAEL URIBE URIBE, CIUDAD BOLÍVAR, PUENTE ARANDA, FONTIBÓN Y ENGATIVÁ DEL DISTRITO CAPITAL DE SANTA FE DE BOGOTÁ, DE ACUERDO A LAS ESPECIFICACIONES TÉCNICAS GENERALES, ESQUEMAS TÍPICOS DE DISEÑOS, CARTILLAS DEN PLAN DE MANEJO AMBIENTAL, LOS PLIEGOS DE CONDICIONES, LOS TÉRMINOS DE SU PROPUESTA Y DEMÁS DOCUMENTOS QUE HACEN PARTE INTEGRAL DEL PRESENTE CONTRATO.</t>
  </si>
  <si>
    <t>721015
721413
492000</t>
  </si>
  <si>
    <t>POR EL SISTEMA DE PRECIOS UNITARIOS FIJOS, SIN FORMULA DE REAJUSTE LAS OBRAS DE CONSTRUCCION DE LA ALAMEDA DEL PARQUE METROPOLITANO NACIONAL OLAYA HERRERA, UBICADO EN EL DISTRITO CAPITAL DE SANTA FE DE BOGOTA, SEGÚN ESPECIFICACIONES TECNICAS, CUADRO DE CANTIDADES DE OBRAS Y PLANOS SUMINISTRADOS POR EL INSTITUTO.</t>
  </si>
  <si>
    <t>721015
721413
492001</t>
  </si>
  <si>
    <t>Dentro de los documentos aportados no se puede verificar el área real intervenida ni los items ejecutados, debera presentar acta de recibo final y/o acta de terminacion y/u otro documento debidamente firmada, donde acredite lo solicitado en los pliegos de condiciones</t>
  </si>
  <si>
    <t>OBRAS DE RECUPERACION INTEGRAL DE LAS QUEBRADAS LIMAS Y BRAZO DERECHO DE LIMAS FASE 1</t>
  </si>
  <si>
    <t>EMPRESA DE ACUEDUCTO Y ALCANTARILLADO DE BOGOTÁ</t>
  </si>
  <si>
    <t xml:space="preserve">721015
</t>
  </si>
  <si>
    <t>Dentro de los documentos aportados no se puede verificar el área real intervenida, debera señalar y/o complementar el documento que acredite el área de conformidad a lo solicitado en los pliegos de condiciones</t>
  </si>
  <si>
    <t>OBRAS DE RECUPERACION INTEGRAL DE LA QUEBRADA SANTA LIBRADA, FASE I</t>
  </si>
  <si>
    <t>Para el área se tuvo en cuenta la sumatoria de lo reportado en la certificacion de plazoletas, senderos y andenes exclusivamente.</t>
  </si>
  <si>
    <t>CONSTRUCCION PLAN DE OBRAS 2013 - 2015, GRUPO 1: 1)INTERSECCION UTP - CANAAN; 2) INTEGRACION PEATONAL CENTRO TRADICIONAL COMUNA ORIENTE Y GENERACION DE ESPACIO PUBLICO; 3) INTERECCION BAVARIA, 4) CALLE 8 NORTE - CALLE 8 SUR, 5) CALLE 9 NORTE, 6) SEGUNDO CARRIL MIXTO AVENIDA 30 DE AGOSTO 7, CONEXION DORADO-POBLADO</t>
  </si>
  <si>
    <t>MUNICIPIO DE PEREIRA</t>
  </si>
  <si>
    <t>721015 
721413</t>
  </si>
  <si>
    <t>Para el área se tuvo en cuenta la sumatoria de lo reportado en el acta de liquidacion debidamente firmada, en la cual se señala por el proponente, andenes y losetas, el área de empradizacion es para la actividad secundaria.</t>
  </si>
  <si>
    <t>RECONSTRUCCION DE ANDENES Y CALZADAS DEL ESPACIO PUBLICO, INTERVENIDAS POR LA EAB EN SU FUNCION OPERATIVA DE REPARACION DE DAÑOS Y EN U FUNCION COMERCIAL DE ACOMETIDAS DEL ACUEDUCTO Y DOMICILIARIAS DEL ALCANTARILLADO EN EL AREA DE INFLUENCIA DEL EAB</t>
  </si>
  <si>
    <t>EAAB</t>
  </si>
  <si>
    <t>Para el área se tuvo en cuenta la sumatoria de lo reportado en el cuadro de obras ejecutadas debidamente firmada, para las areas de construccion/reconstruccion de andenes.</t>
  </si>
  <si>
    <t>REALIZAR LAS OBRAS DE CONSTRUCCIÓN Y ADECUACION DE LAS ZONAS BAJAS DE LAS PILONAS CONSTITUIDOS COMO ESPACIO PUBLICO EN DESARROLLO DEL PROYECTO INTEGRAL  TRANSMICABLE PORTAL TUNAL - PARAISO EN LA LOCALIDAD DE CIUDAD BOLÍVAR</t>
  </si>
  <si>
    <t>721519 
721527 
721539</t>
  </si>
  <si>
    <t>De conformidad a la documentacion allegada, cumple para la experiencia especifica y actividad secundaria, sin embargo, por falta de soportes no se puede cuantficar el área intervenida, por lo anterior se sugiere SUBSANAR.</t>
  </si>
  <si>
    <t>REALIZAR LOS ESTUDIOS Y DISEÑOS TÉCNICOS DE INGENIERÍA Y ARQUITECTURA Y LAS OBRAS DE CONSTRUCCIÓN Y ADECUACIÓN DEL PARQUE VECINAL NUEVO MILENIO, LOCALIDAD DE USME</t>
  </si>
  <si>
    <t>721519 
721527 
721540</t>
  </si>
  <si>
    <t>SE SUMA LOS PORCENTAJES DE LOS DOS CONSORCIADOS POR CUANTO LOS MISMOS PARTICIPARON EN EL MISMO CONTRATO CON EL 48% DE INCIVIAS Y 24% DE ID SAS 
Para el área se tuvo en cuenta la indicada en la certificación, exceptuando el área de empradizacion que es para la actividad secundaria.</t>
  </si>
  <si>
    <t>DISEÑOS, ESTUDIOS TÉCNICOS, CONSTRUCCIÓN Y ADECUACIÓN DE PARQUES EN LA LOCALIDAD DE ENGATIVÁ, EN BOGOTÁ, D.C.</t>
  </si>
  <si>
    <t>721519
721527</t>
  </si>
  <si>
    <t>SE SUMA LOS PORCENTAJES DE LOS DOS CONSORCIADOS POR CUANTO LOS MISMOS PARTICIPARON EN EL MISMO CONTRATO CON EL 50 %  de  INCIVIAS Y 50 % ID SAS:
De conformidad a los documentos aportados no se visualiza actividades de zonas verdesy/o urbanismo.</t>
  </si>
  <si>
    <t>EL CONTRATISTA SE OBLIGA PARA CON EL IDRD A REALIZAR A PRECIO GLOBAL FIJO LOS DISEÑOS Y ESTUDIOS TÉCNICOS Y POR EL SISTEMA DE PRECIOS UNITARIOS FIJOS SIN FORMULA DE REAJUSTE CONSTRUCCIÓN, ADECUACIÓN Y MEJORAMIENTO DE PARQUES EN LA LOCALIDAD DE ENGATIVÁ DEL DISTRITO CAPITAL DE BOGOTA</t>
  </si>
  <si>
    <t>721015 
721527 
721539
721519</t>
  </si>
  <si>
    <t>De conformidad a los docuementos aportados no se visualiza actividades de zonas verdes y/o urbanismo.</t>
  </si>
  <si>
    <t>EJECUCIÓN DE LAS OBRAS PARA LA REHABILITACIÓN DE ZONAS DE RONDA Y ZONAS DE MANEJO Y PRESERVACIÓN AMBIENTAL DEL SISTEMA JABOQUE: CANAL LOS ANGELES-  CANAL CARMELO FASE II-HUMEDAL JABOQUE SECTOR PUERTO AMOR Y SECTOR CANAL JABOQUE.</t>
  </si>
  <si>
    <t>Presenta documentacion en debida forma</t>
  </si>
  <si>
    <t>EJECUTAR MEDIANTE EL SISTEMA DE PRECIO UNITARIOS FIJOS SIN FORMULA DE REAJUSTE EL MEJORAMIENTO DE 5 ESPACIOS PÚBLICOS REPRESENTATIVOS EN EL CENTRO TRADICIONAL DE BOGOTÁ: PARQUE DE LAS CRUCES, PLAZA DE LOS MARTIRES, PLAZOLETA DEL ROSARIO, PARQUE SANTANDER Y PLAZA DE LOS PERIODISTAS, EN EL MARCO DEL PLAN DE REVITALIZACIÓN DEL CENTRO TRADICIONAL</t>
  </si>
  <si>
    <t>INSTITUTO DISTRITAL DE PATRIMONIO CULTURAL -IDPC</t>
  </si>
  <si>
    <t>De conformidad a los pliegos de condiciones el contrano NO aporta la experiencia general la cual debe estar enmarcada en "</t>
  </si>
  <si>
    <t>PATRIMONIO</t>
  </si>
  <si>
    <t xml:space="preserve"> UNIOBRAS DEL ORIENTE SAS  </t>
  </si>
  <si>
    <t>CONSTRUCCION POLIDEPORTIVO DEL COLEGIO PROMOCION INDIGENE INDIGENA LEA PUAL Y LA ESCUELA DEMOSTRATIVA AL GARROBO PERCENECIENTES AL RESGUARDO INDIGENA EL DUYA Y LA VERED  EL ALGARROBO ,RESPECTIVAMENTE. LA OBRA CUENTA CON EL SUMINISTRO E INSTALACION DE JUEGOS INFANTILES EN  CONSTRUCCION DE PLACA MULTICANCHA SUMINISTRO E INSTALACION DE GRADERIAS  EN CONCRETO, CUBIERTA EN ESTRUCTURA METALICA , 01 UNIDAD SANITARIA, PINTURA REGLAMENTARIA MULTIJUEGOS.</t>
  </si>
  <si>
    <t>COLUMBUS ENERGY SUCURSAL COLOMBIA</t>
  </si>
  <si>
    <t xml:space="preserve"> $ 4.058.947.992 </t>
  </si>
  <si>
    <t xml:space="preserve"> 721015 
721513
721531
492215 </t>
  </si>
  <si>
    <t>141,46 m2</t>
  </si>
  <si>
    <t xml:space="preserve">En los documentos aportados no se cumple con el àrea requerida y  no se contemplan las actividades de zonas verdes y/o urbanismo, contempladas en el pliego de condiciones </t>
  </si>
  <si>
    <t xml:space="preserve">CONSTRUCCION DE POLIDEPORTIVO CON PLACA MULTIJUEGO  Y CUBIERTA CON ESTRUCTURA  METALICA , ZONAS VERDES  Y JUEGOS INFANTILES EXTERIORES EN EL MUNICIPIO VILLA NUEVA - CASANARE COMO APORTE CON RECURSOS DE LA COMPAÑIA, FRENTE AL PLAN DE INVERSION SOCIAL ACORDADO CON LAS COMUNIDADES  DONDE SE HACEN INTERVENCIONES DE CAMPOS PETROLEROS </t>
  </si>
  <si>
    <t>AMEC FOSTER WHEELE COLOMBIA SAS</t>
  </si>
  <si>
    <t xml:space="preserve"> $ 4.708.429.629 </t>
  </si>
  <si>
    <t>En los documentos aportados no se  pudo verificar la experiencia general, el àrea requerida y no se contemplan las actividades de zonas verdes y/o urbanismo, contempladas en el pliego de condiciones</t>
  </si>
  <si>
    <t>VILLANUEVA-CASANARE.</t>
  </si>
  <si>
    <t>LUIS FERNANDO GONZALEZ PAEZ</t>
  </si>
  <si>
    <t xml:space="preserve"> LUIS FERNANDO GONZALEZ PAEZ </t>
  </si>
  <si>
    <t>EN DESARROLLO DEL PRESENTE CONTRATO EL CONTRATSTA SE OBLIGA A EJECUTAR LA EVALUACION DEL DISEÑO, CONSTRUCCION,  ADECUACION Y MEJORAMIENTO DE PARQUES DE LA LOCALIDAD DE USAQUEN DEL DISTRITO CAPITAL POR EL SISTEMA DE PRECIO UNITARIO FIJO, SIN FORMULA DE REAJUSTE  DE ACUERDO CON EL ANEXO 1 DEL PRESENTE CONTRATO COMPUESTO POR 2 FOLIOS</t>
  </si>
  <si>
    <t xml:space="preserve"> $ 555.618.959 </t>
  </si>
  <si>
    <t xml:space="preserve"> 721015 
721413
721531
 </t>
  </si>
  <si>
    <t>7.337,00 m2</t>
  </si>
  <si>
    <t xml:space="preserve">CUMPLE CON LA EXPERIENCIA DE CONFORMIDAD A LA INFORMACION DE LA INTEGRACION DEL CONSORCIO VERIFICADA EN EL SECOP II, SIN EMBARGO, NO PRESENTA DOCUMENTO DE CONFORMACION CONSORCIAL, POR LO ANTERIOR, DEBE ADJUNTAR DICHO DOCUMENTO.
EL PROPONENTE DE CONFORMIDAD A LA OBSERVACION MEDIANTE OFICIO No. CP‐SAS‐098‐2022 ANEXA DOCUMENTO CONSORCIAL DONDE SE PUEDE VERIFICAR LA RESPECTIVA PARTICIPACION DE LOS INTEGRANTES DEL MISMO.  IGUALMENTE , CON EL RESPECTIVO SOPORTE DE LA SUBASANACION SE CALIFICO EL K RESIDUAL EL CUAL QUEDO HABILITADO.
</t>
  </si>
  <si>
    <t>RELAIZAR LAS OBRAS PARA  LA RECUPERACION DEL ESPACIO PUBLICO DE LA PLAZA DE LA CONCEPCION EN EL SECTOR ANTIGUO DE SANTA CRUZ DE MOMPOX DE CONFORMIDAD CON LO ESTABLECIDO EN EL PLAN ESPECIAL DE MANEJO Y  PROTECCION POR EL SISTEMA DE PRECIOS UNITARIOS FIJOS SIN FORMULA DE REAJUSTE.</t>
  </si>
  <si>
    <t>MINISTERIO DE CULTURA</t>
  </si>
  <si>
    <t xml:space="preserve"> $ 2.490.897.320 </t>
  </si>
  <si>
    <t>2.470,67 m2</t>
  </si>
  <si>
    <t>EL FONDO ENCARGA AL CONTRATISTA Y ESTE SE OBLIGA A REALIZAR LA EJECUCION DE LOS PROYECTOS DE INVERSION  A PRECIO UNITARIP FIJO SIN FORMULA DE RAJUSTE PARA LA CONSTRUCCIÓN,ADECUACIÓN Y MEJORAMIENTOS DE LOS PARQUES ZONAS VERDES Y ÁREAS RECREODEPORTIVAS DE LOS SIGUIENTES PARQUES UBICADOS EN LAS LOCALIDADES DE USAQUÉN, SANTAFÉ Y SUBA DE LA CIUDAD DE BOGOTÁ D.C...</t>
  </si>
  <si>
    <t xml:space="preserve"> $ 853.256.621 </t>
  </si>
  <si>
    <t>3.709,18 m2</t>
  </si>
  <si>
    <t>Ejecutar por el sistema de precio global fijo los diseños técnicos y por el sistema de percios unitarios fijos sin formula de reajuste, la construcción del Parque Nueva Santa Fe, ubicado en la localidad de la Candelaria, distrito Capital, de acuerdo con las especificaciones técnicas contenidas en el pliego de condiciones.</t>
  </si>
  <si>
    <t xml:space="preserve"> $ 400.932.568 </t>
  </si>
  <si>
    <t>2.880,00 m2</t>
  </si>
  <si>
    <t>compuesto por dos (2) folios.</t>
  </si>
  <si>
    <t xml:space="preserve">LA EJECUCIÓN DE LAS OBRAS REQUERIDAS PARA LA READECUACIÓN DEL ESPACIO PÚBLICO COMPRENDIDA ENTRE LOS EDIFICIOS 454 (CIENCIA Y TECNOLOGIA) Y 102 (GABRIEL GARCÍA MÁRQUEZ) Y DEL TRAMO DE VÍA DE ACCESO A LOS PARQUEADEROS DEL EDIFICIO 471 (MEDICINA), DE LA UNIVERSIDAD NACIONAL DE COLOMBIA </t>
  </si>
  <si>
    <t xml:space="preserve">UNIVERSIDAD NACIONAL </t>
  </si>
  <si>
    <t>721514
721515
721525
721526
721527
721529
721415
721015
721411</t>
  </si>
  <si>
    <t xml:space="preserve"> WILLIAMS.CO S.A.S. </t>
  </si>
  <si>
    <t xml:space="preserve">  CONSTRUCCIÓN, RECONSTRUCCIÓN Y MANTENIMIENTO DE LAS OBRAS CIVILES PARA EL SISTEMA DE SEMAFORIZACIÓN DE BOGOTÁ D.C., INCLUYE DISEÑO SEMAFÓRICO DE INTERSECCIONES PARA IMPLEMENTACIÓN DE NUEVOS CONTROLES SEMAFORIZADOS</t>
  </si>
  <si>
    <t>SECRETARIA DISTRITAL DE MOVILIDAD</t>
  </si>
  <si>
    <t>Para el contrato relacionado, el mismo no cumple para la actividad principal de experiencia general, por cuanto lo señalado en el contrato corresponde a intervencion en la malla vial, diferente a lo solicitado en los pliegos de condiciones: 
 CONSTRUCCIÓN Y/O RECONSTRUCCIÓN DE PARQUES  Ó ||. CONSTRUCCIÓN Y/O RECONSTRUCCIÓN DE ESPACIO PUBLICO  
                                                                                                                                                                                                         Nota 1: Para el caso de experiencia de ESPACIO PÚBLICO se excluyen de estos las vías destinadas al tránsito vehicular, así como la conservación y/o preservación de playas marítimas.</t>
  </si>
  <si>
    <t xml:space="preserve">CONTRATAR POR EL SISTEMA DE PRECIOS SIN FORMULA DE REAJUSTE  CONSTRUCCIÓN, ADECUACIÓN Y MEJORAMIENTO DEL ESPACIO PÚBLICO EN LOS BARRIOS QUINTAS DEL PLAN SOCIAL Y GRANADA UBICADO EN LA LOCALIDAD 5 USME BOGOTA D.C EN EL MARCO DEL CONVENIO 007 DE JUNIO 24 DE 2011 SUSCRITO ENTRE LA UNIDAD ADMINISTRATIVA ESPECIAL DE SERVICIOS PUBLICOS Y EL FONDO DE DESARROLLO LOCAL DE USME </t>
  </si>
  <si>
    <t xml:space="preserve">FONDO DE DESARROLLO LOCAL DE USME </t>
  </si>
  <si>
    <t xml:space="preserve"> $ 341.582.224 </t>
  </si>
  <si>
    <t xml:space="preserve"> 721413 
 721015 
 721531 </t>
  </si>
  <si>
    <t>840,16 m2</t>
  </si>
  <si>
    <t>Para el área se tuvo en cuenta la sumatoria de lo reportado en el acta de recibo final ejecutadas debidamente firmada, del capitulo de acabados de pisos.</t>
  </si>
  <si>
    <t xml:space="preserve"> LUFSACIVIL SAS </t>
  </si>
  <si>
    <t>REMODELACION DEL ESPACIO PUBLICO EN EL PARQUE GILBERTO ALZATE AVENDAÑO SECTOR FANEON DE LA CIUDAD DE MANIZALES</t>
  </si>
  <si>
    <t xml:space="preserve">ALCALDIA DE MANIZALES </t>
  </si>
  <si>
    <t xml:space="preserve"> $ 2.806.299.857 </t>
  </si>
  <si>
    <t xml:space="preserve"> 721015
721413
721531 </t>
  </si>
  <si>
    <t>El contrato señalado, no cumple con lo requerido en el pliego de condiciones con relacion a :
CONSTRUCCIÓN Y/O RECONSTRUCCIÓN DE PARQUES  Ó ||. CONSTRUCCIÓN Y/O RECONSTRUCCIÓN DE ESPACIO PUBLICO    
Asi mismo, los documentos presentados no se puede descrimir las actividades reales para calcular la actividad principal y la experiencia especifica en zonas verdes, urbanismo y/o paisajismo.
Verificado la certificacion y de conformidad a lo relacionado por el proponente en la subsanacion y cumpliendo lo señalado en el pliego de condiciones, se verifica que cumple con las actividades de construccion de espacio público y se habilita al proponente.</t>
  </si>
  <si>
    <t>CONSTRUCCION PARQUE FUENTES INTERACTIVAS DE CAFALANDIA</t>
  </si>
  <si>
    <t>CAFAM</t>
  </si>
  <si>
    <t xml:space="preserve"> $ 2.775.113.401 </t>
  </si>
  <si>
    <t xml:space="preserve"> 721015
721413 </t>
  </si>
  <si>
    <t>3.962,94 m2</t>
  </si>
  <si>
    <t xml:space="preserve">Para el contrato relacionado y toda vez que la contratacion es entre particulares se hace necesario anexar los documentos exigidos en el pliego de condiciones en el numeral 3.5.5
"Para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
El proponente anexa los documentos soportes para su respectiva verificacion, cumpliendo con lo exigido en el pliego de condiciones.
</t>
  </si>
  <si>
    <t>CONSORCIO CONSTRU. PARQUE TUNAL II</t>
  </si>
  <si>
    <t xml:space="preserve"> GERMAN RAMIREZ BARBOSA </t>
  </si>
  <si>
    <t>CONSTRUCCIÓN DE LOS ANDENES FALTANTES DE LA CRA 13 ENTRE CALLE 26 Y CALLE 45 COSTADO OCCIDENTAL EN BOGOTÁ</t>
  </si>
  <si>
    <t>IDU</t>
  </si>
  <si>
    <t xml:space="preserve"> $ 5.608.208.901 </t>
  </si>
  <si>
    <t>REALIZAR POR EL SISTEMA DE PRECIO GLOBAL FIJO LOS ESTUDIOS Y DISEÑOS Y POR EL SISTEMA DE PRECIOS UNITARIOS FIJOS LA CONSTRUCCION DEL PARQUE ZONAL CASABLANCA CODIGO 11-069</t>
  </si>
  <si>
    <t xml:space="preserve"> $ 6.743.245.463 </t>
  </si>
  <si>
    <t>N/A</t>
  </si>
  <si>
    <t>CON LA DCOUMENTACION PRESENTADA NO ES POSIBLE DETERMINAR EL AREA EJECUCION PARA ESTE CONTRATO POR LO QUE NO SE CUMPLIRIA CON EL REQUISITO DE LA ACTIVIDAD PRINCIPAL - EXPERIENCIA EXPECIFICA SE DEBE SUBSANAR</t>
  </si>
  <si>
    <t>CONSTRUCCION DE UN PARQUE LINEAL EN EL JARILLON DEL SECTOR BAVARIA II DEL PROYECTO VILLAS DE SAN IGNACION DEL MUNICIPIO DE BUCARAMANGA</t>
  </si>
  <si>
    <t>INVISBU (INSTITUTO DE VIVIENDA DE INTERES SOCIAL DE BUCARAMANGA</t>
  </si>
  <si>
    <t>721015
721413
721531</t>
  </si>
  <si>
    <t>CONSTRUCCION DEL PARQUE INTEGRAL METROPOLITANO COMUNA 9 DEL BARRIO SANMARTIN DE BUCARAMANGA</t>
  </si>
  <si>
    <t>ALCALDIA DE BUCARAMANGA</t>
  </si>
  <si>
    <t>CONSORCIO EL TUNAL V4G.</t>
  </si>
  <si>
    <t>VEROCO</t>
  </si>
  <si>
    <t>CONSTRUCCIONDELPARQUETEMATICODELAGUAENELDISTRITODESANTAMARTA,MAGDALENA, CARIBE</t>
  </si>
  <si>
    <t>ALCALDIA MAYOR DEL DISTRITO TURISTICO, CULTURA E HISTORICO DE SANTA MARTA</t>
  </si>
  <si>
    <t>CONSTRUCCIÓN PLAZOLETA DEL COSTADO NORTE EDIFICIO DE INGENIERIA MECANICA DE LA UNIVERSIDAD INDUSTRIAL DE SANTANDER.</t>
  </si>
  <si>
    <t>UNIVERSIDAD INDUSTRIAL DE SANTANDER</t>
  </si>
  <si>
    <t>NO SE PUEDE VERIFICAR LA EXPERIENCIA ESPECIFICA, REFERENTE AL  ESPACIO PUBLICO EN LA DEFINICION ESTABLECIDA POR LA DOCUMENTACION EN LOS PLIEGOS, SI BIEN LA EJECUCION ES DE UNA PLAZOLETA SE ENCUENTRA DENTRO DE UNA UNIVERSIDAD LA CUAL NO LA HACE ESPACIO PUBLICO NI PARQUE, POR LO QUE NO CUMPLE CON LOS REQUISITOS ESTABLECIDOS POR LA ENTIDAD.</t>
  </si>
  <si>
    <t>PANAM INGENIEROS
SAS</t>
  </si>
  <si>
    <t>CONSTRUCCIÓN Y MEJORAMIENTO DEL
PARQUE SAN MARCOS EN EL
MUNICIPIO DE FUNZA
CUNDINAMARCA, EN CUMPLIMIENTO
AL PLAN DE DESARROLLO FUNZA
CIUDAD LÍDER 2020-2023</t>
  </si>
  <si>
    <t>MUNICIPIO DE FUNZA</t>
  </si>
  <si>
    <t>CONSTRUCCIÓN PLAZA DE MERCADO,
CASCO URBANO MUNICIPIO DE YACOPÍ</t>
  </si>
  <si>
    <t>MUNICIPIO DE YACOPI</t>
  </si>
  <si>
    <t>RECONSTRUCCIÓN DE ANDENES Y CALZADAS EN LOS SITIOS INTERVENIDOS POR LA FUNCIÓN OPERATIVA DE REPARACIÓN DE DAÑOS DE ACUEDUCTO Y ALCANTARILLADO Y POR LA FUNCIÓN COMERCIAL DE LA ZONA 3 Y DONDE SEA REQUERIDO EN EL MARCO DE SUS OBLIGACIONES</t>
  </si>
  <si>
    <t>EMPRESA DE ACUEDUCTO Y ALCANTARILLADO DEBOGOTA - ESP</t>
  </si>
  <si>
    <t>4810.26</t>
  </si>
  <si>
    <t>721015
721413</t>
  </si>
  <si>
    <t>RECONSTRUCCIÓN DE ANDENES Y CALZADAS EN LOS SITIOS INTERVENIDOS POR LA FUNCIÓN OPERATIVADE REPARACIÓN DE DAÑOS DE ACUEDUCTO YALCANTARILLADO Y POR LA FUNCIÓN COMERCIAL DELA ZONA 4 Y DONDE SEA REQUERIDO EN EL MARCODE SUS OBLIGACIONES.</t>
  </si>
  <si>
    <t>721015 721413 721531</t>
  </si>
  <si>
    <t>CONSTRUCCION DE ANDENES DE LA CARRERA 6 ENTRE CALLES 9 Y 19 (AMBOS COSTADOS) DEL MUNICIPIO DE FUNZA, DEPARTAMENTO CUNDINAMARCA</t>
  </si>
  <si>
    <t>MUNICIPIO DE FUNZA CUNDINAMARCA</t>
  </si>
  <si>
    <t xml:space="preserve">  FF CONSTRUCCIONES Y CONSULTORIA SAS -IMCCA SAS </t>
  </si>
  <si>
    <t>CONSTRUCCION DEL PARQUE ECOTURISTICO CERRO LA CANTERA</t>
  </si>
  <si>
    <t>MUNICIPIO DE PIEDECUESTA</t>
  </si>
  <si>
    <t xml:space="preserve"> $ 6.365.250.109 </t>
  </si>
  <si>
    <t>8.612,01 m2</t>
  </si>
  <si>
    <t>CONSTRUCCION DE ANDENES, SARDINELES, Y SEPARADORES EN CONCRETO PARA LA PLAZOLETA SOBRE CALLE 26, SECTOR FUENTE LUMINOSA Y CALLE 30 DE LA TERMINAL INTERMUNICIPAL DE PASAJEROS DE CALI</t>
  </si>
  <si>
    <t>CENTRALES DE TRANSPORTE S.A</t>
  </si>
  <si>
    <t xml:space="preserve"> $ 146.194.671 </t>
  </si>
  <si>
    <t xml:space="preserve">no presenta clara el area de intervencion subsanar </t>
  </si>
  <si>
    <t>COSTRUCCION DE PASEOS
URBANOS DEL MALECON TURISTICO
ETAPA 1 EN LOS BARRIOS SANTAFE
Y LA PLAYA DEL MUNICIPIO DE
TURBO</t>
  </si>
  <si>
    <t>DEPARTAMENTO DE ANTIOQUIA</t>
  </si>
  <si>
    <t xml:space="preserve"> $ 4.229.069.364 </t>
  </si>
  <si>
    <t>LA CONSTRUCCION DEL TRAMO II DEL PROYECTO PARQUE LINEAL QUEBRADA LA IGLESIA LOCALIZADO EN EL MUNICIPIO DE BUCARAMANGA</t>
  </si>
  <si>
    <t>AREA METROPOLITANA DE BUCARAMANGA</t>
  </si>
  <si>
    <t xml:space="preserve"> $ 4.651.855.267 </t>
  </si>
  <si>
    <t xml:space="preserve">  APIA PROYECTOS Y SOLUCIONES SAS - CONSTRUSOCIAL SAS  </t>
  </si>
  <si>
    <t>EL CONTRATISTA SE OBLIGA CON EL FONDO A EJECUTAR POR EL SISTEMA DE PRECIOS UNITARIOS FIJOS SIN FORMULA DE REAJUSTE Y A MONTO AGOTABLE LAS OBRAS NECESARIAS PARA LA CONSTRUCCION, ADECUACION, MANTENIMIENTO Y/O DOTACION DE MOBILIARIO DE LOS DIFERENTES PARQUES VECINALES Y DE BOLSILLO DE LA LOCALIDAD DE BOSA, DE CONFORMIDAD CON LAS ACTIVIDADES, CONDICIONES, ESPECIFICACIONES Y OBLIGACIONES ESTABLECIDAS EN EL ANEXO TECNICO, EL ESTUDIO PREVIO, EL PLIEGO DE CONDICIONES Y LA PROPUESTA PRESENTADA, DOCUMENTOS QUE HACEN PARTE INTEGRAL DEL PRESENTE CONTRATO</t>
  </si>
  <si>
    <t>ALCALDIA DE BOSA</t>
  </si>
  <si>
    <t xml:space="preserve"> $ 6.363.440.257,00 </t>
  </si>
  <si>
    <t xml:space="preserve">  72 14 13 - 72 15 31 -  </t>
  </si>
  <si>
    <t>6.953,04 m2</t>
  </si>
  <si>
    <t xml:space="preserve">  $ 6.363.440.257  </t>
  </si>
  <si>
    <t>5.330,66 m2</t>
  </si>
  <si>
    <t>DISENO, CONSTRUCCION, REHABILITACION, AMPLIACION Y MANTENIMIENTO DE LA MALLA VIAL DEL DISTRITO TURISTICO, CULTURAL E HISTORICO DE SANTA MARTA</t>
  </si>
  <si>
    <t>UNION TEMPORAL CONCESION SANTA MARTA 2000</t>
  </si>
  <si>
    <t xml:space="preserve">  $ 28.939.271.072,00  </t>
  </si>
  <si>
    <t xml:space="preserve">  72 14 13 - 72 15 31  </t>
  </si>
  <si>
    <t>12.775,31 m2</t>
  </si>
  <si>
    <t>SUBSANAR AREAS.NO PRESENTA LA CERTIFICACION QUE COMPRUEBE QUE HA TENIDO OBRAS ENE LAS QUES E DENOTEN LAS AREAS DE CONSTRUCCION; SOLO DOS DE LOS COMPONENTES DEL CONSORCIO PRESENTAN LOS CERTIFICADOS DE AREA Y EL TERCER PROPONENTE NO ENTREGA CERTIFICADO, INCOSS INGENIERIA SAS CONTRATO DISENO, CONSTRUCCION, REHABILITACION, AMPLIACION Y MANTENIMIENTO DE LA MALLA VIAL DEL DISTRITO TURISTICO, CULTURAL E HISTORICO DE SANTA MARTA;UNION TEMPORAL CONCESION SANTA MARTA 2000.</t>
  </si>
  <si>
    <t>CONSTRUCCION DE LA PLAZOLETA DE EVENTOS"LA MORENITA"EN EL MUNCIIPIO DESUPATÁ</t>
  </si>
  <si>
    <t xml:space="preserve">ALCALDIA DE SUPATA </t>
  </si>
  <si>
    <t xml:space="preserve"> $ 535.467.883 </t>
  </si>
  <si>
    <t>4.756,95 m2</t>
  </si>
  <si>
    <t>NO ESPECIFICA AREA  SUBSANAR</t>
  </si>
  <si>
    <t>ADECUACIÓN FUNCIONAL DE LOS SENDEROS PEATONALES Y RAMPAS DE ACCESO AL PARQUE PRINCIPAL DEL MUNICIPIO DE TENJO</t>
  </si>
  <si>
    <t xml:space="preserve">ALCALDIA MUNICIPAL DE TENJO CUNDINAMARCA </t>
  </si>
  <si>
    <t xml:space="preserve"> $ 840.265.613 </t>
  </si>
  <si>
    <t>3.580,50 m2</t>
  </si>
  <si>
    <t>VALOR TOTAL PROYECTO</t>
  </si>
  <si>
    <t>SMMLV</t>
  </si>
  <si>
    <t>PRESUPUESTO OFICIAL</t>
  </si>
  <si>
    <t>75% SMMLV</t>
  </si>
  <si>
    <t>120% SMMLV</t>
  </si>
  <si>
    <t>150% SMMLV</t>
  </si>
  <si>
    <t>VALOR:</t>
  </si>
  <si>
    <t>OBJETO: “CONTRATAR A PRECIOS UNITARIOS FIJOS LAS OBRAS NECESARIAS PARA LA CONSTRUCCIÓN DEL PARQUE VECINAL0 IDENTIFICADO CON0 CÓDIGO IDRD 06-061 DENOMINADO URBANIZACIÓN EL TUNAL II, UBICADO EN LA DIAGONAL 44 SUR No. 23B-01, DE LA LOCALIDAD DE TUNJUELITO EN LA CIUDAD DE BOGOTÁ D.C.”</t>
  </si>
  <si>
    <t>Cada contrato debe cumplir con alguno de estos códigos 72101500 -72141300-72153100-49221500</t>
  </si>
  <si>
    <t xml:space="preserve"> |. CONSTRUCCIÓN Y/O RECONSTRUCCIÓN DE PARQUES 
                                                                                                                                                                                                                                               </t>
  </si>
  <si>
    <t xml:space="preserve"> ||. CONSTRUCCIÓN Y/O RECONSTRUCCIÓN DE ESPACIO PUBLICO</t>
  </si>
  <si>
    <t>Nota 1: Para el caso de experiencia de ESPACIO PÚBLICO se excluyen de estos las vías destinadas al tránsito vehicular, así como la conservación y/o preservación de playas marítimas.
Nota 2: En el caso en el cual el proceso de selección contemple actividades de dotación de mobiliario, la experiencia válida aportada deberá acreditar en por lo menos uno (1) de los contratos actividades de suministro e instalación de mobiliario.</t>
  </si>
  <si>
    <t>EXPERIENCIA ESPECÍFICA</t>
  </si>
  <si>
    <t>NOTA: Teniendo en cuenta que la experiencia exigida es una combinación de la Matriz
Experiencia - Cultura, Recreación y Deporte, el proponente podrá presentar un (1)
contrato adicional a los seis (6) contratos inicialmente previstos en este pliego, para
acreditar cada combinación de experiencia establecida por la Entidad. Esto es, la
experiencia específica solicitada para la actividad secundaria o accesoria aplicable al
Proceso de Contratación</t>
  </si>
  <si>
    <r>
      <t xml:space="preserve">NÚMERO DE CONTRATOS: </t>
    </r>
    <r>
      <rPr>
        <b/>
        <sz val="18"/>
        <rFont val="Calibri"/>
        <family val="2"/>
      </rPr>
      <t>C. El Proponente podrá acreditar la experiencia con mínimo uno (1) y máximo seis (6) contratos,
sin perjuicio de lo indicado para la acreditación de combinaciones de experiencia y la
acreditación de experiencia de los bienes o servicios adicionales a la obra pública de
infraestructura social, los cuales serán evaluados teniendo en cuenta la tabla establecida en
el numeral 3.5.7 del Pliego de Condiciones, así como el contenido contemplado en la matriz
de experiencia aplicable al proyecto de infraestructura social.</t>
    </r>
  </si>
  <si>
    <r>
      <rPr>
        <b/>
        <sz val="18"/>
        <color theme="1"/>
        <rFont val="Calibri"/>
        <family val="2"/>
      </rPr>
      <t>CONDICI</t>
    </r>
    <r>
      <rPr>
        <b/>
        <sz val="18"/>
        <rFont val="Calibri"/>
        <family val="2"/>
      </rPr>
      <t>ÓN 2:A. En el Clasificador de Bienes y servicios, el segmento correspondiente para la clasificación de la experiencia es el segmento 72. (72101500 -72141300-72153100-49221500)</t>
    </r>
  </si>
  <si>
    <r>
      <rPr>
        <b/>
        <sz val="18"/>
        <color theme="1"/>
        <rFont val="Calibri"/>
        <family val="2"/>
      </rPr>
      <t>CONDICIÓN 3</t>
    </r>
    <r>
      <rPr>
        <b/>
        <sz val="18"/>
        <rFont val="Calibri"/>
        <family val="2"/>
      </rPr>
      <t xml:space="preserve">: C. En caso de que la Entidad Estatal no solicite combinaciones de experiencia o experiencia
adicional por bienes o servicios ajenos a la infraestructura social, si el Proponente relaciona
o anexa más de seis (6) contratos en el Formato 3 - Experiencia, para efectos de evaluación
de la experiencia se tendrán en cuenta cómo máximo los seis (6) contratos aportados de
mayor valor. </t>
    </r>
  </si>
  <si>
    <r>
      <rPr>
        <b/>
        <sz val="18"/>
        <color theme="1"/>
        <rFont val="Calibri"/>
        <family val="2"/>
      </rPr>
      <t>CONDICIÓN 4</t>
    </r>
    <r>
      <rPr>
        <b/>
        <sz val="18"/>
        <rFont val="Calibri"/>
        <family val="2"/>
      </rPr>
      <t>: D. Tratándose de Proponentes Plurales se tendrá en cuenta lo siguiente: i) uno de los integrantes debe aportar como mínimo el cincuenta por ciento (50 %) de la experiencia exigida; ii) los demás integrantes deben acreditar al menos el cinco por ciento (5 %) de la experiencia requerida; y iii) sin perjuicio de lo anterior, solo uno de los integrantes, si así lo considera pertinente, podrá no acreditar experiencia. En este último caso, el porcentaje de
participación del integrante que no aporta experiencia relacionada en la estructura plural no podrá superar el cinco por ciento (5 %). Estos porcentajes de experiencia mínima que cumplirán los integrantes del Proponente Plural basta acreditarlos con contratos que cumplan con el requisito de experiencia general exigida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3.5.7</t>
    </r>
  </si>
  <si>
    <r>
      <rPr>
        <b/>
        <sz val="18"/>
        <color theme="1"/>
        <rFont val="Calibri"/>
        <family val="2"/>
      </rPr>
      <t>CONDICIÓN 5</t>
    </r>
    <r>
      <rPr>
        <b/>
        <sz val="18"/>
        <rFont val="Calibri"/>
        <family val="2"/>
      </rPr>
      <t>: F. Cuando el contrato que se pretende adjuntar como experiencia haya sido ejecutado en Consorcio o en Unión Temporal, el valor a considerar será el registrado en el RUP, o documento válido en caso de que el integrante no esté obligado a tener RUP. En estos casos, la experiencia efectivamente acreditada para el procedimiento de selección será la presentada multiplicada por el porcentaje de participación que tuvo el integrante o los
integrantes que presentan la oferta.</t>
    </r>
  </si>
  <si>
    <t>Año</t>
  </si>
  <si>
    <t>Salario mínimo mensual</t>
  </si>
  <si>
    <t>FACTORES PONDERABLES</t>
  </si>
  <si>
    <t>FACTORES PONDERABLES / PUNTAJE FINAL</t>
  </si>
  <si>
    <t>OFERTA ECONÓMICA
(60 PUNTOS)</t>
  </si>
  <si>
    <t>FACTOR DE CALIDAD - Formato 7A – Programa de gerencia de proyectos
(9 PUNTOS)</t>
  </si>
  <si>
    <t>FACTOR DE CALIDAD - Formato 7C - Plan de calidad
(10 PUNTOS)</t>
  </si>
  <si>
    <t>APOYO A LA INDUSTRIAL NACIONAL - Formato 9A /9B – Promoción de Servicios Nacionales o con Trato Nacional
(20 PUNTOS)</t>
  </si>
  <si>
    <t>VINCULACIÓN DE PERSONAS CON DISCAPACIDAD - Formato 8 – Vinculación de personas con discapacidad
(1 PUNTO)</t>
  </si>
  <si>
    <t>PUNTAJE TOTAL</t>
  </si>
  <si>
    <t>Cumple con los documentos del factor de ponderacion, debidamente diligenciados de conformidad al pliego de condiciones.</t>
  </si>
  <si>
    <t xml:space="preserve">NO HABILTADO </t>
  </si>
  <si>
    <t xml:space="preserve">RECHAZADO </t>
  </si>
  <si>
    <t xml:space="preserve">Ver anexo juridico </t>
  </si>
  <si>
    <t>CONTRATAR A PRECIOS UNITARIOS FIJOS LAS OBRAS NECESARIAS PARA LA CONSTRUCCIÓN DEL PARQUE VECINAL0 IDENTIFICADO CON0 CÓDIGO IDRD 06-061 DENOMINADO URBANIZACIÓN EL TUNAL II, UBICADO EN LA DIAGONAL 44 SUR No. 23B-01, DE LA LOCALIDAD DE TUNJUELITO EN LA CIUDAD DE BOGOTÁ D.C.</t>
  </si>
  <si>
    <t>Nombre de Oferente :</t>
  </si>
  <si>
    <t>INDICES FINANCIEROS</t>
  </si>
  <si>
    <t>CAPACIDAD JURIDICA</t>
  </si>
  <si>
    <t>EXPERIENCIA TÉCNICA</t>
  </si>
  <si>
    <t>CAPACIDAD RESIDUAL</t>
  </si>
  <si>
    <t>INFORME 
FINAL</t>
  </si>
  <si>
    <t>SUBSANACION</t>
  </si>
  <si>
    <t>HABILITADO</t>
  </si>
  <si>
    <t>NO HABILITADO</t>
  </si>
  <si>
    <t>La certificación No. 1 cumple con experiencia general, aporta más del 70% del área del proceso para validar la experiencia especifica y además cumple con la experiencia secundaria, sin embargo en el contrato no se evidencia mobiliario. La certificación No. 2 cumple con la experiencia general tomando exclusivamente la intervención realizada en el parque, así como su area y presupuesto. Se instalaron mobiliarios para dicho parque, por lo tanto el proponente queda HABILITADO.                                                                                                  PARA EL K RESIDUAL, EL PROPONENTE ANEXA EL FORMATO  5.2 EN SMMLV, LO CUAL SE DEBE INGRESAR EN TOTAL COP.  NO ES POSIBLE CALCULAR LA CAPACIDAD RESIDUAL DEBIDO A ESTO.  SUBSANAR</t>
  </si>
  <si>
    <t>El proponente cumplio con los requisitos técnicos solicitados en el pliego de condiciones</t>
  </si>
  <si>
    <t>NO HABILITADO. Las certificaciones aportadas en los 4 contratos no permiten establecer las actividades ejecutadas para determinar si cumplen experiencia especifica y experiencia secundaria. REQUERIMIENTO SUBSANACIÓN: se debe aportar acta de liquidación o terminación de contrato que permitan observar todas las actividades ejecutadas, teniendo en cuenta que también se debe determinar el área. Se puede adjuntar cualquier documento valido según numeral 3.5.5 del pliego de condiciones, donde se pueda validar lo requerido. Para la certificación No. 4 se establece que es un contrato entre terceros, por lo tanto se debe adjuntar los documentos faltantes  según numeral 3.5.5 literal H.                                           PARA EL K RESIDUAL, LOS FORMATOS 51; 5.2 Y 5.3 FUERON CORTADOS Y NO SE PRESENTA EN DEBIDA FORMA TODA LA INFORMACIÓN, ADEMÁS SE CORTÓ EL NUMERO DEL PROCESO AL CUAL ESTÁ PRESENTANDOSE. SE ANEXA CARTA APROBATORIA DE ESTADOS FINANCIEROS, SIN EMBARGO EL PROPONENTE ES NO HABILITADO POR VALORES OBTENIDOS EN CALCULO DEL K RESIDUAL. por lo anterior, debe subsanar.</t>
  </si>
  <si>
    <t>No presenta ningún documento de experiencia. Ni formato No. 3 ni certificados o soportes. Por lo anterior, presentando la totalidad de los documentos exigidos, debe subsanar en debida forma.</t>
  </si>
  <si>
    <t>La primera certificación no cumple con actividad principal general debido a que no se contempla instalación de mobiliario en temas relacionados con parques /espacio publico (se presentan losetas y otros elementos de instalación tipo prefabricado). Por lo tanto no cumple experiencia general principal, sin embargo cumple con la experiencia secundaria. La segunda certificación cumple con todos los requisitos, incluyen lo que menciona en el literal H, numeral 3.5.5. para certificación entre terceros. Debido a esto, solo es suficiente una certificación para quedar habilitado tecnicamente.</t>
  </si>
  <si>
    <t>Cumple con la experiencia.  Ninguno de los intregantes de la UT, presentan los documentos requeridos para acreditar la capacidad de organizacion (CO) , para el calculo del K Residual, por lo cual se solicita subsanar en debida forma.</t>
  </si>
  <si>
    <t xml:space="preserve">El integrante GRUPO TITANIUM SAS no cumple en sus contratos aportados con el area minima exigida para cada uno de ellos, sin embargo al sumar las areas de la totalidad de contratos presentados por el proponente, se habilita </t>
  </si>
  <si>
    <t>El proponente cumplio con los requisitos técnicos solicitados en el pliego de condiciones.
EL PROPONENTE PRESENTO LOS DOCUMENTOS DONDE SE PUEDE CALCULAR EL KRESIDUAL, COMO LO MUESTRA LA IMAGEN PRESENTADA, SIN EMBARGO, DEBERA SUBSANAR EN DEBIDA FORMA POR CUANTO EN EL DOCUMENTO DE ESTADO DE  RESULTADOS NO ESTA DEBIDAMENTE FIRMADO POR EL REVISOR FISCAL, DE ACUERDO AL NUMERAL 3.10.2 DEL PLIEGO DE CONDICIONES.</t>
  </si>
  <si>
    <t>El proponente cumplio con los requisitos técnicos solicitados en el pliego de condiciones.
Cumplio con los soportes y el calculo del Kresidual.</t>
  </si>
  <si>
    <t xml:space="preserve">HABITADO </t>
  </si>
  <si>
    <t>El proponente cumplio con los requisitos técnicos solicitados en el pliego de condiciones.
PARA EL K RESIDUAL  DEBERA SUBSANAR EN DEBIDA FORMA POR CUANTO, EL PROPONENTE GERMINAR EN EL DOCUMENTO DE ESTADO DE RESULTADOS NO ESTA DEBIDAMENTE FIRMADO POR EL REVISOR FISCAL, DE ACUERDDO AL NUMERAL 3.10.2 DEL PLIEGO DE CONDICIONES.</t>
  </si>
  <si>
    <t>El proponente cumplio con los requisitos técnicos solicitados en el pliego de condiciones
Cumplio con los soportes y el calculo del Kresidual.</t>
  </si>
  <si>
    <t>El proponente NO CUMPLE con los requisitos técnicos solicitados en el pliego de condiciones, en relacion a la experiencia especifica en el contrato No. 1, y la experiencia general y especifica en el contrato No. 2 . Por lo anterior, debera subsanar en debida forma.
Cumplio con los soportes y el calculo del Kresidual.</t>
  </si>
  <si>
    <t>CUMPLE CON LA EXPERIENCIA DE CONFORMIDAD A LA INFORMACION DE LA INTEGRACION DEL CONSORCIO VERIFICADA EN EL SECOP II, SIN EMBARGO, NO PRESENTA DOCUMENTO DE CONFORMACION CONSORCIAL, POR LO ANTERIOR, DEBE ADJUNTAR DICHO DOCUMENTO.
NO SE REALIZO EL K RESIDUAL POR CUANTO EL PROPONENTE NO ADJUNTO EL DOCUMENTO DE CONFORMACION CONSORCIAL.</t>
  </si>
  <si>
    <t>EL PROPONENTE DE CONFORMIDAD A LA OBSERVACION MEDIANTE OFICIO No. CP‐SAS‐098‐2022 ANEXA DOCUMENTO CONSORCIAL DONDE SE PUEDE VERIFICAR LA RESPECTIVA PARTICIPACION DE LOS INTEGRANTES DEL MISMO.  IGUALMENTE , CON EL RESPECTIVO SOPORTE DE LA SUBASANACION SE CALIFICO EL K RESIDUAL EL CUAL QUEDO HABILITADO.</t>
  </si>
  <si>
    <t>El proponente cumplio con los requisitos técnicos solicitados en el pliego de condiciones
LA CAPACIDAD RESIDUAL DEL PROPONENTE NO ES MAYOR O IGUAL A LA CAPACIDAD RESIDUAL DEL PROCESO DE CONTRATACION.</t>
  </si>
  <si>
    <t xml:space="preserve">
Para el contrato relacionado, el mismo no cumple para la actividad principal de experiencia general, por cuanto lo señalado en el contrato corresponde a intervencion en la malla vial, diferente a lo solicitado en los pliegos de condiciones 
LA CAPACIDAD RESIDUAL DEL PROPONENTE NO ES MAYOR O IGUAL A LA CAPACIDAD RESIDUAL DEL PROCESO DE CONTRATACION.
EL INTEGRANTE DEL CONSORCIO  WILLIAMS.CO EN EL DOCUMENTO DE ESTADO DE RESULTADOS  NO APORTA LOS RESPECTIVOS SOPORTES DE ACUERDO AL NUMERAL 3.10.2 DEL PLIEGO DE CONDICIONES."
</t>
  </si>
  <si>
    <t xml:space="preserve">El contrato No. 1, no cumple con lo requerido en el pliego de condiciones con relacion a:
CONSTRUCCIÓN Y/O RECONSTRUCCIÓN DE PARQUES  Ó ||. CONSTRUCCIÓN Y/O RECONSTRUCCIÓN DE ESPACIO PUBLICO    
Asi mismo, los documentos presentados no se puede descrimir las actividades reales para calcular la actividad principal y la experiencia especifica en zonas verdes, urbanismo y/o paisajismo.
Para el contrato No. 2 relacionado y toda vez que la contratacion es entre particulares se hace necesario anexar los documentos exigidos en el pliego de condiciones en el numeral 3.5.5
"Para efectos de acreditación de experiencia entre particulares, el Proponente deberá aportar,además,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
</t>
  </si>
  <si>
    <t xml:space="preserve">SUPERA EL LIMITE DE LOS CONTRATOS EN EJECUCION, POR LO TANTO NO CUMPLE CON LA CAPACIDAD RESIDUAL PARA LLEVAR A CABO DICHO CONTRATO.  </t>
  </si>
  <si>
    <t>CARLOS ARANGO</t>
  </si>
  <si>
    <t>CONSTRULINEA INGENIERIA SAS</t>
  </si>
  <si>
    <t>VAL UNIT</t>
  </si>
  <si>
    <t>AIU</t>
  </si>
  <si>
    <t>U 5%</t>
  </si>
  <si>
    <t>TOTAL</t>
  </si>
  <si>
    <t>SUBTOTAL</t>
  </si>
  <si>
    <t>VALOR REPORTADO</t>
  </si>
  <si>
    <t>TOTAL REAL</t>
  </si>
  <si>
    <t>FRENTE</t>
  </si>
  <si>
    <t>LUGAR</t>
  </si>
  <si>
    <t>COSTO</t>
  </si>
  <si>
    <t>IVA UTILIDAD</t>
  </si>
  <si>
    <t>AREA</t>
  </si>
  <si>
    <t>F 4</t>
  </si>
  <si>
    <t>PARQUE RONDA RÍO NORTE - ENTRE CRA. 7 y CRA. 5</t>
  </si>
  <si>
    <t>F 4-2</t>
  </si>
  <si>
    <t>F5</t>
  </si>
  <si>
    <t>PARQUE RONDA RÍO SUR - ENTRE CRA. 5 y CRA. 1I</t>
  </si>
  <si>
    <t>El proponente manifiesta por medio de subsanació "Me dirijo a la entidad con el fin de adjuntar el acta de terminación para su verificación de la actividad secundaria requerida en el presente proceso.", sin embargo el documento que mencionan no se encuentra dentro de la carpeta "grupo 1".</t>
  </si>
  <si>
    <t>El proponente subsana en adecuada forma. Contiene mobiliario, paisajismos y se estipula el área intervenida.</t>
  </si>
  <si>
    <t>El proponente manifiesta por medio de subsanació "Me dirijo a la entidad con el fin de adjuntar el acta de terminación para su verificación de la actividad secundaria requerida en el presente proceso. Aclaramos a la entidad que este proceso es directo con FINDETER, entidad que realiza pagos e intervención directa a la obra contratada." Sin embargo dicho documento no se encuentra adjunto.</t>
  </si>
  <si>
    <t>EJECUCIÓN DE ESTUDIOS, DISEÑOS, CONSTRUCCIÓN Y PUESTA EN
FUNCIONAMIENTO DE UN PARQUE RECREO DEPORTIVO UBICADO EN LA URBANIZACIÓN TULIPANES DE LA ITALIA EN EL MUNICIPIO DE
PALMIRA, DEPARTAMENTO DE VALLE DEL CAUCA; UN PARQUE RECREO DEPORTIVO UBICADO EN LA URBANIZACIÓN MIRADOR DE
LLANO GRANDE ETAPA B, C, D, J, M Y N EN EL MUNICIPIO DE PEREIRA, DEPARTAMENTO DE RISARALDA; UN PARQUE RECREO DEPORTIVO UBICADO EN LA URBANIZACIÓN MI SUEÑO EN
EL MUNICIPIO DE VIJES, DEPARTAMENTO DE VALLE DEL CAUCA; Y UN PARQUE RECREO DEPORTIVO UBICADO EN LA URBANIZACIÓN
SAN JOSÉ EN EL MUNICIPIO DE ARMENIA, DEPARTAMENTO DE QUINDÍO”.</t>
  </si>
  <si>
    <t>FINDETER</t>
  </si>
  <si>
    <t>72101500 -72141300-72153100-  49221500</t>
  </si>
  <si>
    <t>El proponente subsana adecuadamente. Unicamente se tiene en cuenta el valor de ejecución del contrato.</t>
  </si>
  <si>
    <t>LA EJECUCIÓN DE ESTUDIOS, DISEÑOS, CONSTRUCCIÓN Y PUESTA EN FUNCIONAMIENTO DE UN PARQUE RECREO DEPORTIVO UBICADO EN LA URBANIZACION CIUDADELA TERRANOVA ETAPA I, II, III Y IV EN EL MUNICIPIO DE JAMUNDI; UN PARQUE
RECREO DEPORTIVO UBICADO EN LA URBANIZACION HACIENDA VERDE EN EL MUNICIPIO DE YUMBO Y UN PARUQE RECREO
DEPORTIVO UBICADO EN LA URBANIZACION LA ZAFRA ETAPA I, II, II Y IV EN EL MUNICIPIO DE CANDELARIA DEPARTAMENTO DEL VALLE DEL CAUCA”.</t>
  </si>
  <si>
    <t>721015 
721513
721531
492215</t>
  </si>
  <si>
    <t xml:space="preserve">721015 
721413
721531
</t>
  </si>
  <si>
    <t>CUMPLE CON LA EXPERIENCIA DE CONFORMIDAD A LA INFORMACION DE LA INTEGRACION DEL CONSORCIO VERIFICADA EN EL SECOP II, SIN EMBARGO, NO PRESENTA DOCUMENTO DE CONFORMACION CONSORCIAL, POR LO ANTERIOR, DEBE ADJUNTAR DICHO DOCUMENTO.
SE SUBSANO EN DEBIDA FORMA</t>
  </si>
  <si>
    <t>721413 
 721015 
 721531</t>
  </si>
  <si>
    <t xml:space="preserve">El contrato señalado, no cumple con lo requerido en el pliego de condiciones con relacion a :
CONSTRUCCIÓN Y/O RECONSTRUCCIÓN DE PARQUES  Ó ||. CONSTRUCCIÓN Y/O RECONSTRUCCIÓN DE ESPACIO PUBLICO    
Asi mismo, los documentos presentados no se puede descrimir las actividades reales para calcular la actividad principal y la experiencia especifica en zonas verdes, urbanismo y/o paisajismo.
</t>
  </si>
  <si>
    <t xml:space="preserve">Para el contrato relacionado y toda vez que la contratacion es entre particulares se hace necesario anexar los documentos exigidos en el pliego de condiciones en el numeral 3.5.5
"Para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
</t>
  </si>
  <si>
    <t xml:space="preserve"> APIA PROYECTOS Y SOLUCIONES SAS - CONSTRUSOCIAL SAS </t>
  </si>
  <si>
    <t>$ 6.363.440.257,00</t>
  </si>
  <si>
    <t xml:space="preserve"> 72 14 13 - 72 15 31 - </t>
  </si>
  <si>
    <t xml:space="preserve"> $ 6.363.440.257 </t>
  </si>
  <si>
    <t xml:space="preserve"> $ 28.939.271.072,00 </t>
  </si>
  <si>
    <t xml:space="preserve"> 72 14 13 - 72 15 31 </t>
  </si>
  <si>
    <t>LICITACIÓN PÚBLICA    FDLT-LP-004-2022</t>
  </si>
  <si>
    <t>Verificación Capacidad Residual</t>
  </si>
  <si>
    <t xml:space="preserve">OBSERVACIONES </t>
  </si>
  <si>
    <t> </t>
  </si>
  <si>
    <t>EL PROPONENTE SUBSANA EN DEBIDA FORMA</t>
  </si>
  <si>
    <t>EL PROPONENTE ENTREGA CERTIFICACION DE ESTADOS FINANCIEROS FIRMADOS POR REVISOR FISCAL, CONTADOR Y REPRESENTANTE LEGAL</t>
  </si>
  <si>
    <t>EL PROPONENTE ENTREGA CERTIFICACION DE ESTADOS FINANCIEROS FIRMADOS POR REVISOR FISCAL, CONTADOR Y REPRESENTANTE LEGAL. LOS FORMATOS 5.1 ESTÁN CORTADOS Y NO PRESENTAN TODA LA INFORMACIÓN.</t>
  </si>
  <si>
    <t>EL PROPONENTE HACE UN ANALISIS DETALLADO DE LOS VALORES A TENER EN CUENTA, ADEMÁS TIENE CERTIFICACIONES DE REVISOR FISCAL, CON FIRMA DE CONTADOR Y REPRESENTANTE LEGAL.</t>
  </si>
  <si>
    <t>EL PROPONENTE ENTREGA CERTIFICACION DE ESTADOS FINANCIEROS FIRMADOS POR REVISOR FISCAL, CONTADOR Y REPRESENTANTE LEGAL EL PROPONENTE ADJUNTA CERTIFICACIÓN FIRMADA DECLARANDO EL VALOR A EMPLEAR EN MEJORES INGRESOS DE LOS ULTIMOS 5 AÑOS.</t>
  </si>
  <si>
    <t>El integrante del Consorcio Unal AVL-DHE, DHE Ingenieria SAS muestra ingresos operacionales en cero.Se calcula bajo la siguiente condicion: "Por favor ingrese el mejor ingreso operacional de los últimos 5 años. Si los ingresos operacionales son inferiores a USD$ 125.000 o COP$ 228.842.000, la Capacidad Organizacional es  de COP$ 228.842.000", la cual se encuentra en el formato de calculo del Kresidual de Colombia Compra Eficiente</t>
  </si>
  <si>
    <t xml:space="preserve"> RECHAZADO </t>
  </si>
  <si>
    <t xml:space="preserve">RECHAZADO 					</t>
  </si>
  <si>
    <t>RECHAZADO</t>
  </si>
  <si>
    <t>El proponente subsana el K residual en debida forma</t>
  </si>
  <si>
    <t>El proponente subsana en debida forma los requerimiento de experiencia para dos certificaciones presentadas (3472 y 3473 de 2018), sin embargo no se encontraron los otros dos certificados que enuncian el oficio de subsanación. Sin embargo, con los dos contratos que cumplen con experiencia general, experiencia especifica y experiencia secundaria es suficiente para ser HABILITADO por experiencia. K residual se aceptan los formatos enviados corregidos y se calcula nuevamente.</t>
  </si>
  <si>
    <t>El proponente subsana en debida forma, teniendo en cuenta que el presupuesto que se tiene en cuenta, es lo que relaciona con construcción.</t>
  </si>
  <si>
    <t xml:space="preserve">El proponente cumplio con los requisitos técnicos solicitados en el pliego de condiciones.
</t>
  </si>
  <si>
    <t>UNA VEZ EL PROPONENTE PRESENTA LAS SUBSANACIONES PARA EL KRESIDUAL, SE VUELVE A REALIZAR EL RESPECTIVO CALCULO, LO CUAL ARROJA EL CUMPLIMIENTO DEL MISMO.</t>
  </si>
  <si>
    <r>
      <rPr>
        <sz val="11"/>
        <color rgb="FFFF0000"/>
        <rFont val="Calibri"/>
        <family val="2"/>
      </rPr>
      <t xml:space="preserve">
</t>
    </r>
    <r>
      <rPr>
        <sz val="11"/>
        <color rgb="FF000000"/>
        <rFont val="Calibri"/>
        <family val="2"/>
      </rPr>
      <t xml:space="preserve">Para el contrato relacionado, el mismo no cumple para la actividad principal de experiencia general, por cuanto lo señalado en el contrato corresponde a intervencion en la malla vial, diferente a lo solicitado en los pliegos de condiciones 
</t>
    </r>
    <r>
      <rPr>
        <sz val="11"/>
        <color rgb="FFFF0000"/>
        <rFont val="Calibri"/>
        <family val="2"/>
      </rPr>
      <t xml:space="preserve">
</t>
    </r>
    <r>
      <rPr>
        <sz val="11"/>
        <color rgb="FF000000"/>
        <rFont val="Calibri"/>
        <family val="2"/>
      </rPr>
      <t xml:space="preserve">LA CAPACIDAD RESIDUAL DEL PROPONENTE NO ES MAYOR O IGUAL A LA CAPACIDAD RESIDUAL DEL PROCESO DE CONTRATACION.
EL INTEGRANTE DEL CONSORCIO  WILLIAMS.CO EN EL DOCUMENTO DE ESTADO DE RESULTADOS  NO APORTA LOS RESPECTIVOS SOPORTES DE ACUERDO AL NUMERAL 3.10.2 DEL PLIEGO DE CONDICIONES."
</t>
    </r>
  </si>
  <si>
    <t xml:space="preserve">Verificado el acta de liquidacion y de conformidad a lo relacionado por el proponente en la subsanacion  se verifica que el contrato No 1 cumple con lo exigido en el pliego de condiciones  y se habilita al proponente.
ASI MISMO, UNA VEZ EL PROPONENTE SE VERIFICA LOS ESTADOS FINANCIEROS DEL AÑO SEÑALADO EN LA SUBSANACION  Y SE VUELVE A REALIZAR EL RESPECTIVO CALCULO, LO CUAL ARROJA EL CUMPLIMIENTO DEL MISMO.
</t>
  </si>
  <si>
    <t xml:space="preserve">Verificado la certificacion y de conformidad a lo relacionado por el proponente en la subsanacion y cumpliendo lo señalado en el pliego de condiciones, se verifica que cumple con las actividades de construccion de espacio público y se habilita al proponente.
</t>
  </si>
  <si>
    <t>SE CORRIGIO Y ACLARO LA CAPACIDAD RESIDUAL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</si>
</sst>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_ ;[Red]\-#,##0\ "/>
    <numFmt numFmtId="172" formatCode="0.00000000"/>
    <numFmt numFmtId="173" formatCode="0.0%"/>
    <numFmt numFmtId="174" formatCode="_-[$$-409]* #,##0.00_ ;_-[$$-409]* \-#,##0.00\ ;_-[$$-409]* &quot;-&quot;??_ ;_-@_ "/>
  </numFmts>
  <fonts count="103"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rgb="FF000000"/>
      <name val="Calibri"/>
      <family val="2"/>
      <charset val="1"/>
    </font>
    <font>
      <b/>
      <sz val="20"/>
      <color rgb="FF000000"/>
      <name val="Calibri"/>
      <family val="2"/>
      <charset val="1"/>
    </font>
    <font>
      <sz val="11"/>
      <color rgb="FF000000"/>
      <name val="Calibri"/>
      <family val="2"/>
      <charset val="1"/>
    </font>
    <font>
      <sz val="10"/>
      <name val="Arial"/>
      <family val="2"/>
    </font>
    <font>
      <b/>
      <sz val="18"/>
      <color rgb="FF000000"/>
      <name val="Calibri"/>
      <family val="2"/>
    </font>
    <font>
      <sz val="12"/>
      <color rgb="FF000000"/>
      <name val="Arial"/>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b/>
      <sz val="18"/>
      <color rgb="FFFF0000"/>
      <name val="Calibri"/>
      <family val="2"/>
    </font>
    <font>
      <b/>
      <sz val="18"/>
      <color rgb="FFFF0000"/>
      <name val="Calibri"/>
      <family val="2"/>
      <charset val="1"/>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color rgb="FF000000"/>
      <name val="Calibri"/>
      <family val="2"/>
      <charset val="1"/>
    </font>
    <font>
      <b/>
      <sz val="12"/>
      <name val="Arial"/>
      <family val="2"/>
    </font>
    <font>
      <b/>
      <sz val="18"/>
      <color theme="1"/>
      <name val="Calibri"/>
      <family val="2"/>
    </font>
    <font>
      <b/>
      <u/>
      <sz val="18"/>
      <color rgb="FFFF0000"/>
      <name val="Calibri"/>
      <family val="2"/>
    </font>
    <font>
      <sz val="11"/>
      <color theme="1"/>
      <name val="Calibri"/>
      <family val="2"/>
    </font>
    <font>
      <sz val="11"/>
      <color theme="1"/>
      <name val="Calibri"/>
      <family val="2"/>
    </font>
    <font>
      <b/>
      <sz val="11"/>
      <color theme="1"/>
      <name val="Calibri"/>
      <family val="2"/>
      <scheme val="minor"/>
    </font>
    <font>
      <b/>
      <sz val="14"/>
      <color theme="1"/>
      <name val="Calibri"/>
      <family val="2"/>
      <scheme val="minor"/>
    </font>
    <font>
      <b/>
      <sz val="16"/>
      <color theme="1"/>
      <name val="Calibri"/>
      <family val="2"/>
      <scheme val="minor"/>
    </font>
    <font>
      <b/>
      <sz val="11"/>
      <color theme="1"/>
      <name val="Arial Narrow"/>
      <family val="2"/>
    </font>
    <font>
      <b/>
      <sz val="10"/>
      <color theme="1"/>
      <name val="Calibri"/>
      <family val="2"/>
      <scheme val="minor"/>
    </font>
    <font>
      <b/>
      <sz val="12"/>
      <color rgb="FFFF0000"/>
      <name val="Arial"/>
      <family val="2"/>
    </font>
    <font>
      <b/>
      <sz val="16"/>
      <color rgb="FFFF0000"/>
      <name val="Calibri"/>
      <family val="2"/>
    </font>
    <font>
      <b/>
      <sz val="11"/>
      <color rgb="FF000000"/>
      <name val="Calibri"/>
      <family val="2"/>
    </font>
    <font>
      <b/>
      <sz val="18"/>
      <color theme="1"/>
      <name val="Arial"/>
      <family val="2"/>
      <charset val="1"/>
    </font>
    <font>
      <b/>
      <sz val="11"/>
      <color rgb="FF000000"/>
      <name val="Calibri"/>
      <family val="2"/>
      <charset val="1"/>
    </font>
    <font>
      <sz val="10"/>
      <color indexed="8"/>
      <name val="MS Sans Serif"/>
      <family val="2"/>
    </font>
    <font>
      <sz val="11"/>
      <color theme="0"/>
      <name val="Calibri"/>
      <family val="2"/>
      <charset val="1"/>
    </font>
    <font>
      <b/>
      <sz val="16"/>
      <name val="Calibri"/>
      <family val="2"/>
    </font>
    <font>
      <b/>
      <sz val="18"/>
      <name val="Calibri"/>
      <family val="2"/>
    </font>
    <font>
      <sz val="11"/>
      <name val="Calibri"/>
      <family val="2"/>
      <scheme val="minor"/>
    </font>
    <font>
      <b/>
      <sz val="14"/>
      <name val="Arial"/>
      <family val="2"/>
    </font>
    <font>
      <b/>
      <sz val="12"/>
      <color rgb="FF000000"/>
      <name val="Calibri"/>
      <family val="2"/>
    </font>
    <font>
      <b/>
      <sz val="11"/>
      <name val="Calibri"/>
      <family val="2"/>
      <scheme val="minor"/>
    </font>
    <font>
      <sz val="11"/>
      <name val="Calibri"/>
      <family val="2"/>
    </font>
    <font>
      <b/>
      <sz val="24"/>
      <color theme="0"/>
      <name val="Arial"/>
      <family val="2"/>
      <charset val="1"/>
    </font>
    <font>
      <b/>
      <sz val="36"/>
      <color theme="0"/>
      <name val="Arial"/>
      <family val="2"/>
      <charset val="1"/>
    </font>
    <font>
      <b/>
      <sz val="28"/>
      <color theme="0"/>
      <name val="Calibri"/>
      <family val="2"/>
    </font>
    <font>
      <b/>
      <sz val="10"/>
      <color rgb="FFFF0000"/>
      <name val="Calibri"/>
      <family val="2"/>
      <charset val="1"/>
    </font>
    <font>
      <b/>
      <sz val="10"/>
      <color theme="1"/>
      <name val="Calibri"/>
      <family val="2"/>
      <charset val="1"/>
    </font>
    <font>
      <sz val="10"/>
      <color rgb="FF000000"/>
      <name val="Calibri"/>
      <family val="2"/>
      <charset val="1"/>
    </font>
    <font>
      <b/>
      <u/>
      <sz val="10"/>
      <color rgb="FFFF0000"/>
      <name val="Calibri"/>
      <family val="2"/>
      <charset val="1"/>
    </font>
    <font>
      <b/>
      <sz val="10"/>
      <name val="Calibri"/>
      <family val="2"/>
      <charset val="1"/>
    </font>
    <font>
      <b/>
      <sz val="10"/>
      <color rgb="FF000000"/>
      <name val="Calibri"/>
      <family val="2"/>
      <charset val="1"/>
    </font>
    <font>
      <b/>
      <sz val="12"/>
      <color rgb="FF000000"/>
      <name val="Calibri"/>
      <family val="2"/>
      <charset val="1"/>
    </font>
    <font>
      <sz val="11"/>
      <color rgb="FFFF0000"/>
      <name val="Calibri"/>
      <family val="2"/>
      <scheme val="minor"/>
    </font>
    <font>
      <b/>
      <sz val="16"/>
      <color rgb="FF000000"/>
      <name val="Calibri"/>
      <family val="2"/>
    </font>
    <font>
      <sz val="14"/>
      <color rgb="FF000000"/>
      <name val="Arial"/>
      <family val="2"/>
    </font>
    <font>
      <b/>
      <u/>
      <sz val="18"/>
      <name val="Calibri"/>
      <family val="2"/>
      <charset val="1"/>
    </font>
    <font>
      <b/>
      <sz val="10"/>
      <name val="Calibri"/>
      <family val="2"/>
    </font>
    <font>
      <b/>
      <sz val="16"/>
      <name val="Arial"/>
      <family val="2"/>
      <charset val="1"/>
    </font>
    <font>
      <b/>
      <sz val="20"/>
      <color rgb="FFFF0000"/>
      <name val="Calibri"/>
      <family val="2"/>
    </font>
    <font>
      <sz val="12"/>
      <name val="Arial"/>
      <family val="2"/>
    </font>
    <font>
      <b/>
      <sz val="16"/>
      <color rgb="FFFF0000"/>
      <name val="Calibri"/>
      <family val="2"/>
      <scheme val="minor"/>
    </font>
    <font>
      <b/>
      <i/>
      <sz val="11"/>
      <color rgb="FF000000"/>
      <name val="Calibri"/>
      <family val="2"/>
    </font>
    <font>
      <b/>
      <u/>
      <sz val="18"/>
      <color rgb="FF000000"/>
      <name val="Calibri"/>
      <family val="2"/>
    </font>
    <font>
      <sz val="12"/>
      <color rgb="FFFF0000"/>
      <name val="Arial"/>
      <family val="2"/>
    </font>
    <font>
      <sz val="12"/>
      <name val="Arial"/>
      <family val="2"/>
    </font>
    <font>
      <b/>
      <sz val="12"/>
      <name val="Arial"/>
      <family val="2"/>
    </font>
    <font>
      <sz val="12"/>
      <color rgb="FF000000"/>
      <name val="Arial"/>
      <family val="2"/>
    </font>
    <font>
      <b/>
      <sz val="14"/>
      <name val="Arial"/>
      <family val="2"/>
    </font>
    <font>
      <b/>
      <sz val="12"/>
      <color rgb="FF000000"/>
      <name val="Arial"/>
      <family val="2"/>
    </font>
    <font>
      <sz val="11"/>
      <color rgb="FFFF0000"/>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sz val="11"/>
      <color rgb="FFFF0000"/>
      <name val="Calibri"/>
      <family val="2"/>
    </font>
    <font>
      <sz val="11"/>
      <color rgb="FF000000"/>
      <name val="Calibri"/>
      <family val="2"/>
    </font>
    <font>
      <b/>
      <sz val="12"/>
      <color rgb="FFFF0000"/>
      <name val="Arial"/>
      <family val="2"/>
      <charset val="1"/>
    </font>
    <font>
      <sz val="11"/>
      <color rgb="FFFF0000"/>
      <name val="Calibri"/>
      <family val="2"/>
      <charset val="1"/>
    </font>
    <font>
      <b/>
      <sz val="12"/>
      <color rgb="FF000000"/>
      <name val="Arial"/>
      <family val="2"/>
      <charset val="1"/>
    </font>
    <font>
      <sz val="12"/>
      <color rgb="FF000000"/>
      <name val="Arial"/>
      <family val="2"/>
      <charset val="1"/>
    </font>
    <font>
      <b/>
      <sz val="12"/>
      <color rgb="FF000000"/>
      <name val="Arial"/>
      <family val="2"/>
    </font>
    <font>
      <sz val="11"/>
      <color rgb="FF000000"/>
      <name val="Calibri"/>
      <family val="2"/>
    </font>
    <font>
      <sz val="11"/>
      <name val="Calibri"/>
      <family val="2"/>
      <charset val="1"/>
    </font>
    <font>
      <sz val="11"/>
      <color rgb="FF000000"/>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11"/>
      <color theme="1"/>
      <name val="Arial Narrow"/>
      <family val="2"/>
    </font>
    <font>
      <b/>
      <sz val="10"/>
      <color theme="1"/>
      <name val="Calibri"/>
      <family val="2"/>
      <scheme val="minor"/>
    </font>
    <font>
      <b/>
      <sz val="11"/>
      <color rgb="FF000000"/>
      <name val="Calibri"/>
      <family val="2"/>
      <scheme val="minor"/>
    </font>
  </fonts>
  <fills count="20">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7"/>
        <bgColor indexed="64"/>
      </patternFill>
    </fill>
    <fill>
      <patternFill patternType="solid">
        <fgColor theme="2" tint="-9.9978637043366805E-2"/>
        <bgColor rgb="FFFFFFCC"/>
      </patternFill>
    </fill>
    <fill>
      <patternFill patternType="solid">
        <fgColor theme="2" tint="-9.9978637043366805E-2"/>
        <bgColor rgb="FFCCFFFF"/>
      </patternFill>
    </fill>
    <fill>
      <patternFill patternType="solid">
        <fgColor theme="1" tint="0.34998626667073579"/>
        <bgColor indexed="64"/>
      </patternFill>
    </fill>
    <fill>
      <patternFill patternType="solid">
        <fgColor theme="4" tint="0.79998168889431442"/>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14999847407452621"/>
        <bgColor rgb="FF000000"/>
      </patternFill>
    </fill>
    <fill>
      <patternFill patternType="solid">
        <fgColor theme="0" tint="-0.14999847407452621"/>
        <bgColor indexed="64"/>
      </patternFill>
    </fill>
    <fill>
      <patternFill patternType="solid">
        <fgColor rgb="FFBFBFBF"/>
        <bgColor indexed="64"/>
      </patternFill>
    </fill>
    <fill>
      <patternFill patternType="solid">
        <fgColor rgb="FFC9C9C9"/>
        <bgColor rgb="FF000000"/>
      </patternFill>
    </fill>
  </fills>
  <borders count="100">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style="medium">
        <color auto="1"/>
      </top>
      <bottom style="thin">
        <color auto="1"/>
      </bottom>
      <diagonal/>
    </border>
    <border>
      <left/>
      <right style="thin">
        <color indexed="64"/>
      </right>
      <top style="thin">
        <color indexed="64"/>
      </top>
      <bottom style="medium">
        <color indexed="64"/>
      </bottom>
      <diagonal/>
    </border>
    <border>
      <left/>
      <right/>
      <top style="medium">
        <color indexed="64"/>
      </top>
      <bottom style="thin">
        <color auto="1"/>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auto="1"/>
      </right>
      <top/>
      <bottom style="thin">
        <color auto="1"/>
      </bottom>
      <diagonal/>
    </border>
    <border>
      <left/>
      <right style="medium">
        <color auto="1"/>
      </right>
      <top style="thin">
        <color auto="1"/>
      </top>
      <bottom style="medium">
        <color auto="1"/>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auto="1"/>
      </left>
      <right/>
      <top style="medium">
        <color auto="1"/>
      </top>
      <bottom style="thin">
        <color auto="1"/>
      </bottom>
      <diagonal/>
    </border>
    <border>
      <left/>
      <right style="medium">
        <color auto="1"/>
      </right>
      <top style="thin">
        <color auto="1"/>
      </top>
      <bottom/>
      <diagonal/>
    </border>
    <border>
      <left style="medium">
        <color indexed="64"/>
      </left>
      <right style="medium">
        <color indexed="64"/>
      </right>
      <top style="thin">
        <color auto="1"/>
      </top>
      <bottom/>
      <diagonal/>
    </border>
    <border>
      <left style="thin">
        <color auto="1"/>
      </left>
      <right/>
      <top/>
      <bottom/>
      <diagonal/>
    </border>
    <border>
      <left style="thin">
        <color rgb="FF000000"/>
      </left>
      <right style="thin">
        <color rgb="FF000000"/>
      </right>
      <top/>
      <bottom style="thin">
        <color rgb="FF000000"/>
      </bottom>
      <diagonal/>
    </border>
    <border>
      <left style="thin">
        <color auto="1"/>
      </left>
      <right/>
      <top style="medium">
        <color auto="1"/>
      </top>
      <bottom/>
      <diagonal/>
    </border>
    <border>
      <left/>
      <right style="thin">
        <color auto="1"/>
      </right>
      <top style="medium">
        <color auto="1"/>
      </top>
      <bottom/>
      <diagonal/>
    </border>
    <border>
      <left style="thin">
        <color auto="1"/>
      </left>
      <right style="medium">
        <color auto="1"/>
      </right>
      <top/>
      <bottom style="medium">
        <color auto="1"/>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medium">
        <color auto="1"/>
      </left>
      <right/>
      <top style="thin">
        <color auto="1"/>
      </top>
      <bottom/>
      <diagonal/>
    </border>
    <border>
      <left/>
      <right style="thin">
        <color indexed="64"/>
      </right>
      <top/>
      <bottom style="medium">
        <color indexed="64"/>
      </bottom>
      <diagonal/>
    </border>
    <border>
      <left style="thin">
        <color auto="1"/>
      </left>
      <right style="thin">
        <color auto="1"/>
      </right>
      <top/>
      <bottom style="medium">
        <color auto="1"/>
      </bottom>
      <diagonal/>
    </border>
    <border>
      <left style="thin">
        <color auto="1"/>
      </left>
      <right/>
      <top style="thin">
        <color rgb="FF000000"/>
      </top>
      <bottom style="medium">
        <color indexed="64"/>
      </bottom>
      <diagonal/>
    </border>
    <border>
      <left/>
      <right/>
      <top style="thin">
        <color rgb="FF000000"/>
      </top>
      <bottom style="medium">
        <color indexed="64"/>
      </bottom>
      <diagonal/>
    </border>
    <border>
      <left/>
      <right style="thin">
        <color indexed="64"/>
      </right>
      <top style="thin">
        <color rgb="FF000000"/>
      </top>
      <bottom style="medium">
        <color indexed="64"/>
      </bottom>
      <diagonal/>
    </border>
    <border>
      <left/>
      <right/>
      <top style="thin">
        <color rgb="FF000000"/>
      </top>
      <bottom style="thin">
        <color rgb="FF000000"/>
      </bottom>
      <diagonal/>
    </border>
    <border>
      <left style="thin">
        <color auto="1"/>
      </left>
      <right/>
      <top/>
      <bottom style="medium">
        <color auto="1"/>
      </bottom>
      <diagonal/>
    </border>
    <border>
      <left/>
      <right style="thin">
        <color rgb="FF000000"/>
      </right>
      <top/>
      <bottom style="thin">
        <color auto="1"/>
      </bottom>
      <diagonal/>
    </border>
    <border>
      <left style="thin">
        <color rgb="FF000000"/>
      </left>
      <right style="thin">
        <color rgb="FF000000"/>
      </right>
      <top style="thin">
        <color rgb="FF000000"/>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auto="1"/>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auto="1"/>
      </left>
      <right style="thin">
        <color rgb="FF000000"/>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right style="thin">
        <color rgb="FF000000"/>
      </right>
      <top style="dotted">
        <color rgb="FF000000"/>
      </top>
      <bottom style="dotted">
        <color rgb="FF000000"/>
      </bottom>
      <diagonal/>
    </border>
    <border>
      <left/>
      <right/>
      <top/>
      <bottom style="thin">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right style="thin">
        <color auto="1"/>
      </right>
      <top/>
      <bottom style="thin">
        <color rgb="FF000000"/>
      </bottom>
      <diagonal/>
    </border>
    <border>
      <left style="thin">
        <color auto="1"/>
      </left>
      <right/>
      <top style="thin">
        <color auto="1"/>
      </top>
      <bottom style="thin">
        <color rgb="FF000000"/>
      </bottom>
      <diagonal/>
    </border>
    <border>
      <left style="thin">
        <color rgb="FF000000"/>
      </left>
      <right style="thin">
        <color rgb="FF000000"/>
      </right>
      <top style="thin">
        <color auto="1"/>
      </top>
      <bottom/>
      <diagonal/>
    </border>
    <border>
      <left style="thin">
        <color auto="1"/>
      </left>
      <right style="thin">
        <color auto="1"/>
      </right>
      <top/>
      <bottom style="thin">
        <color rgb="FF000000"/>
      </bottom>
      <diagonal/>
    </border>
    <border>
      <left/>
      <right style="thin">
        <color rgb="FF000000"/>
      </right>
      <top style="thin">
        <color indexed="64"/>
      </top>
      <bottom style="thin">
        <color indexed="64"/>
      </bottom>
      <diagonal/>
    </border>
  </borders>
  <cellStyleXfs count="59">
    <xf numFmtId="0" fontId="0" fillId="0" borderId="0"/>
    <xf numFmtId="166" fontId="14" fillId="0" borderId="0" applyBorder="0" applyProtection="0"/>
    <xf numFmtId="164" fontId="15" fillId="0" borderId="0" applyBorder="0" applyAlignment="0" applyProtection="0"/>
    <xf numFmtId="167" fontId="14" fillId="0" borderId="0" applyBorder="0" applyProtection="0"/>
    <xf numFmtId="9" fontId="14" fillId="0" borderId="0" applyBorder="0" applyProtection="0"/>
    <xf numFmtId="0" fontId="15" fillId="0" borderId="0"/>
    <xf numFmtId="9" fontId="15" fillId="0" borderId="0" applyFont="0" applyFill="0" applyBorder="0" applyAlignment="0" applyProtection="0"/>
    <xf numFmtId="169" fontId="15" fillId="0" borderId="0" applyFont="0" applyFill="0" applyBorder="0" applyAlignment="0" applyProtection="0"/>
    <xf numFmtId="0" fontId="29" fillId="0" borderId="0" applyFill="0" applyProtection="0"/>
    <xf numFmtId="0" fontId="11" fillId="0" borderId="0"/>
    <xf numFmtId="0" fontId="35" fillId="0" borderId="0"/>
    <xf numFmtId="0" fontId="14" fillId="0" borderId="0"/>
    <xf numFmtId="42" fontId="14" fillId="0" borderId="0" applyFont="0" applyFill="0" applyBorder="0" applyAlignment="0" applyProtection="0"/>
    <xf numFmtId="166" fontId="14" fillId="0" borderId="0" applyBorder="0" applyProtection="0"/>
    <xf numFmtId="41" fontId="14" fillId="0" borderId="0" applyFont="0" applyFill="0" applyBorder="0" applyAlignment="0" applyProtection="0"/>
    <xf numFmtId="0" fontId="36" fillId="0" borderId="0"/>
    <xf numFmtId="41" fontId="14" fillId="0" borderId="0" applyFont="0" applyFill="0" applyBorder="0" applyAlignment="0" applyProtection="0"/>
    <xf numFmtId="0" fontId="10" fillId="0" borderId="0"/>
    <xf numFmtId="42" fontId="10" fillId="0" borderId="0" applyFont="0" applyFill="0" applyBorder="0" applyAlignment="0" applyProtection="0"/>
    <xf numFmtId="41" fontId="10" fillId="0" borderId="0" applyFont="0" applyFill="0" applyBorder="0" applyAlignment="0" applyProtection="0"/>
    <xf numFmtId="42" fontId="14" fillId="0" borderId="0" applyFont="0" applyFill="0" applyBorder="0" applyAlignment="0" applyProtection="0"/>
    <xf numFmtId="0" fontId="9" fillId="0" borderId="0"/>
    <xf numFmtId="42" fontId="9" fillId="0" borderId="0" applyFont="0" applyFill="0" applyBorder="0" applyAlignment="0" applyProtection="0"/>
    <xf numFmtId="41" fontId="9" fillId="0" borderId="0" applyFont="0" applyFill="0" applyBorder="0" applyAlignment="0" applyProtection="0"/>
    <xf numFmtId="0" fontId="8" fillId="0" borderId="0"/>
    <xf numFmtId="9" fontId="14"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42" fontId="15" fillId="0" borderId="0" applyFont="0" applyFill="0" applyBorder="0" applyAlignment="0" applyProtection="0"/>
    <xf numFmtId="0" fontId="7" fillId="0" borderId="0"/>
    <xf numFmtId="42" fontId="14" fillId="0" borderId="0" applyFont="0" applyFill="0" applyBorder="0" applyAlignment="0" applyProtection="0"/>
    <xf numFmtId="41" fontId="14" fillId="0" borderId="0" applyFont="0" applyFill="0" applyBorder="0" applyAlignment="0" applyProtection="0"/>
    <xf numFmtId="0" fontId="35" fillId="0" borderId="0"/>
    <xf numFmtId="41" fontId="14" fillId="0" borderId="0" applyFont="0" applyFill="0" applyBorder="0" applyAlignment="0" applyProtection="0"/>
    <xf numFmtId="0" fontId="7" fillId="0" borderId="0"/>
    <xf numFmtId="42" fontId="7" fillId="0" borderId="0" applyFont="0" applyFill="0" applyBorder="0" applyAlignment="0" applyProtection="0"/>
    <xf numFmtId="41" fontId="7" fillId="0" borderId="0" applyFont="0" applyFill="0" applyBorder="0" applyAlignment="0" applyProtection="0"/>
    <xf numFmtId="42" fontId="14" fillId="0" borderId="0" applyFont="0" applyFill="0" applyBorder="0" applyAlignment="0" applyProtection="0"/>
    <xf numFmtId="0" fontId="7" fillId="0" borderId="0"/>
    <xf numFmtId="42" fontId="7" fillId="0" borderId="0" applyFont="0" applyFill="0" applyBorder="0" applyAlignment="0" applyProtection="0"/>
    <xf numFmtId="41" fontId="7" fillId="0" borderId="0" applyFont="0" applyFill="0" applyBorder="0" applyAlignment="0" applyProtection="0"/>
    <xf numFmtId="0" fontId="7" fillId="0" borderId="0"/>
    <xf numFmtId="42" fontId="15" fillId="0" borderId="0" applyFont="0" applyFill="0" applyBorder="0" applyAlignment="0" applyProtection="0"/>
    <xf numFmtId="0" fontId="6" fillId="0" borderId="0"/>
    <xf numFmtId="41"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0" fontId="47" fillId="0" borderId="0"/>
    <xf numFmtId="0" fontId="15" fillId="0" borderId="0"/>
    <xf numFmtId="0" fontId="5" fillId="0" borderId="0"/>
    <xf numFmtId="42" fontId="5" fillId="0" borderId="0" applyFont="0" applyFill="0" applyBorder="0" applyAlignment="0" applyProtection="0"/>
    <xf numFmtId="41" fontId="5" fillId="0" borderId="0" applyFont="0" applyFill="0" applyBorder="0" applyAlignment="0" applyProtection="0"/>
    <xf numFmtId="0" fontId="5" fillId="0" borderId="0"/>
    <xf numFmtId="165" fontId="5"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44" fontId="14" fillId="0" borderId="0" applyFont="0" applyFill="0" applyBorder="0" applyAlignment="0" applyProtection="0"/>
  </cellStyleXfs>
  <cellXfs count="711">
    <xf numFmtId="0" fontId="0" fillId="0" borderId="0" xfId="0"/>
    <xf numFmtId="9" fontId="25" fillId="0" borderId="0" xfId="4" applyFont="1" applyBorder="1" applyAlignment="1" applyProtection="1">
      <alignment vertical="center"/>
    </xf>
    <xf numFmtId="0" fontId="14" fillId="0" borderId="0" xfId="11"/>
    <xf numFmtId="9" fontId="17" fillId="0" borderId="1" xfId="4" applyFont="1" applyBorder="1" applyAlignment="1" applyProtection="1">
      <alignment vertical="center"/>
    </xf>
    <xf numFmtId="0" fontId="32" fillId="0" borderId="0" xfId="11" applyFont="1" applyAlignment="1">
      <alignment horizontal="center" vertical="center" wrapText="1"/>
    </xf>
    <xf numFmtId="167" fontId="32" fillId="0" borderId="0" xfId="3" applyFont="1" applyBorder="1" applyAlignment="1" applyProtection="1">
      <alignment horizontal="center" vertical="center" wrapText="1"/>
    </xf>
    <xf numFmtId="167" fontId="32" fillId="0" borderId="11" xfId="3" applyFont="1" applyBorder="1" applyAlignment="1" applyProtection="1">
      <alignment horizontal="center" vertical="center" wrapText="1"/>
    </xf>
    <xf numFmtId="0" fontId="32" fillId="0" borderId="17" xfId="11" applyFont="1" applyBorder="1" applyAlignment="1">
      <alignment horizontal="center" vertical="center" wrapText="1"/>
    </xf>
    <xf numFmtId="0" fontId="32" fillId="0" borderId="1" xfId="11" applyFont="1" applyBorder="1" applyAlignment="1">
      <alignment horizontal="center" vertical="center" wrapText="1"/>
    </xf>
    <xf numFmtId="0" fontId="9" fillId="0" borderId="12" xfId="21" applyBorder="1"/>
    <xf numFmtId="0" fontId="9" fillId="0" borderId="23" xfId="21" applyBorder="1"/>
    <xf numFmtId="0" fontId="9" fillId="0" borderId="0" xfId="21"/>
    <xf numFmtId="0" fontId="9" fillId="0" borderId="8" xfId="21" applyBorder="1"/>
    <xf numFmtId="0" fontId="9" fillId="0" borderId="13" xfId="21" applyBorder="1"/>
    <xf numFmtId="0" fontId="9" fillId="0" borderId="2" xfId="21" applyBorder="1"/>
    <xf numFmtId="0" fontId="37" fillId="0" borderId="5" xfId="21" applyFont="1" applyBorder="1"/>
    <xf numFmtId="170" fontId="40" fillId="0" borderId="12" xfId="22" applyNumberFormat="1" applyFont="1" applyBorder="1"/>
    <xf numFmtId="0" fontId="40" fillId="0" borderId="12" xfId="21" applyFont="1" applyBorder="1" applyAlignment="1">
      <alignment horizontal="center"/>
    </xf>
    <xf numFmtId="168" fontId="40" fillId="0" borderId="38" xfId="23" applyNumberFormat="1" applyFont="1" applyBorder="1" applyAlignment="1">
      <alignment horizontal="center" vertical="center" wrapText="1"/>
    </xf>
    <xf numFmtId="0" fontId="37" fillId="0" borderId="38" xfId="21" applyFont="1" applyBorder="1" applyAlignment="1">
      <alignment horizontal="center" vertical="center" wrapText="1"/>
    </xf>
    <xf numFmtId="0" fontId="41" fillId="0" borderId="38" xfId="21" applyFont="1" applyBorder="1" applyAlignment="1">
      <alignment horizontal="center" vertical="center" wrapText="1"/>
    </xf>
    <xf numFmtId="0" fontId="37" fillId="0" borderId="39" xfId="21" applyFont="1" applyBorder="1" applyAlignment="1">
      <alignment horizontal="center" vertical="center" wrapText="1"/>
    </xf>
    <xf numFmtId="0" fontId="22" fillId="0" borderId="30" xfId="11" applyFont="1" applyBorder="1" applyAlignment="1">
      <alignment horizontal="justify" vertical="center" wrapText="1"/>
    </xf>
    <xf numFmtId="42" fontId="22" fillId="0" borderId="1" xfId="12" applyFont="1" applyFill="1" applyBorder="1" applyAlignment="1">
      <alignment horizontal="center" vertical="center" wrapText="1"/>
    </xf>
    <xf numFmtId="4" fontId="22" fillId="0" borderId="1" xfId="13" applyNumberFormat="1" applyFont="1" applyBorder="1" applyAlignment="1" applyProtection="1">
      <alignment vertical="center" wrapText="1"/>
    </xf>
    <xf numFmtId="0" fontId="14" fillId="4" borderId="0" xfId="11" applyFill="1" applyAlignment="1">
      <alignment vertical="center"/>
    </xf>
    <xf numFmtId="0" fontId="14" fillId="0" borderId="0" xfId="11" applyAlignment="1">
      <alignment vertical="center"/>
    </xf>
    <xf numFmtId="0" fontId="48" fillId="0" borderId="0" xfId="11" applyFont="1" applyAlignment="1">
      <alignment vertical="center"/>
    </xf>
    <xf numFmtId="0" fontId="30" fillId="0" borderId="24" xfId="11" applyFont="1" applyBorder="1" applyAlignment="1">
      <alignment horizontal="justify" vertical="center"/>
    </xf>
    <xf numFmtId="0" fontId="44" fillId="0" borderId="7" xfId="11" applyFont="1" applyBorder="1" applyAlignment="1">
      <alignment horizontal="center" vertical="center" wrapText="1"/>
    </xf>
    <xf numFmtId="168" fontId="21" fillId="0" borderId="14" xfId="16" applyNumberFormat="1" applyFont="1" applyFill="1" applyBorder="1" applyAlignment="1" applyProtection="1">
      <alignment horizontal="center" vertical="center" wrapText="1"/>
    </xf>
    <xf numFmtId="4" fontId="21" fillId="0" borderId="16" xfId="13" applyNumberFormat="1" applyFont="1" applyBorder="1" applyAlignment="1" applyProtection="1">
      <alignment horizontal="center" vertical="center" wrapText="1"/>
    </xf>
    <xf numFmtId="0" fontId="22" fillId="0" borderId="30" xfId="11" applyFont="1" applyBorder="1" applyAlignment="1">
      <alignment horizontal="center" vertical="center" wrapText="1"/>
    </xf>
    <xf numFmtId="0" fontId="31" fillId="0" borderId="0" xfId="11" applyFont="1" applyAlignment="1">
      <alignment vertical="center"/>
    </xf>
    <xf numFmtId="0" fontId="32" fillId="0" borderId="1" xfId="11" applyFont="1" applyBorder="1" applyAlignment="1">
      <alignment horizontal="left" vertical="center" wrapText="1"/>
    </xf>
    <xf numFmtId="168" fontId="49" fillId="0" borderId="1" xfId="16" applyNumberFormat="1" applyFont="1" applyBorder="1" applyAlignment="1">
      <alignment vertical="center"/>
    </xf>
    <xf numFmtId="0" fontId="42" fillId="0" borderId="20" xfId="11" applyFont="1" applyBorder="1" applyAlignment="1">
      <alignment horizontal="left" vertical="center" wrapText="1"/>
    </xf>
    <xf numFmtId="42" fontId="42" fillId="0" borderId="20" xfId="12" applyFont="1" applyBorder="1" applyAlignment="1">
      <alignment horizontal="left" vertical="center" wrapText="1"/>
    </xf>
    <xf numFmtId="41" fontId="42" fillId="0" borderId="0" xfId="16" applyFont="1" applyBorder="1" applyAlignment="1">
      <alignment vertical="center" wrapText="1"/>
    </xf>
    <xf numFmtId="168" fontId="43" fillId="0" borderId="0" xfId="16" applyNumberFormat="1" applyFont="1" applyBorder="1" applyAlignment="1">
      <alignment vertical="center"/>
    </xf>
    <xf numFmtId="171" fontId="42" fillId="0" borderId="0" xfId="11" applyNumberFormat="1" applyFont="1" applyAlignment="1">
      <alignment horizontal="center" vertical="center" wrapText="1"/>
    </xf>
    <xf numFmtId="41" fontId="42" fillId="0" borderId="0" xfId="16" applyFont="1" applyBorder="1" applyAlignment="1">
      <alignment horizontal="center" vertical="center" wrapText="1"/>
    </xf>
    <xf numFmtId="0" fontId="42" fillId="0" borderId="0" xfId="11" applyFont="1" applyAlignment="1">
      <alignment horizontal="left" vertical="center" wrapText="1"/>
    </xf>
    <xf numFmtId="42" fontId="42" fillId="0" borderId="0" xfId="12" applyFont="1" applyBorder="1" applyAlignment="1">
      <alignment horizontal="left" vertical="center" wrapText="1"/>
    </xf>
    <xf numFmtId="0" fontId="26" fillId="0" borderId="0" xfId="11" applyFont="1" applyAlignment="1">
      <alignment vertical="center"/>
    </xf>
    <xf numFmtId="0" fontId="50" fillId="0" borderId="0" xfId="11" applyFont="1" applyAlignment="1">
      <alignment horizontal="left" vertical="center" wrapText="1"/>
    </xf>
    <xf numFmtId="167" fontId="16" fillId="0" borderId="0" xfId="3" applyFont="1" applyBorder="1" applyAlignment="1" applyProtection="1">
      <alignment vertical="center"/>
    </xf>
    <xf numFmtId="10" fontId="28" fillId="0" borderId="0" xfId="11" applyNumberFormat="1" applyFont="1" applyAlignment="1">
      <alignment horizontal="center" vertical="center" wrapText="1"/>
    </xf>
    <xf numFmtId="0" fontId="18" fillId="0" borderId="0" xfId="11" applyFont="1" applyAlignment="1">
      <alignment vertical="center" wrapText="1"/>
    </xf>
    <xf numFmtId="0" fontId="19" fillId="0" borderId="0" xfId="11" applyFont="1" applyAlignment="1">
      <alignment vertical="center" wrapText="1"/>
    </xf>
    <xf numFmtId="0" fontId="20" fillId="0" borderId="0" xfId="11" applyFont="1" applyAlignment="1">
      <alignment vertical="center" wrapText="1"/>
    </xf>
    <xf numFmtId="0" fontId="14" fillId="0" borderId="0" xfId="11" applyAlignment="1">
      <alignment wrapText="1"/>
    </xf>
    <xf numFmtId="0" fontId="14" fillId="0" borderId="0" xfId="11" applyAlignment="1">
      <alignment horizontal="left" vertical="center" wrapText="1"/>
    </xf>
    <xf numFmtId="0" fontId="14" fillId="0" borderId="0" xfId="11" applyAlignment="1">
      <alignment vertical="center" wrapText="1"/>
    </xf>
    <xf numFmtId="0" fontId="51" fillId="0" borderId="1" xfId="11" applyFont="1" applyBorder="1" applyAlignment="1">
      <alignment horizontal="center" vertical="center"/>
    </xf>
    <xf numFmtId="0" fontId="14" fillId="0" borderId="19" xfId="11" applyBorder="1" applyAlignment="1">
      <alignment vertical="center"/>
    </xf>
    <xf numFmtId="0" fontId="46" fillId="0" borderId="9" xfId="11" applyFont="1" applyBorder="1" applyAlignment="1">
      <alignment horizontal="left" vertical="center" wrapText="1"/>
    </xf>
    <xf numFmtId="0" fontId="13" fillId="0" borderId="11" xfId="11" applyFont="1" applyBorder="1" applyAlignment="1">
      <alignment vertical="center"/>
    </xf>
    <xf numFmtId="0" fontId="13" fillId="0" borderId="0" xfId="11" applyFont="1" applyAlignment="1">
      <alignment vertical="center"/>
    </xf>
    <xf numFmtId="0" fontId="12" fillId="0" borderId="0" xfId="11" applyFont="1" applyAlignment="1">
      <alignment vertical="center"/>
    </xf>
    <xf numFmtId="0" fontId="12" fillId="0" borderId="6" xfId="11" applyFont="1" applyBorder="1" applyAlignment="1">
      <alignment vertical="center" wrapText="1"/>
    </xf>
    <xf numFmtId="0" fontId="14" fillId="0" borderId="1" xfId="11" applyBorder="1" applyAlignment="1">
      <alignment vertical="center"/>
    </xf>
    <xf numFmtId="172" fontId="9" fillId="0" borderId="0" xfId="21" applyNumberFormat="1"/>
    <xf numFmtId="0" fontId="24" fillId="0" borderId="0" xfId="11" applyFont="1" applyAlignment="1">
      <alignment horizontal="left" vertical="center" wrapText="1"/>
    </xf>
    <xf numFmtId="0" fontId="24" fillId="0" borderId="0" xfId="11" applyFont="1" applyAlignment="1">
      <alignment horizontal="justify" vertical="center" wrapText="1"/>
    </xf>
    <xf numFmtId="41" fontId="32" fillId="0" borderId="0" xfId="16" applyFont="1" applyBorder="1" applyAlignment="1">
      <alignment horizontal="center" vertical="center" wrapText="1"/>
    </xf>
    <xf numFmtId="9" fontId="32" fillId="0" borderId="1" xfId="11" applyNumberFormat="1" applyFont="1" applyBorder="1" applyAlignment="1">
      <alignment horizontal="center" vertical="center" wrapText="1"/>
    </xf>
    <xf numFmtId="42" fontId="52" fillId="0" borderId="1" xfId="20" applyFont="1" applyBorder="1" applyAlignment="1">
      <alignment vertical="center" wrapText="1"/>
    </xf>
    <xf numFmtId="168" fontId="23" fillId="0" borderId="25" xfId="16" applyNumberFormat="1" applyFont="1" applyBorder="1" applyAlignment="1">
      <alignment horizontal="center" vertical="center"/>
    </xf>
    <xf numFmtId="1" fontId="32" fillId="0" borderId="1" xfId="3" applyNumberFormat="1" applyFont="1" applyBorder="1" applyAlignment="1" applyProtection="1">
      <alignment horizontal="center" vertical="center" wrapText="1"/>
    </xf>
    <xf numFmtId="9" fontId="44" fillId="0" borderId="1" xfId="4" applyFont="1" applyBorder="1" applyAlignment="1">
      <alignment horizontal="center" vertical="center"/>
    </xf>
    <xf numFmtId="168" fontId="45" fillId="0" borderId="27" xfId="16" applyNumberFormat="1" applyFont="1" applyBorder="1" applyAlignment="1">
      <alignment vertical="center"/>
    </xf>
    <xf numFmtId="4" fontId="21" fillId="0" borderId="31" xfId="13" applyNumberFormat="1" applyFont="1" applyBorder="1" applyAlignment="1" applyProtection="1">
      <alignment vertical="center" wrapText="1"/>
    </xf>
    <xf numFmtId="0" fontId="0" fillId="0" borderId="0" xfId="0" applyAlignment="1">
      <alignment horizontal="center" vertical="center"/>
    </xf>
    <xf numFmtId="0" fontId="0" fillId="0" borderId="1" xfId="0" applyBorder="1" applyAlignment="1">
      <alignment horizontal="center" vertical="center"/>
    </xf>
    <xf numFmtId="0" fontId="12" fillId="3" borderId="37" xfId="11" applyFont="1" applyFill="1" applyBorder="1" applyAlignment="1">
      <alignment horizontal="center" vertical="center" wrapText="1"/>
    </xf>
    <xf numFmtId="0" fontId="12" fillId="3" borderId="38" xfId="11" applyFont="1" applyFill="1" applyBorder="1" applyAlignment="1">
      <alignment horizontal="center" vertical="center" wrapText="1"/>
    </xf>
    <xf numFmtId="0" fontId="12" fillId="3" borderId="39" xfId="11" applyFont="1" applyFill="1" applyBorder="1" applyAlignment="1">
      <alignment horizontal="center" vertical="center" wrapText="1"/>
    </xf>
    <xf numFmtId="0" fontId="54" fillId="0" borderId="1" xfId="21" applyFont="1" applyBorder="1" applyAlignment="1">
      <alignment vertical="center"/>
    </xf>
    <xf numFmtId="0" fontId="54" fillId="0" borderId="1" xfId="11" applyFont="1" applyBorder="1" applyAlignment="1">
      <alignment horizontal="center" vertical="center"/>
    </xf>
    <xf numFmtId="0" fontId="55" fillId="0" borderId="1" xfId="0" applyFont="1" applyBorder="1" applyAlignment="1">
      <alignment vertical="center"/>
    </xf>
    <xf numFmtId="0" fontId="21" fillId="10" borderId="7" xfId="11" applyFont="1" applyFill="1" applyBorder="1" applyAlignment="1">
      <alignment horizontal="center" vertical="center" wrapText="1"/>
    </xf>
    <xf numFmtId="0" fontId="21" fillId="11" borderId="26" xfId="11" applyFont="1" applyFill="1" applyBorder="1" applyAlignment="1">
      <alignment horizontal="center" vertical="center" wrapText="1"/>
    </xf>
    <xf numFmtId="0" fontId="21" fillId="11" borderId="1" xfId="11" applyFont="1" applyFill="1" applyBorder="1" applyAlignment="1">
      <alignment horizontal="center" vertical="center" wrapText="1"/>
    </xf>
    <xf numFmtId="0" fontId="30" fillId="11" borderId="1" xfId="11" applyFont="1" applyFill="1" applyBorder="1" applyAlignment="1">
      <alignment horizontal="center" vertical="center" wrapText="1"/>
    </xf>
    <xf numFmtId="1" fontId="19" fillId="8" borderId="7" xfId="3" applyNumberFormat="1" applyFont="1" applyFill="1" applyBorder="1" applyAlignment="1" applyProtection="1">
      <alignment horizontal="center" vertical="center"/>
    </xf>
    <xf numFmtId="0" fontId="21" fillId="8" borderId="28" xfId="11" applyFont="1" applyFill="1" applyBorder="1" applyAlignment="1">
      <alignment vertical="center" wrapText="1"/>
    </xf>
    <xf numFmtId="0" fontId="21" fillId="8" borderId="15" xfId="11" applyFont="1" applyFill="1" applyBorder="1" applyAlignment="1">
      <alignment vertical="center" wrapText="1"/>
    </xf>
    <xf numFmtId="0" fontId="21" fillId="8" borderId="1" xfId="11" applyFont="1" applyFill="1" applyBorder="1" applyAlignment="1">
      <alignment vertical="center" wrapText="1"/>
    </xf>
    <xf numFmtId="0" fontId="21" fillId="8" borderId="14" xfId="11" applyFont="1" applyFill="1" applyBorder="1" applyAlignment="1">
      <alignment vertical="center" wrapText="1"/>
    </xf>
    <xf numFmtId="0" fontId="21" fillId="8" borderId="30" xfId="11" applyFont="1" applyFill="1" applyBorder="1" applyAlignment="1">
      <alignment vertical="center" wrapText="1"/>
    </xf>
    <xf numFmtId="0" fontId="21" fillId="8" borderId="16" xfId="11" applyFont="1" applyFill="1" applyBorder="1" applyAlignment="1">
      <alignment vertical="center" wrapText="1"/>
    </xf>
    <xf numFmtId="0" fontId="56" fillId="9" borderId="32" xfId="11" applyFont="1" applyFill="1" applyBorder="1" applyAlignment="1">
      <alignment horizontal="center" vertical="center" wrapText="1"/>
    </xf>
    <xf numFmtId="0" fontId="61" fillId="0" borderId="0" xfId="11" applyFont="1" applyAlignment="1">
      <alignment vertical="center"/>
    </xf>
    <xf numFmtId="0" fontId="61" fillId="0" borderId="0" xfId="0" applyFont="1"/>
    <xf numFmtId="0" fontId="59" fillId="0" borderId="0" xfId="11" applyFont="1" applyAlignment="1">
      <alignment horizontal="left" vertical="center" wrapText="1"/>
    </xf>
    <xf numFmtId="9" fontId="59" fillId="0" borderId="0" xfId="4" applyFont="1" applyBorder="1" applyAlignment="1" applyProtection="1">
      <alignment vertical="center"/>
    </xf>
    <xf numFmtId="0" fontId="61" fillId="0" borderId="0" xfId="11" applyFont="1" applyAlignment="1">
      <alignment horizontal="center" vertical="center" wrapText="1"/>
    </xf>
    <xf numFmtId="9" fontId="0" fillId="0" borderId="14" xfId="25" applyFont="1" applyBorder="1" applyAlignment="1">
      <alignment horizontal="center" vertical="center"/>
    </xf>
    <xf numFmtId="0" fontId="62" fillId="0" borderId="0" xfId="11" applyFont="1" applyAlignment="1">
      <alignment horizontal="center" vertical="center" wrapText="1"/>
    </xf>
    <xf numFmtId="14" fontId="22" fillId="0" borderId="1" xfId="3" applyNumberFormat="1" applyFont="1" applyBorder="1" applyAlignment="1" applyProtection="1">
      <alignment horizontal="center" vertical="center" wrapText="1"/>
    </xf>
    <xf numFmtId="0" fontId="26" fillId="0" borderId="0" xfId="11" applyFont="1" applyAlignment="1">
      <alignment horizontal="center" vertical="center" wrapText="1"/>
    </xf>
    <xf numFmtId="0" fontId="34" fillId="0" borderId="0" xfId="11" applyFont="1" applyAlignment="1">
      <alignment horizontal="center" vertical="center" wrapText="1"/>
    </xf>
    <xf numFmtId="0" fontId="21" fillId="10" borderId="22" xfId="11" applyFont="1" applyFill="1" applyBorder="1" applyAlignment="1">
      <alignment horizontal="center" vertical="center" wrapText="1"/>
    </xf>
    <xf numFmtId="0" fontId="27" fillId="0" borderId="0" xfId="11" applyFont="1" applyAlignment="1">
      <alignment horizontal="center" vertical="center" wrapText="1"/>
    </xf>
    <xf numFmtId="0" fontId="27" fillId="5" borderId="35" xfId="11" applyFont="1" applyFill="1" applyBorder="1" applyAlignment="1">
      <alignment horizontal="center" vertical="center" wrapText="1"/>
    </xf>
    <xf numFmtId="6" fontId="28" fillId="7" borderId="30" xfId="11" applyNumberFormat="1" applyFont="1" applyFill="1" applyBorder="1" applyAlignment="1">
      <alignment horizontal="center" vertical="center" wrapText="1"/>
    </xf>
    <xf numFmtId="6" fontId="28" fillId="0" borderId="30" xfId="11" applyNumberFormat="1" applyFont="1" applyBorder="1" applyAlignment="1">
      <alignment horizontal="center" vertical="center" wrapText="1"/>
    </xf>
    <xf numFmtId="6" fontId="28" fillId="0" borderId="50" xfId="11" applyNumberFormat="1" applyFont="1" applyBorder="1" applyAlignment="1">
      <alignment horizontal="center" vertical="center" wrapText="1"/>
    </xf>
    <xf numFmtId="0" fontId="27" fillId="5" borderId="48" xfId="11" applyFont="1" applyFill="1" applyBorder="1" applyAlignment="1">
      <alignment horizontal="center" vertical="center" wrapText="1"/>
    </xf>
    <xf numFmtId="0" fontId="28" fillId="6" borderId="52" xfId="11" applyFont="1" applyFill="1" applyBorder="1" applyAlignment="1">
      <alignment horizontal="center" vertical="center" wrapText="1"/>
    </xf>
    <xf numFmtId="0" fontId="28" fillId="0" borderId="52" xfId="11" applyFont="1" applyBorder="1" applyAlignment="1">
      <alignment horizontal="center" vertical="center" wrapText="1"/>
    </xf>
    <xf numFmtId="0" fontId="28" fillId="0" borderId="53" xfId="11" applyFont="1" applyBorder="1" applyAlignment="1">
      <alignment horizontal="center" vertical="center" wrapText="1"/>
    </xf>
    <xf numFmtId="0" fontId="63" fillId="0" borderId="0" xfId="11" applyFont="1" applyAlignment="1">
      <alignment horizontal="left" vertical="center" wrapText="1"/>
    </xf>
    <xf numFmtId="0" fontId="37" fillId="0" borderId="1" xfId="17" applyFont="1" applyBorder="1" applyAlignment="1">
      <alignment horizontal="left" vertical="center" wrapText="1"/>
    </xf>
    <xf numFmtId="0" fontId="37" fillId="0" borderId="7" xfId="17" applyFont="1" applyBorder="1" applyAlignment="1">
      <alignment horizontal="left" vertical="center" wrapText="1"/>
    </xf>
    <xf numFmtId="0" fontId="21" fillId="11" borderId="14" xfId="11" applyFont="1" applyFill="1" applyBorder="1" applyAlignment="1">
      <alignment horizontal="center" vertical="center" wrapText="1"/>
    </xf>
    <xf numFmtId="0" fontId="21" fillId="8" borderId="14" xfId="11" applyFont="1" applyFill="1" applyBorder="1" applyAlignment="1">
      <alignment horizontal="center" vertical="center" wrapText="1"/>
    </xf>
    <xf numFmtId="0" fontId="21" fillId="8" borderId="16" xfId="11" applyFont="1" applyFill="1" applyBorder="1" applyAlignment="1">
      <alignment horizontal="center" vertical="center" wrapText="1"/>
    </xf>
    <xf numFmtId="0" fontId="22" fillId="0" borderId="1" xfId="11" applyFont="1" applyBorder="1" applyAlignment="1">
      <alignment horizontal="center" vertical="center" wrapText="1"/>
    </xf>
    <xf numFmtId="0" fontId="67" fillId="0" borderId="0" xfId="11" applyFont="1" applyAlignment="1">
      <alignment vertical="center"/>
    </xf>
    <xf numFmtId="0" fontId="28" fillId="0" borderId="56" xfId="11" applyFont="1" applyBorder="1" applyAlignment="1">
      <alignment horizontal="center" vertical="center" wrapText="1"/>
    </xf>
    <xf numFmtId="6" fontId="28" fillId="0" borderId="55" xfId="11" applyNumberFormat="1" applyFont="1" applyBorder="1" applyAlignment="1">
      <alignment horizontal="center" vertical="center" wrapText="1"/>
    </xf>
    <xf numFmtId="0" fontId="0" fillId="0" borderId="1" xfId="0" applyBorder="1" applyAlignment="1">
      <alignment horizontal="center" vertical="center" wrapText="1"/>
    </xf>
    <xf numFmtId="0" fontId="3" fillId="0" borderId="7" xfId="21" applyFont="1" applyBorder="1" applyAlignment="1">
      <alignment horizontal="center" vertical="center"/>
    </xf>
    <xf numFmtId="0" fontId="3" fillId="0" borderId="1" xfId="21" applyFont="1" applyBorder="1" applyAlignment="1">
      <alignment horizontal="center" vertical="center"/>
    </xf>
    <xf numFmtId="0" fontId="3" fillId="0" borderId="0" xfId="21" applyFont="1" applyAlignment="1">
      <alignment horizontal="center"/>
    </xf>
    <xf numFmtId="0" fontId="0" fillId="0" borderId="0" xfId="0" applyAlignment="1">
      <alignment vertical="center"/>
    </xf>
    <xf numFmtId="0" fontId="53" fillId="13" borderId="1" xfId="0" applyFont="1" applyFill="1" applyBorder="1" applyAlignment="1">
      <alignment horizontal="center" vertical="center"/>
    </xf>
    <xf numFmtId="0" fontId="53" fillId="13" borderId="1" xfId="0" applyFont="1" applyFill="1" applyBorder="1" applyAlignment="1">
      <alignment horizontal="center" vertical="center" wrapText="1"/>
    </xf>
    <xf numFmtId="0" fontId="0" fillId="0" borderId="10" xfId="0" applyBorder="1" applyAlignment="1">
      <alignment horizontal="center" vertical="center"/>
    </xf>
    <xf numFmtId="9" fontId="0" fillId="0" borderId="22" xfId="25" applyFont="1" applyBorder="1" applyAlignment="1">
      <alignment horizontal="center" vertical="center"/>
    </xf>
    <xf numFmtId="0" fontId="0" fillId="0" borderId="22" xfId="0" applyBorder="1" applyAlignment="1">
      <alignment horizontal="center" vertical="center"/>
    </xf>
    <xf numFmtId="3" fontId="68" fillId="0" borderId="0" xfId="0" applyNumberFormat="1" applyFont="1"/>
    <xf numFmtId="0" fontId="24" fillId="0" borderId="0" xfId="11" applyFont="1" applyAlignment="1">
      <alignment horizontal="center" vertical="center" wrapText="1"/>
    </xf>
    <xf numFmtId="0" fontId="59" fillId="0" borderId="0" xfId="11" applyFont="1" applyAlignment="1">
      <alignment horizontal="center" vertical="center" wrapText="1"/>
    </xf>
    <xf numFmtId="2" fontId="21" fillId="8" borderId="45" xfId="11" applyNumberFormat="1" applyFont="1" applyFill="1" applyBorder="1" applyAlignment="1">
      <alignment horizontal="center" vertical="center" wrapText="1"/>
    </xf>
    <xf numFmtId="0" fontId="37" fillId="0" borderId="24" xfId="21" applyFont="1" applyBorder="1" applyAlignment="1">
      <alignment horizontal="center" vertical="center"/>
    </xf>
    <xf numFmtId="0" fontId="37" fillId="0" borderId="26" xfId="21" applyFont="1" applyBorder="1" applyAlignment="1">
      <alignment horizontal="center" vertical="center"/>
    </xf>
    <xf numFmtId="3" fontId="0" fillId="0" borderId="1" xfId="0" applyNumberFormat="1" applyBorder="1" applyAlignment="1">
      <alignment horizontal="center" vertical="center"/>
    </xf>
    <xf numFmtId="0" fontId="0" fillId="0" borderId="10" xfId="0" applyBorder="1" applyAlignment="1">
      <alignment horizontal="center" vertical="center" wrapText="1"/>
    </xf>
    <xf numFmtId="3" fontId="0" fillId="0" borderId="22" xfId="0" applyNumberFormat="1" applyBorder="1" applyAlignment="1">
      <alignment horizontal="center" vertical="center"/>
    </xf>
    <xf numFmtId="0" fontId="22" fillId="0" borderId="15" xfId="11" applyFont="1" applyBorder="1" applyAlignment="1">
      <alignment horizontal="center" vertical="center" wrapText="1"/>
    </xf>
    <xf numFmtId="0" fontId="22" fillId="0" borderId="20" xfId="11" applyFont="1" applyBorder="1" applyAlignment="1">
      <alignment horizontal="center" vertical="center" wrapText="1"/>
    </xf>
    <xf numFmtId="0" fontId="14" fillId="15" borderId="0" xfId="11" applyFill="1"/>
    <xf numFmtId="0" fontId="14" fillId="14" borderId="0" xfId="11" applyFill="1"/>
    <xf numFmtId="0" fontId="37" fillId="0" borderId="38" xfId="21" applyFont="1" applyBorder="1" applyAlignment="1">
      <alignment horizontal="center" vertical="center"/>
    </xf>
    <xf numFmtId="0" fontId="32" fillId="8" borderId="1" xfId="11" applyFont="1" applyFill="1" applyBorder="1" applyAlignment="1">
      <alignment vertical="center" wrapText="1"/>
    </xf>
    <xf numFmtId="0" fontId="28" fillId="6" borderId="51" xfId="11" applyFont="1" applyFill="1" applyBorder="1" applyAlignment="1">
      <alignment horizontal="center" vertical="center" wrapText="1"/>
    </xf>
    <xf numFmtId="6" fontId="28" fillId="7" borderId="49" xfId="11" applyNumberFormat="1" applyFont="1" applyFill="1" applyBorder="1" applyAlignment="1">
      <alignment horizontal="center" vertical="center" wrapText="1"/>
    </xf>
    <xf numFmtId="0" fontId="22" fillId="0" borderId="14" xfId="11" applyFont="1" applyBorder="1" applyAlignment="1">
      <alignment horizontal="center" vertical="center" wrapText="1"/>
    </xf>
    <xf numFmtId="0" fontId="0" fillId="7" borderId="1" xfId="0" applyFill="1" applyBorder="1" applyAlignment="1">
      <alignment horizontal="center" vertical="center"/>
    </xf>
    <xf numFmtId="0" fontId="30" fillId="7" borderId="24" xfId="11" applyFont="1" applyFill="1" applyBorder="1" applyAlignment="1">
      <alignment horizontal="justify" vertical="center"/>
    </xf>
    <xf numFmtId="1" fontId="19" fillId="7" borderId="7" xfId="3" applyNumberFormat="1" applyFont="1" applyFill="1" applyBorder="1" applyAlignment="1" applyProtection="1">
      <alignment horizontal="center" vertical="center"/>
    </xf>
    <xf numFmtId="0" fontId="44" fillId="7" borderId="7" xfId="11" applyFont="1" applyFill="1" applyBorder="1" applyAlignment="1">
      <alignment horizontal="center" vertical="center" wrapText="1"/>
    </xf>
    <xf numFmtId="168" fontId="23" fillId="7" borderId="25" xfId="16" applyNumberFormat="1" applyFont="1" applyFill="1" applyBorder="1" applyAlignment="1">
      <alignment horizontal="center" vertical="center"/>
    </xf>
    <xf numFmtId="1" fontId="73" fillId="0" borderId="1" xfId="3" applyNumberFormat="1" applyFont="1" applyBorder="1" applyAlignment="1" applyProtection="1">
      <alignment horizontal="center" vertical="center" wrapText="1"/>
    </xf>
    <xf numFmtId="168" fontId="22" fillId="0" borderId="14" xfId="16" applyNumberFormat="1" applyFont="1" applyFill="1" applyBorder="1" applyAlignment="1" applyProtection="1">
      <alignment horizontal="center" vertical="center" wrapText="1"/>
    </xf>
    <xf numFmtId="0" fontId="22" fillId="0" borderId="47" xfId="11" applyFont="1" applyBorder="1" applyAlignment="1">
      <alignment horizontal="center" vertical="center" wrapText="1"/>
    </xf>
    <xf numFmtId="0" fontId="21" fillId="8" borderId="20" xfId="11" applyFont="1" applyFill="1" applyBorder="1" applyAlignment="1">
      <alignment vertical="center" wrapText="1"/>
    </xf>
    <xf numFmtId="0" fontId="21" fillId="8" borderId="0" xfId="11" applyFont="1" applyFill="1" applyAlignment="1">
      <alignment vertical="center" wrapText="1"/>
    </xf>
    <xf numFmtId="2" fontId="21" fillId="8" borderId="13" xfId="11" applyNumberFormat="1" applyFont="1" applyFill="1" applyBorder="1" applyAlignment="1">
      <alignment horizontal="center" vertical="center" wrapText="1"/>
    </xf>
    <xf numFmtId="0" fontId="21" fillId="8" borderId="15" xfId="11" applyFont="1" applyFill="1" applyBorder="1" applyAlignment="1">
      <alignment horizontal="center" vertical="center" wrapText="1"/>
    </xf>
    <xf numFmtId="4" fontId="22" fillId="0" borderId="1" xfId="13" applyNumberFormat="1" applyFont="1" applyBorder="1" applyAlignment="1" applyProtection="1">
      <alignment horizontal="center" vertical="center" wrapText="1"/>
    </xf>
    <xf numFmtId="0" fontId="21" fillId="8" borderId="1" xfId="11" applyFont="1" applyFill="1" applyBorder="1" applyAlignment="1">
      <alignment horizontal="center" vertical="center" wrapText="1"/>
    </xf>
    <xf numFmtId="0" fontId="32" fillId="8" borderId="1" xfId="11" applyFont="1" applyFill="1" applyBorder="1" applyAlignment="1">
      <alignment horizontal="center" vertical="center" wrapText="1"/>
    </xf>
    <xf numFmtId="9" fontId="17" fillId="7" borderId="1" xfId="4" applyFont="1" applyFill="1" applyBorder="1" applyAlignment="1" applyProtection="1">
      <alignment horizontal="center" vertical="center"/>
    </xf>
    <xf numFmtId="49" fontId="21" fillId="0" borderId="14" xfId="16" applyNumberFormat="1" applyFont="1" applyFill="1" applyBorder="1" applyAlignment="1" applyProtection="1">
      <alignment horizontal="center" vertical="center" wrapText="1"/>
    </xf>
    <xf numFmtId="0" fontId="3" fillId="0" borderId="14" xfId="21" applyFont="1" applyBorder="1" applyAlignment="1">
      <alignment horizontal="center" vertical="center"/>
    </xf>
    <xf numFmtId="0" fontId="0" fillId="0" borderId="30" xfId="21" applyFont="1" applyBorder="1" applyAlignment="1">
      <alignment vertical="center" wrapText="1"/>
    </xf>
    <xf numFmtId="0" fontId="3" fillId="0" borderId="30" xfId="21" applyFont="1" applyBorder="1" applyAlignment="1">
      <alignment vertical="center" wrapText="1"/>
    </xf>
    <xf numFmtId="0" fontId="14" fillId="0" borderId="30" xfId="11" applyBorder="1" applyAlignment="1">
      <alignment vertical="center" wrapText="1"/>
    </xf>
    <xf numFmtId="0" fontId="37" fillId="0" borderId="1" xfId="21" applyFont="1" applyBorder="1" applyAlignment="1">
      <alignment horizontal="center" vertical="center"/>
    </xf>
    <xf numFmtId="0" fontId="59" fillId="0" borderId="1" xfId="11" applyFont="1" applyBorder="1" applyAlignment="1">
      <alignment vertical="center"/>
    </xf>
    <xf numFmtId="0" fontId="27" fillId="5" borderId="0" xfId="11" applyFont="1" applyFill="1" applyAlignment="1">
      <alignment horizontal="center" vertical="center" wrapText="1"/>
    </xf>
    <xf numFmtId="6" fontId="28" fillId="7" borderId="0" xfId="11" applyNumberFormat="1" applyFont="1" applyFill="1" applyAlignment="1">
      <alignment horizontal="center" vertical="center" wrapText="1"/>
    </xf>
    <xf numFmtId="6" fontId="28" fillId="0" borderId="0" xfId="11" applyNumberFormat="1" applyFont="1" applyAlignment="1">
      <alignment horizontal="center" vertical="center" wrapText="1"/>
    </xf>
    <xf numFmtId="4" fontId="0" fillId="0" borderId="0" xfId="0" applyNumberFormat="1"/>
    <xf numFmtId="0" fontId="75" fillId="0" borderId="33" xfId="0" applyFont="1" applyBorder="1"/>
    <xf numFmtId="0" fontId="75" fillId="0" borderId="34" xfId="0" applyFont="1" applyBorder="1"/>
    <xf numFmtId="44" fontId="0" fillId="0" borderId="0" xfId="58" applyFont="1"/>
    <xf numFmtId="44" fontId="75" fillId="0" borderId="48" xfId="58" applyFont="1" applyBorder="1"/>
    <xf numFmtId="173" fontId="0" fillId="0" borderId="0" xfId="25" applyNumberFormat="1" applyFont="1"/>
    <xf numFmtId="9" fontId="0" fillId="0" borderId="0" xfId="0" applyNumberFormat="1"/>
    <xf numFmtId="2" fontId="75" fillId="0" borderId="48" xfId="58" applyNumberFormat="1" applyFont="1" applyBorder="1"/>
    <xf numFmtId="2" fontId="32" fillId="0" borderId="1" xfId="3" applyNumberFormat="1" applyFont="1" applyBorder="1" applyAlignment="1" applyProtection="1">
      <alignment horizontal="center" vertical="center" wrapText="1"/>
    </xf>
    <xf numFmtId="3" fontId="22" fillId="0" borderId="1" xfId="13" applyNumberFormat="1" applyFont="1" applyBorder="1" applyAlignment="1" applyProtection="1">
      <alignment horizontal="right" vertical="center" wrapText="1"/>
    </xf>
    <xf numFmtId="10" fontId="17" fillId="0" borderId="1" xfId="4" applyNumberFormat="1" applyFont="1" applyBorder="1" applyAlignment="1" applyProtection="1">
      <alignment vertical="center"/>
    </xf>
    <xf numFmtId="0" fontId="21" fillId="8" borderId="55" xfId="11" applyFont="1" applyFill="1" applyBorder="1" applyAlignment="1">
      <alignment vertical="center" wrapText="1"/>
    </xf>
    <xf numFmtId="0" fontId="21" fillId="8" borderId="8" xfId="11" applyFont="1" applyFill="1" applyBorder="1" applyAlignment="1">
      <alignment vertical="center" wrapText="1"/>
    </xf>
    <xf numFmtId="0" fontId="56" fillId="9" borderId="61" xfId="11" applyFont="1" applyFill="1" applyBorder="1" applyAlignment="1">
      <alignment horizontal="center" vertical="center" wrapText="1"/>
    </xf>
    <xf numFmtId="0" fontId="30" fillId="11" borderId="3" xfId="11" applyFont="1" applyFill="1" applyBorder="1" applyAlignment="1">
      <alignment horizontal="center" vertical="center" wrapText="1"/>
    </xf>
    <xf numFmtId="0" fontId="0" fillId="0" borderId="47" xfId="0" applyBorder="1" applyAlignment="1">
      <alignment horizontal="center" vertical="center"/>
    </xf>
    <xf numFmtId="9" fontId="0" fillId="0" borderId="17" xfId="25" applyFont="1" applyBorder="1" applyAlignment="1">
      <alignment horizontal="center" vertical="center"/>
    </xf>
    <xf numFmtId="0" fontId="0" fillId="0" borderId="57" xfId="0" applyBorder="1" applyAlignment="1">
      <alignment horizontal="center" vertical="center"/>
    </xf>
    <xf numFmtId="9" fontId="0" fillId="0" borderId="47" xfId="25" applyFont="1" applyBorder="1" applyAlignment="1">
      <alignment horizontal="center" vertical="center"/>
    </xf>
    <xf numFmtId="0" fontId="0" fillId="0" borderId="66" xfId="0" applyBorder="1" applyAlignment="1">
      <alignment horizontal="center" vertical="center" wrapText="1"/>
    </xf>
    <xf numFmtId="0" fontId="0" fillId="0" borderId="65" xfId="0" applyBorder="1" applyAlignment="1">
      <alignment vertical="center" wrapText="1"/>
    </xf>
    <xf numFmtId="0" fontId="0" fillId="7" borderId="65" xfId="0" applyFill="1" applyBorder="1" applyAlignment="1">
      <alignment vertical="center" wrapText="1"/>
    </xf>
    <xf numFmtId="0" fontId="0" fillId="0" borderId="65" xfId="0" applyBorder="1" applyAlignment="1">
      <alignment vertical="center"/>
    </xf>
    <xf numFmtId="4" fontId="21" fillId="0" borderId="47" xfId="13" applyNumberFormat="1" applyFont="1" applyBorder="1" applyAlignment="1" applyProtection="1">
      <alignment horizontal="center" vertical="center" wrapText="1"/>
    </xf>
    <xf numFmtId="3" fontId="22" fillId="0" borderId="47" xfId="13" applyNumberFormat="1" applyFont="1" applyBorder="1" applyAlignment="1" applyProtection="1">
      <alignment horizontal="right" vertical="center" wrapText="1"/>
    </xf>
    <xf numFmtId="0" fontId="21" fillId="8" borderId="20" xfId="11" applyFont="1" applyFill="1" applyBorder="1" applyAlignment="1">
      <alignment horizontal="center" vertical="center" wrapText="1"/>
    </xf>
    <xf numFmtId="0" fontId="22" fillId="0" borderId="22" xfId="11" applyFont="1" applyBorder="1" applyAlignment="1">
      <alignment horizontal="center" vertical="center" wrapText="1"/>
    </xf>
    <xf numFmtId="42" fontId="22" fillId="0" borderId="47" xfId="12" applyFont="1" applyFill="1" applyBorder="1" applyAlignment="1">
      <alignment horizontal="center" vertical="center" wrapText="1"/>
    </xf>
    <xf numFmtId="1" fontId="32" fillId="0" borderId="47" xfId="3" applyNumberFormat="1" applyFont="1" applyBorder="1" applyAlignment="1" applyProtection="1">
      <alignment horizontal="center" vertical="center" wrapText="1"/>
    </xf>
    <xf numFmtId="4" fontId="22" fillId="0" borderId="47" xfId="13" applyNumberFormat="1" applyFont="1" applyBorder="1" applyAlignment="1" applyProtection="1">
      <alignment vertical="center" wrapText="1"/>
    </xf>
    <xf numFmtId="173" fontId="77" fillId="0" borderId="47" xfId="4" applyNumberFormat="1" applyFont="1" applyBorder="1" applyAlignment="1" applyProtection="1">
      <alignment vertical="center"/>
    </xf>
    <xf numFmtId="14" fontId="22" fillId="0" borderId="47" xfId="3" applyNumberFormat="1" applyFont="1" applyBorder="1" applyAlignment="1" applyProtection="1">
      <alignment horizontal="center" vertical="center" wrapText="1"/>
    </xf>
    <xf numFmtId="168" fontId="21" fillId="0" borderId="47" xfId="16" applyNumberFormat="1" applyFont="1" applyFill="1" applyBorder="1" applyAlignment="1" applyProtection="1">
      <alignment horizontal="center" vertical="center" wrapText="1"/>
    </xf>
    <xf numFmtId="9" fontId="17" fillId="0" borderId="47" xfId="4" applyFont="1" applyBorder="1" applyAlignment="1" applyProtection="1">
      <alignment vertical="center"/>
    </xf>
    <xf numFmtId="0" fontId="21" fillId="8" borderId="10" xfId="11" applyFont="1" applyFill="1" applyBorder="1" applyAlignment="1">
      <alignment vertical="center" wrapText="1"/>
    </xf>
    <xf numFmtId="0" fontId="21" fillId="8" borderId="18" xfId="11" applyFont="1" applyFill="1" applyBorder="1" applyAlignment="1">
      <alignment vertical="center" wrapText="1"/>
    </xf>
    <xf numFmtId="0" fontId="21" fillId="8" borderId="67" xfId="11" applyFont="1" applyFill="1" applyBorder="1" applyAlignment="1">
      <alignment vertical="center" wrapText="1"/>
    </xf>
    <xf numFmtId="3" fontId="22" fillId="0" borderId="14" xfId="13" applyNumberFormat="1" applyFont="1" applyBorder="1" applyAlignment="1" applyProtection="1">
      <alignment horizontal="right" vertical="center" wrapText="1"/>
    </xf>
    <xf numFmtId="0" fontId="22" fillId="0" borderId="19" xfId="11" applyFont="1" applyBorder="1" applyAlignment="1">
      <alignment horizontal="center" vertical="center" wrapText="1"/>
    </xf>
    <xf numFmtId="0" fontId="22" fillId="0" borderId="62" xfId="11" applyFont="1" applyBorder="1" applyAlignment="1">
      <alignment horizontal="center" vertical="center" wrapText="1"/>
    </xf>
    <xf numFmtId="0" fontId="66" fillId="0" borderId="1" xfId="11" applyFont="1" applyBorder="1" applyAlignment="1">
      <alignment horizontal="center" vertical="center"/>
    </xf>
    <xf numFmtId="4" fontId="22" fillId="0" borderId="3" xfId="13" applyNumberFormat="1" applyFont="1" applyBorder="1" applyAlignment="1" applyProtection="1">
      <alignment vertical="center" wrapText="1"/>
    </xf>
    <xf numFmtId="0" fontId="22" fillId="0" borderId="3" xfId="11" applyFont="1" applyBorder="1" applyAlignment="1">
      <alignment horizontal="center" vertical="center" wrapText="1"/>
    </xf>
    <xf numFmtId="42" fontId="22" fillId="0" borderId="3" xfId="12" applyFont="1" applyFill="1" applyBorder="1" applyAlignment="1">
      <alignment horizontal="center" vertical="center" wrapText="1"/>
    </xf>
    <xf numFmtId="1" fontId="32" fillId="0" borderId="3" xfId="3" applyNumberFormat="1" applyFont="1" applyBorder="1" applyAlignment="1" applyProtection="1">
      <alignment horizontal="center" vertical="center" wrapText="1"/>
    </xf>
    <xf numFmtId="9" fontId="17" fillId="0" borderId="3" xfId="4" applyFont="1" applyBorder="1" applyAlignment="1" applyProtection="1">
      <alignment vertical="center"/>
    </xf>
    <xf numFmtId="14" fontId="22" fillId="0" borderId="3" xfId="3" applyNumberFormat="1" applyFont="1" applyBorder="1" applyAlignment="1" applyProtection="1">
      <alignment horizontal="center" vertical="center" wrapText="1"/>
    </xf>
    <xf numFmtId="168" fontId="21" fillId="0" borderId="19" xfId="16" applyNumberFormat="1" applyFont="1" applyFill="1" applyBorder="1" applyAlignment="1" applyProtection="1">
      <alignment horizontal="center" vertical="center" wrapText="1"/>
    </xf>
    <xf numFmtId="4" fontId="21" fillId="0" borderId="21" xfId="13" applyNumberFormat="1" applyFont="1" applyBorder="1" applyAlignment="1" applyProtection="1">
      <alignment horizontal="center" vertical="center" wrapText="1"/>
    </xf>
    <xf numFmtId="3" fontId="22" fillId="0" borderId="3" xfId="13" applyNumberFormat="1" applyFont="1" applyBorder="1" applyAlignment="1" applyProtection="1">
      <alignment horizontal="right" vertical="center" wrapText="1"/>
    </xf>
    <xf numFmtId="4" fontId="21" fillId="0" borderId="69" xfId="13" applyNumberFormat="1" applyFont="1" applyBorder="1" applyAlignment="1" applyProtection="1">
      <alignment vertical="center" wrapText="1"/>
    </xf>
    <xf numFmtId="1" fontId="32" fillId="0" borderId="64" xfId="3" applyNumberFormat="1" applyFont="1" applyBorder="1" applyAlignment="1" applyProtection="1">
      <alignment horizontal="center" vertical="center" wrapText="1"/>
    </xf>
    <xf numFmtId="9" fontId="17" fillId="0" borderId="73" xfId="4" applyFont="1" applyBorder="1" applyAlignment="1" applyProtection="1">
      <alignment vertical="center"/>
    </xf>
    <xf numFmtId="14" fontId="22" fillId="0" borderId="65" xfId="3" applyNumberFormat="1" applyFont="1" applyBorder="1" applyAlignment="1" applyProtection="1">
      <alignment horizontal="center" vertical="center" wrapText="1"/>
    </xf>
    <xf numFmtId="0" fontId="31" fillId="0" borderId="47" xfId="11" applyFont="1" applyBorder="1" applyAlignment="1">
      <alignment vertical="center"/>
    </xf>
    <xf numFmtId="0" fontId="46" fillId="0" borderId="62" xfId="11" applyFont="1" applyBorder="1" applyAlignment="1">
      <alignment horizontal="center" vertical="center"/>
    </xf>
    <xf numFmtId="42" fontId="22" fillId="0" borderId="64" xfId="12" applyFont="1" applyFill="1" applyBorder="1" applyAlignment="1">
      <alignment horizontal="center" vertical="center" wrapText="1"/>
    </xf>
    <xf numFmtId="0" fontId="31" fillId="0" borderId="65" xfId="11" applyFont="1" applyBorder="1" applyAlignment="1">
      <alignment vertical="center"/>
    </xf>
    <xf numFmtId="0" fontId="31" fillId="0" borderId="64" xfId="11" applyFont="1" applyBorder="1" applyAlignment="1">
      <alignment vertical="center"/>
    </xf>
    <xf numFmtId="0" fontId="22" fillId="0" borderId="62" xfId="11" applyFont="1" applyBorder="1" applyAlignment="1">
      <alignment horizontal="center" vertical="top" wrapText="1"/>
    </xf>
    <xf numFmtId="0" fontId="78" fillId="0" borderId="1" xfId="11" applyFont="1" applyBorder="1" applyAlignment="1">
      <alignment horizontal="center" vertical="center" wrapText="1"/>
    </xf>
    <xf numFmtId="42" fontId="78" fillId="0" borderId="1" xfId="12" applyFont="1" applyBorder="1" applyAlignment="1">
      <alignment horizontal="center" vertical="center" wrapText="1"/>
    </xf>
    <xf numFmtId="1" fontId="79" fillId="0" borderId="1" xfId="3" applyNumberFormat="1" applyFont="1" applyBorder="1" applyAlignment="1">
      <alignment horizontal="center" vertical="center" wrapText="1"/>
    </xf>
    <xf numFmtId="2" fontId="79" fillId="0" borderId="1" xfId="3" applyNumberFormat="1" applyFont="1" applyBorder="1" applyAlignment="1">
      <alignment horizontal="center" vertical="center" wrapText="1"/>
    </xf>
    <xf numFmtId="4" fontId="78" fillId="0" borderId="1" xfId="13" applyNumberFormat="1" applyFont="1" applyBorder="1" applyAlignment="1">
      <alignment vertical="center" wrapText="1"/>
    </xf>
    <xf numFmtId="9" fontId="80" fillId="0" borderId="1" xfId="4" applyFont="1" applyBorder="1" applyAlignment="1">
      <alignment vertical="center"/>
    </xf>
    <xf numFmtId="14" fontId="78" fillId="0" borderId="1" xfId="3" applyNumberFormat="1" applyFont="1" applyBorder="1" applyAlignment="1">
      <alignment horizontal="center" vertical="center" wrapText="1"/>
    </xf>
    <xf numFmtId="4" fontId="79" fillId="0" borderId="16" xfId="13" applyNumberFormat="1" applyFont="1" applyBorder="1" applyAlignment="1">
      <alignment horizontal="center" vertical="center" wrapText="1"/>
    </xf>
    <xf numFmtId="3" fontId="78" fillId="0" borderId="1" xfId="13" applyNumberFormat="1" applyFont="1" applyBorder="1" applyAlignment="1">
      <alignment horizontal="right" vertical="center" wrapText="1"/>
    </xf>
    <xf numFmtId="0" fontId="78" fillId="0" borderId="30" xfId="11" applyFont="1" applyBorder="1" applyAlignment="1">
      <alignment horizontal="center" vertical="center" wrapText="1"/>
    </xf>
    <xf numFmtId="0" fontId="0" fillId="0" borderId="0" xfId="11" applyFont="1" applyAlignment="1">
      <alignment vertical="center"/>
    </xf>
    <xf numFmtId="0" fontId="79" fillId="8" borderId="1" xfId="11" applyFont="1" applyFill="1" applyBorder="1" applyAlignment="1">
      <alignment vertical="center" wrapText="1"/>
    </xf>
    <xf numFmtId="0" fontId="79" fillId="8" borderId="14" xfId="11" applyFont="1" applyFill="1" applyBorder="1" applyAlignment="1">
      <alignment vertical="center" wrapText="1"/>
    </xf>
    <xf numFmtId="0" fontId="79" fillId="8" borderId="16" xfId="11" applyFont="1" applyFill="1" applyBorder="1" applyAlignment="1">
      <alignment vertical="center" wrapText="1"/>
    </xf>
    <xf numFmtId="0" fontId="79" fillId="8" borderId="15" xfId="11" applyFont="1" applyFill="1" applyBorder="1" applyAlignment="1">
      <alignment vertical="center" wrapText="1"/>
    </xf>
    <xf numFmtId="0" fontId="79" fillId="8" borderId="30" xfId="11" applyFont="1" applyFill="1" applyBorder="1" applyAlignment="1">
      <alignment vertical="center" wrapText="1"/>
    </xf>
    <xf numFmtId="0" fontId="21" fillId="0" borderId="67" xfId="11" applyFont="1" applyBorder="1" applyAlignment="1">
      <alignment horizontal="left" vertical="center" wrapText="1"/>
    </xf>
    <xf numFmtId="0" fontId="21" fillId="0" borderId="21" xfId="11" applyFont="1" applyBorder="1" applyAlignment="1">
      <alignment horizontal="left" vertical="center" wrapText="1"/>
    </xf>
    <xf numFmtId="49" fontId="79" fillId="0" borderId="14" xfId="16" applyNumberFormat="1" applyFont="1" applyBorder="1" applyAlignment="1">
      <alignment horizontal="center" vertical="center" wrapText="1"/>
    </xf>
    <xf numFmtId="14" fontId="22" fillId="0" borderId="14" xfId="3" applyNumberFormat="1" applyFont="1" applyBorder="1" applyAlignment="1" applyProtection="1">
      <alignment horizontal="center" vertical="center" wrapText="1"/>
    </xf>
    <xf numFmtId="168" fontId="21" fillId="0" borderId="62" xfId="16" applyNumberFormat="1" applyFont="1" applyFill="1" applyBorder="1" applyAlignment="1" applyProtection="1">
      <alignment horizontal="center" vertical="center" wrapText="1"/>
    </xf>
    <xf numFmtId="0" fontId="22" fillId="0" borderId="63" xfId="11" applyFont="1" applyBorder="1" applyAlignment="1">
      <alignment horizontal="center" vertical="center" wrapText="1"/>
    </xf>
    <xf numFmtId="1" fontId="81" fillId="8" borderId="7" xfId="3" applyNumberFormat="1" applyFont="1" applyFill="1" applyBorder="1" applyAlignment="1">
      <alignment horizontal="center" vertical="center"/>
    </xf>
    <xf numFmtId="168" fontId="21" fillId="0" borderId="63" xfId="16" applyNumberFormat="1" applyFont="1" applyFill="1" applyBorder="1" applyAlignment="1" applyProtection="1">
      <alignment horizontal="center" vertical="center" wrapText="1"/>
    </xf>
    <xf numFmtId="0" fontId="82" fillId="0" borderId="91" xfId="0" applyFont="1" applyBorder="1" applyAlignment="1">
      <alignment horizontal="center" wrapText="1"/>
    </xf>
    <xf numFmtId="0" fontId="85" fillId="0" borderId="1" xfId="11" applyFont="1" applyBorder="1" applyAlignment="1">
      <alignment horizontal="center" vertical="center"/>
    </xf>
    <xf numFmtId="0" fontId="22" fillId="7" borderId="47" xfId="11" applyFont="1" applyFill="1" applyBorder="1" applyAlignment="1">
      <alignment horizontal="center" vertical="center" wrapText="1"/>
    </xf>
    <xf numFmtId="0" fontId="51" fillId="7" borderId="1" xfId="11" applyFont="1" applyFill="1" applyBorder="1" applyAlignment="1">
      <alignment horizontal="center" vertical="center"/>
    </xf>
    <xf numFmtId="0" fontId="0" fillId="14" borderId="1" xfId="0" applyFill="1" applyBorder="1" applyAlignment="1">
      <alignment horizontal="center" vertical="center"/>
    </xf>
    <xf numFmtId="0" fontId="83" fillId="0" borderId="1" xfId="11" applyFont="1" applyBorder="1" applyAlignment="1">
      <alignment horizontal="center" vertical="center"/>
    </xf>
    <xf numFmtId="0" fontId="54" fillId="0" borderId="14" xfId="11" applyFont="1" applyBorder="1" applyAlignment="1">
      <alignment horizontal="center" vertical="center"/>
    </xf>
    <xf numFmtId="0" fontId="66" fillId="7" borderId="1" xfId="11" applyFont="1" applyFill="1" applyBorder="1" applyAlignment="1">
      <alignment horizontal="center" vertical="center"/>
    </xf>
    <xf numFmtId="0" fontId="31" fillId="18" borderId="0" xfId="11" applyFont="1" applyFill="1" applyAlignment="1">
      <alignment vertical="center"/>
    </xf>
    <xf numFmtId="4" fontId="79" fillId="18" borderId="0" xfId="13" applyNumberFormat="1" applyFont="1" applyFill="1" applyBorder="1" applyAlignment="1">
      <alignment vertical="center" wrapText="1"/>
    </xf>
    <xf numFmtId="4" fontId="79" fillId="18" borderId="80" xfId="13" applyNumberFormat="1" applyFont="1" applyFill="1" applyBorder="1" applyAlignment="1">
      <alignment vertical="center" wrapText="1"/>
    </xf>
    <xf numFmtId="4" fontId="79" fillId="18" borderId="57" xfId="13" applyNumberFormat="1" applyFont="1" applyFill="1" applyBorder="1" applyAlignment="1">
      <alignment horizontal="center" vertical="center" wrapText="1"/>
    </xf>
    <xf numFmtId="9" fontId="46" fillId="0" borderId="1" xfId="4" applyFont="1" applyBorder="1" applyAlignment="1">
      <alignment horizontal="center" vertical="center"/>
    </xf>
    <xf numFmtId="0" fontId="89" fillId="8" borderId="15" xfId="11" applyFont="1" applyFill="1" applyBorder="1" applyAlignment="1">
      <alignment vertical="center" wrapText="1"/>
    </xf>
    <xf numFmtId="0" fontId="89" fillId="8" borderId="30" xfId="11" applyFont="1" applyFill="1" applyBorder="1" applyAlignment="1">
      <alignment vertical="center" wrapText="1"/>
    </xf>
    <xf numFmtId="0" fontId="90" fillId="0" borderId="0" xfId="11" applyFont="1" applyAlignment="1">
      <alignment vertical="center"/>
    </xf>
    <xf numFmtId="0" fontId="91" fillId="8" borderId="28" xfId="11" applyFont="1" applyFill="1" applyBorder="1" applyAlignment="1">
      <alignment vertical="center" wrapText="1"/>
    </xf>
    <xf numFmtId="0" fontId="92" fillId="0" borderId="1" xfId="11" applyFont="1" applyBorder="1" applyAlignment="1">
      <alignment horizontal="center" vertical="center" wrapText="1"/>
    </xf>
    <xf numFmtId="42" fontId="92" fillId="0" borderId="1" xfId="12" applyFont="1" applyFill="1" applyBorder="1" applyAlignment="1">
      <alignment horizontal="center" vertical="center" wrapText="1"/>
    </xf>
    <xf numFmtId="1" fontId="82" fillId="0" borderId="1" xfId="3" applyNumberFormat="1" applyFont="1" applyBorder="1" applyAlignment="1" applyProtection="1">
      <alignment horizontal="center" vertical="center" wrapText="1"/>
    </xf>
    <xf numFmtId="4" fontId="92" fillId="0" borderId="1" xfId="13" applyNumberFormat="1" applyFont="1" applyBorder="1" applyAlignment="1" applyProtection="1">
      <alignment vertical="center" wrapText="1"/>
    </xf>
    <xf numFmtId="14" fontId="92" fillId="0" borderId="1" xfId="3" applyNumberFormat="1" applyFont="1" applyBorder="1" applyAlignment="1" applyProtection="1">
      <alignment horizontal="center" vertical="center" wrapText="1"/>
    </xf>
    <xf numFmtId="168" fontId="91" fillId="0" borderId="14" xfId="16" applyNumberFormat="1" applyFont="1" applyFill="1" applyBorder="1" applyAlignment="1" applyProtection="1">
      <alignment horizontal="center" vertical="center" wrapText="1"/>
    </xf>
    <xf numFmtId="4" fontId="91" fillId="0" borderId="16" xfId="13" applyNumberFormat="1" applyFont="1" applyBorder="1" applyAlignment="1" applyProtection="1">
      <alignment horizontal="center" vertical="center" wrapText="1"/>
    </xf>
    <xf numFmtId="3" fontId="92" fillId="0" borderId="1" xfId="13" applyNumberFormat="1" applyFont="1" applyBorder="1" applyAlignment="1" applyProtection="1">
      <alignment horizontal="right" vertical="center" wrapText="1"/>
    </xf>
    <xf numFmtId="0" fontId="92" fillId="0" borderId="30" xfId="11" applyFont="1" applyBorder="1" applyAlignment="1">
      <alignment horizontal="center" vertical="center" wrapText="1"/>
    </xf>
    <xf numFmtId="0" fontId="91" fillId="8" borderId="15" xfId="11" applyFont="1" applyFill="1" applyBorder="1" applyAlignment="1">
      <alignment horizontal="center" vertical="center" wrapText="1"/>
    </xf>
    <xf numFmtId="0" fontId="93" fillId="7" borderId="0" xfId="0" applyFont="1" applyFill="1"/>
    <xf numFmtId="174" fontId="0" fillId="0" borderId="0" xfId="0" applyNumberFormat="1"/>
    <xf numFmtId="2" fontId="21" fillId="8" borderId="15" xfId="11" applyNumberFormat="1" applyFont="1" applyFill="1" applyBorder="1" applyAlignment="1">
      <alignment vertical="center" wrapText="1"/>
    </xf>
    <xf numFmtId="0" fontId="0" fillId="0" borderId="47" xfId="0" applyBorder="1"/>
    <xf numFmtId="9" fontId="0" fillId="0" borderId="47" xfId="0" applyNumberFormat="1" applyBorder="1"/>
    <xf numFmtId="174" fontId="0" fillId="0" borderId="47" xfId="0" applyNumberFormat="1" applyBorder="1"/>
    <xf numFmtId="174" fontId="0" fillId="0" borderId="47" xfId="0" applyNumberFormat="1" applyBorder="1" applyAlignment="1">
      <alignment wrapText="1"/>
    </xf>
    <xf numFmtId="174" fontId="0" fillId="0" borderId="64" xfId="0" applyNumberFormat="1" applyBorder="1" applyAlignment="1">
      <alignment wrapText="1"/>
    </xf>
    <xf numFmtId="174" fontId="0" fillId="0" borderId="64" xfId="0" applyNumberFormat="1" applyBorder="1"/>
    <xf numFmtId="0" fontId="0" fillId="0" borderId="62" xfId="0" applyBorder="1"/>
    <xf numFmtId="174" fontId="0" fillId="0" borderId="62" xfId="0" applyNumberFormat="1" applyBorder="1"/>
    <xf numFmtId="42" fontId="22" fillId="7" borderId="1" xfId="12" applyFont="1" applyFill="1" applyBorder="1" applyAlignment="1">
      <alignment horizontal="center" vertical="center" wrapText="1"/>
    </xf>
    <xf numFmtId="9" fontId="0" fillId="0" borderId="62" xfId="0" applyNumberFormat="1" applyBorder="1"/>
    <xf numFmtId="174" fontId="0" fillId="0" borderId="58" xfId="0" applyNumberFormat="1" applyBorder="1"/>
    <xf numFmtId="0" fontId="94" fillId="0" borderId="1" xfId="0" applyFont="1" applyBorder="1" applyAlignment="1">
      <alignment horizontal="center" vertical="center"/>
    </xf>
    <xf numFmtId="0" fontId="94" fillId="0" borderId="16" xfId="0" applyFont="1" applyBorder="1" applyAlignment="1">
      <alignment horizontal="center" vertical="center"/>
    </xf>
    <xf numFmtId="0" fontId="94" fillId="0" borderId="15" xfId="0" applyFont="1" applyBorder="1" applyAlignment="1">
      <alignment horizontal="center" vertical="center"/>
    </xf>
    <xf numFmtId="0" fontId="44" fillId="0" borderId="1" xfId="0" applyFont="1" applyBorder="1" applyAlignment="1">
      <alignment horizontal="center" vertical="center"/>
    </xf>
    <xf numFmtId="0" fontId="0" fillId="0" borderId="30" xfId="0" applyBorder="1" applyAlignment="1">
      <alignment horizontal="center" vertical="center" wrapText="1"/>
    </xf>
    <xf numFmtId="0" fontId="94" fillId="0" borderId="10" xfId="0" applyFont="1" applyBorder="1" applyAlignment="1">
      <alignment horizontal="center" vertical="center"/>
    </xf>
    <xf numFmtId="0" fontId="94" fillId="0" borderId="18" xfId="0" applyFont="1" applyBorder="1" applyAlignment="1">
      <alignment horizontal="center" vertical="center"/>
    </xf>
    <xf numFmtId="0" fontId="94" fillId="0" borderId="17" xfId="0" applyFont="1" applyBorder="1" applyAlignment="1">
      <alignment horizontal="center" vertical="center"/>
    </xf>
    <xf numFmtId="0" fontId="94" fillId="0" borderId="49" xfId="0" applyFont="1" applyBorder="1" applyAlignment="1">
      <alignment horizontal="center" vertical="center" wrapText="1"/>
    </xf>
    <xf numFmtId="0" fontId="0" fillId="0" borderId="49" xfId="0" applyBorder="1" applyAlignment="1">
      <alignment horizontal="center" vertical="center" wrapText="1"/>
    </xf>
    <xf numFmtId="0" fontId="55" fillId="0" borderId="1" xfId="0" applyFont="1" applyBorder="1" applyAlignment="1">
      <alignment horizontal="center" vertical="center"/>
    </xf>
    <xf numFmtId="0" fontId="78" fillId="0" borderId="14" xfId="11" applyFont="1" applyBorder="1" applyAlignment="1">
      <alignment horizontal="center" vertical="center" wrapText="1"/>
    </xf>
    <xf numFmtId="0" fontId="92" fillId="0" borderId="14" xfId="11" applyFont="1" applyBorder="1" applyAlignment="1">
      <alignment horizontal="center" vertical="center" wrapText="1"/>
    </xf>
    <xf numFmtId="0" fontId="78" fillId="0" borderId="47" xfId="11" applyFont="1" applyBorder="1" applyAlignment="1">
      <alignment horizontal="center" vertical="center" wrapText="1"/>
    </xf>
    <xf numFmtId="0" fontId="79" fillId="8" borderId="0" xfId="11" applyFont="1" applyFill="1" applyAlignment="1">
      <alignment vertical="center" wrapText="1"/>
    </xf>
    <xf numFmtId="0" fontId="22" fillId="0" borderId="76" xfId="11" applyFont="1" applyBorder="1" applyAlignment="1">
      <alignment horizontal="center" vertical="center" wrapText="1"/>
    </xf>
    <xf numFmtId="0" fontId="79" fillId="8" borderId="77" xfId="11" applyFont="1" applyFill="1" applyBorder="1" applyAlignment="1">
      <alignment vertical="center" wrapText="1"/>
    </xf>
    <xf numFmtId="0" fontId="78" fillId="0" borderId="78" xfId="11" applyFont="1" applyBorder="1" applyAlignment="1">
      <alignment horizontal="center" vertical="center" wrapText="1"/>
    </xf>
    <xf numFmtId="0" fontId="22" fillId="7" borderId="1" xfId="11" applyFont="1" applyFill="1" applyBorder="1" applyAlignment="1">
      <alignment horizontal="center" vertical="center" wrapText="1"/>
    </xf>
    <xf numFmtId="0" fontId="92" fillId="0" borderId="47" xfId="11" applyFont="1" applyBorder="1" applyAlignment="1">
      <alignment horizontal="center" vertical="center" wrapText="1"/>
    </xf>
    <xf numFmtId="0" fontId="89" fillId="8" borderId="20" xfId="11" applyFont="1" applyFill="1" applyBorder="1" applyAlignment="1">
      <alignment vertical="center" wrapText="1"/>
    </xf>
    <xf numFmtId="0" fontId="21" fillId="8" borderId="47" xfId="11" applyFont="1" applyFill="1" applyBorder="1" applyAlignment="1">
      <alignment vertical="center" wrapText="1"/>
    </xf>
    <xf numFmtId="4" fontId="21" fillId="0" borderId="62" xfId="13" applyNumberFormat="1" applyFont="1" applyBorder="1" applyAlignment="1" applyProtection="1">
      <alignment horizontal="center" vertical="center" wrapText="1"/>
    </xf>
    <xf numFmtId="3" fontId="22" fillId="0" borderId="62" xfId="13" applyNumberFormat="1" applyFont="1" applyBorder="1" applyAlignment="1" applyProtection="1">
      <alignment horizontal="right" vertical="center" wrapText="1"/>
    </xf>
    <xf numFmtId="0" fontId="95" fillId="0" borderId="1" xfId="0" applyFont="1" applyBorder="1" applyAlignment="1">
      <alignment horizontal="center" vertical="center"/>
    </xf>
    <xf numFmtId="0" fontId="22" fillId="7" borderId="14" xfId="11" applyFont="1" applyFill="1" applyBorder="1" applyAlignment="1">
      <alignment horizontal="center" vertical="center" wrapText="1"/>
    </xf>
    <xf numFmtId="4" fontId="22" fillId="7" borderId="1" xfId="13" applyNumberFormat="1" applyFont="1" applyFill="1" applyBorder="1" applyAlignment="1" applyProtection="1">
      <alignment vertical="center" wrapText="1"/>
    </xf>
    <xf numFmtId="4" fontId="21" fillId="7" borderId="16" xfId="13" applyNumberFormat="1" applyFont="1" applyFill="1" applyBorder="1" applyAlignment="1" applyProtection="1">
      <alignment horizontal="center" vertical="center" wrapText="1"/>
    </xf>
    <xf numFmtId="3" fontId="22" fillId="7" borderId="1" xfId="13" applyNumberFormat="1" applyFont="1" applyFill="1" applyBorder="1" applyAlignment="1" applyProtection="1">
      <alignment horizontal="right" vertical="center" wrapText="1"/>
    </xf>
    <xf numFmtId="0" fontId="22" fillId="7" borderId="30" xfId="11" applyFont="1" applyFill="1" applyBorder="1" applyAlignment="1">
      <alignment horizontal="center" vertical="center" wrapText="1"/>
    </xf>
    <xf numFmtId="0" fontId="84" fillId="7" borderId="1" xfId="21" applyFont="1" applyFill="1" applyBorder="1" applyAlignment="1">
      <alignment horizontal="center" vertical="center"/>
    </xf>
    <xf numFmtId="0" fontId="37" fillId="7" borderId="1" xfId="21" applyFont="1" applyFill="1" applyBorder="1" applyAlignment="1">
      <alignment horizontal="center" vertical="center"/>
    </xf>
    <xf numFmtId="0" fontId="44" fillId="0" borderId="98" xfId="0" applyFont="1" applyBorder="1" applyAlignment="1">
      <alignment horizontal="center" vertical="center"/>
    </xf>
    <xf numFmtId="0" fontId="55" fillId="0" borderId="16" xfId="0" applyFont="1" applyBorder="1" applyAlignment="1">
      <alignment horizontal="center" vertical="center"/>
    </xf>
    <xf numFmtId="0" fontId="55" fillId="0" borderId="10" xfId="0" applyFont="1" applyBorder="1" applyAlignment="1">
      <alignment horizontal="center" vertical="center"/>
    </xf>
    <xf numFmtId="0" fontId="87" fillId="0" borderId="1" xfId="0" applyFont="1" applyBorder="1" applyAlignment="1">
      <alignment horizontal="center" vertical="center"/>
    </xf>
    <xf numFmtId="0" fontId="55" fillId="0" borderId="18" xfId="0" applyFont="1" applyBorder="1" applyAlignment="1">
      <alignment horizontal="center" vertical="center"/>
    </xf>
    <xf numFmtId="0" fontId="78" fillId="18" borderId="14" xfId="11" applyFont="1" applyFill="1" applyBorder="1" applyAlignment="1">
      <alignment horizontal="left" vertical="center" wrapText="1"/>
    </xf>
    <xf numFmtId="0" fontId="78" fillId="18" borderId="15" xfId="11" applyFont="1" applyFill="1" applyBorder="1" applyAlignment="1">
      <alignment horizontal="left" vertical="center" wrapText="1"/>
    </xf>
    <xf numFmtId="0" fontId="55" fillId="7" borderId="1" xfId="0" applyFont="1" applyFill="1" applyBorder="1" applyAlignment="1">
      <alignment vertical="center"/>
    </xf>
    <xf numFmtId="0" fontId="14" fillId="0" borderId="47" xfId="11" applyBorder="1" applyAlignment="1">
      <alignment vertical="center"/>
    </xf>
    <xf numFmtId="0" fontId="55" fillId="0" borderId="14" xfId="0" applyFont="1" applyBorder="1" applyAlignment="1">
      <alignment horizontal="left" vertical="center" wrapText="1"/>
    </xf>
    <xf numFmtId="0" fontId="51" fillId="0" borderId="14" xfId="0" applyFont="1" applyBorder="1" applyAlignment="1">
      <alignment horizontal="left" vertical="center" wrapText="1"/>
    </xf>
    <xf numFmtId="0" fontId="86" fillId="0" borderId="19" xfId="0" applyFont="1" applyBorder="1" applyAlignment="1">
      <alignment horizontal="left" vertical="center" wrapText="1"/>
    </xf>
    <xf numFmtId="0" fontId="0" fillId="0" borderId="64" xfId="0" applyBorder="1" applyAlignment="1">
      <alignment wrapText="1"/>
    </xf>
    <xf numFmtId="0" fontId="88" fillId="0" borderId="64" xfId="0" applyFont="1" applyBorder="1" applyAlignment="1">
      <alignment vertical="center" wrapText="1"/>
    </xf>
    <xf numFmtId="0" fontId="0" fillId="0" borderId="64" xfId="0" applyBorder="1" applyAlignment="1">
      <alignment vertical="center" wrapText="1"/>
    </xf>
    <xf numFmtId="0" fontId="85" fillId="0" borderId="14" xfId="0" applyFont="1" applyBorder="1" applyAlignment="1">
      <alignment horizontal="left" vertical="center" wrapText="1" indent="2"/>
    </xf>
    <xf numFmtId="0" fontId="85" fillId="0" borderId="14" xfId="0" applyFont="1" applyBorder="1" applyAlignment="1">
      <alignment horizontal="left" vertical="center" wrapText="1"/>
    </xf>
    <xf numFmtId="0" fontId="51" fillId="0" borderId="14" xfId="11" applyFont="1" applyBorder="1" applyAlignment="1">
      <alignment horizontal="left" vertical="center" wrapText="1"/>
    </xf>
    <xf numFmtId="0" fontId="55" fillId="0" borderId="14" xfId="0" applyFont="1" applyBorder="1" applyAlignment="1">
      <alignment horizontal="justify" vertical="center" wrapText="1"/>
    </xf>
    <xf numFmtId="0" fontId="85" fillId="7" borderId="14" xfId="0" applyFont="1" applyFill="1" applyBorder="1" applyAlignment="1">
      <alignment horizontal="left" vertical="center" wrapText="1"/>
    </xf>
    <xf numFmtId="0" fontId="51" fillId="7" borderId="14" xfId="0" applyFont="1" applyFill="1" applyBorder="1" applyAlignment="1">
      <alignment horizontal="left" vertical="center" wrapText="1"/>
    </xf>
    <xf numFmtId="0" fontId="14" fillId="0" borderId="58" xfId="11" applyBorder="1" applyAlignment="1">
      <alignment vertical="center"/>
    </xf>
    <xf numFmtId="0" fontId="96" fillId="0" borderId="1" xfId="11" applyFont="1" applyBorder="1" applyAlignment="1">
      <alignment horizontal="center" vertical="center"/>
    </xf>
    <xf numFmtId="0" fontId="14" fillId="0" borderId="47" xfId="11" applyBorder="1" applyAlignment="1">
      <alignment vertical="center" wrapText="1"/>
    </xf>
    <xf numFmtId="0" fontId="22" fillId="2" borderId="1" xfId="11" applyFont="1" applyFill="1" applyBorder="1" applyAlignment="1">
      <alignment horizontal="center" vertical="center" wrapText="1"/>
    </xf>
    <xf numFmtId="3" fontId="22" fillId="2" borderId="1" xfId="13" applyNumberFormat="1" applyFont="1" applyFill="1" applyBorder="1" applyAlignment="1" applyProtection="1">
      <alignment horizontal="right" vertical="center" wrapText="1"/>
    </xf>
    <xf numFmtId="0" fontId="22" fillId="2" borderId="14" xfId="11" applyFont="1" applyFill="1" applyBorder="1" applyAlignment="1">
      <alignment horizontal="center" vertical="center" wrapText="1"/>
    </xf>
    <xf numFmtId="0" fontId="22" fillId="2" borderId="47" xfId="11" applyFont="1" applyFill="1" applyBorder="1" applyAlignment="1">
      <alignment horizontal="center" vertical="center" wrapText="1"/>
    </xf>
    <xf numFmtId="168" fontId="21" fillId="0" borderId="3" xfId="11" applyNumberFormat="1" applyFont="1" applyBorder="1" applyAlignment="1">
      <alignment vertical="center" wrapText="1"/>
    </xf>
    <xf numFmtId="168" fontId="21" fillId="0" borderId="9" xfId="11" applyNumberFormat="1" applyFont="1" applyBorder="1" applyAlignment="1">
      <alignment vertical="center" wrapText="1"/>
    </xf>
    <xf numFmtId="168" fontId="21" fillId="0" borderId="10" xfId="11" applyNumberFormat="1" applyFont="1" applyBorder="1" applyAlignment="1">
      <alignment vertical="center" wrapText="1"/>
    </xf>
    <xf numFmtId="0" fontId="92" fillId="7" borderId="1" xfId="11" applyFont="1" applyFill="1" applyBorder="1" applyAlignment="1">
      <alignment horizontal="center" vertical="center" wrapText="1"/>
    </xf>
    <xf numFmtId="3" fontId="92" fillId="7" borderId="1" xfId="13" applyNumberFormat="1" applyFont="1" applyFill="1" applyBorder="1" applyAlignment="1" applyProtection="1">
      <alignment horizontal="right" vertical="center" wrapText="1"/>
    </xf>
    <xf numFmtId="0" fontId="92" fillId="7" borderId="14" xfId="11" applyFont="1" applyFill="1" applyBorder="1" applyAlignment="1">
      <alignment horizontal="center" vertical="center" wrapText="1"/>
    </xf>
    <xf numFmtId="0" fontId="92" fillId="7" borderId="47" xfId="11" applyFont="1" applyFill="1" applyBorder="1" applyAlignment="1">
      <alignment horizontal="center" vertical="center" wrapText="1"/>
    </xf>
    <xf numFmtId="0" fontId="0" fillId="0" borderId="47" xfId="0" applyBorder="1" applyAlignment="1">
      <alignment vertical="center" wrapText="1"/>
    </xf>
    <xf numFmtId="0" fontId="85" fillId="7" borderId="1" xfId="11" applyFont="1" applyFill="1" applyBorder="1" applyAlignment="1">
      <alignment horizontal="center" vertical="center"/>
    </xf>
    <xf numFmtId="0" fontId="3" fillId="0" borderId="10" xfId="21" applyFont="1" applyBorder="1" applyAlignment="1">
      <alignment horizontal="center" vertical="center"/>
    </xf>
    <xf numFmtId="0" fontId="3" fillId="0" borderId="22" xfId="21" applyFont="1" applyBorder="1" applyAlignment="1">
      <alignment horizontal="center" vertical="center"/>
    </xf>
    <xf numFmtId="0" fontId="37" fillId="7" borderId="10" xfId="21" applyFont="1" applyFill="1" applyBorder="1" applyAlignment="1">
      <alignment horizontal="center" vertical="center"/>
    </xf>
    <xf numFmtId="0" fontId="3" fillId="0" borderId="47" xfId="21" applyFont="1" applyBorder="1" applyAlignment="1">
      <alignment vertical="center"/>
    </xf>
    <xf numFmtId="0" fontId="37" fillId="0" borderId="47" xfId="21" applyFont="1" applyBorder="1" applyAlignment="1">
      <alignment horizontal="center" vertical="center"/>
    </xf>
    <xf numFmtId="0" fontId="2" fillId="0" borderId="0" xfId="21" applyFont="1"/>
    <xf numFmtId="0" fontId="97" fillId="0" borderId="5" xfId="21" applyFont="1" applyBorder="1"/>
    <xf numFmtId="170" fontId="100" fillId="0" borderId="12" xfId="22" applyNumberFormat="1" applyFont="1" applyBorder="1"/>
    <xf numFmtId="0" fontId="100" fillId="0" borderId="12" xfId="21" applyFont="1" applyBorder="1" applyAlignment="1">
      <alignment horizontal="center"/>
    </xf>
    <xf numFmtId="168" fontId="100" fillId="0" borderId="38" xfId="23" applyNumberFormat="1" applyFont="1" applyBorder="1" applyAlignment="1">
      <alignment horizontal="center" vertical="center" wrapText="1"/>
    </xf>
    <xf numFmtId="0" fontId="97" fillId="0" borderId="38" xfId="21" applyFont="1" applyBorder="1" applyAlignment="1">
      <alignment horizontal="center" vertical="center" wrapText="1"/>
    </xf>
    <xf numFmtId="0" fontId="101" fillId="0" borderId="38" xfId="21" applyFont="1" applyBorder="1" applyAlignment="1">
      <alignment horizontal="center" vertical="center" wrapText="1"/>
    </xf>
    <xf numFmtId="0" fontId="97" fillId="0" borderId="38" xfId="21" applyFont="1" applyBorder="1" applyAlignment="1">
      <alignment horizontal="center" vertical="center"/>
    </xf>
    <xf numFmtId="0" fontId="97" fillId="0" borderId="39" xfId="21" applyFont="1" applyBorder="1" applyAlignment="1">
      <alignment horizontal="center" vertical="center" wrapText="1"/>
    </xf>
    <xf numFmtId="0" fontId="97" fillId="0" borderId="24" xfId="21" applyFont="1" applyBorder="1" applyAlignment="1">
      <alignment horizontal="center" vertical="center"/>
    </xf>
    <xf numFmtId="0" fontId="97" fillId="0" borderId="26" xfId="21" applyFont="1" applyBorder="1" applyAlignment="1">
      <alignment horizontal="center" vertical="center"/>
    </xf>
    <xf numFmtId="0" fontId="78" fillId="0" borderId="30" xfId="11" applyFont="1" applyBorder="1" applyAlignment="1">
      <alignment horizontal="justify" vertical="center" wrapText="1"/>
    </xf>
    <xf numFmtId="0" fontId="0" fillId="0" borderId="30" xfId="11" applyFont="1" applyBorder="1" applyAlignment="1">
      <alignment vertical="center" wrapText="1"/>
    </xf>
    <xf numFmtId="0" fontId="97" fillId="0" borderId="54" xfId="17" applyFont="1" applyBorder="1" applyAlignment="1">
      <alignment horizontal="left" vertical="center" wrapText="1"/>
    </xf>
    <xf numFmtId="0" fontId="97" fillId="0" borderId="14" xfId="17" applyFont="1" applyBorder="1" applyAlignment="1">
      <alignment horizontal="left" vertical="center" wrapText="1"/>
    </xf>
    <xf numFmtId="0" fontId="97" fillId="0" borderId="47" xfId="21" applyFont="1" applyBorder="1" applyAlignment="1">
      <alignment vertical="center"/>
    </xf>
    <xf numFmtId="0" fontId="102" fillId="7" borderId="47" xfId="21" applyFont="1" applyFill="1" applyBorder="1" applyAlignment="1">
      <alignment vertical="center"/>
    </xf>
    <xf numFmtId="0" fontId="97" fillId="7" borderId="47" xfId="21" applyFont="1" applyFill="1" applyBorder="1" applyAlignment="1">
      <alignment vertical="center"/>
    </xf>
    <xf numFmtId="0" fontId="1" fillId="0" borderId="23" xfId="21" applyFont="1" applyBorder="1"/>
    <xf numFmtId="0" fontId="1" fillId="0" borderId="0" xfId="21" applyFont="1"/>
    <xf numFmtId="0" fontId="1" fillId="0" borderId="8" xfId="21" applyFont="1" applyBorder="1"/>
    <xf numFmtId="0" fontId="1" fillId="0" borderId="2" xfId="21" applyFont="1" applyBorder="1"/>
    <xf numFmtId="0" fontId="1" fillId="0" borderId="47" xfId="21" applyFont="1" applyBorder="1" applyAlignment="1">
      <alignment horizontal="center" vertical="center"/>
    </xf>
    <xf numFmtId="0" fontId="1" fillId="0" borderId="0" xfId="21" applyFont="1" applyAlignment="1">
      <alignment horizontal="center"/>
    </xf>
    <xf numFmtId="172" fontId="1" fillId="0" borderId="0" xfId="21" applyNumberFormat="1" applyFont="1"/>
    <xf numFmtId="0" fontId="1" fillId="0" borderId="30" xfId="21" applyFont="1" applyBorder="1" applyAlignment="1">
      <alignment vertical="center" wrapText="1"/>
    </xf>
    <xf numFmtId="0" fontId="1" fillId="0" borderId="12" xfId="21" applyFont="1" applyBorder="1" applyAlignment="1">
      <alignment horizontal="center"/>
    </xf>
    <xf numFmtId="0" fontId="1" fillId="0" borderId="13" xfId="21" applyFont="1" applyBorder="1" applyAlignment="1">
      <alignment horizontal="center"/>
    </xf>
    <xf numFmtId="0" fontId="2" fillId="0" borderId="0" xfId="21" applyFont="1" applyAlignment="1">
      <alignment horizontal="center"/>
    </xf>
    <xf numFmtId="0" fontId="76" fillId="0" borderId="0" xfId="11" applyFont="1" applyAlignment="1">
      <alignment horizontal="center" vertical="center" wrapText="1"/>
    </xf>
    <xf numFmtId="0" fontId="69" fillId="0" borderId="0" xfId="11" applyFont="1" applyAlignment="1">
      <alignment horizontal="center" vertical="center" wrapText="1"/>
    </xf>
    <xf numFmtId="0" fontId="59" fillId="0" borderId="0" xfId="11" applyFont="1" applyAlignment="1">
      <alignment horizontal="center" vertical="center" wrapText="1"/>
    </xf>
    <xf numFmtId="0" fontId="63" fillId="0" borderId="0" xfId="11" applyFont="1" applyAlignment="1">
      <alignment horizontal="center" vertical="center" wrapText="1"/>
    </xf>
    <xf numFmtId="3" fontId="74" fillId="0" borderId="1" xfId="0" applyNumberFormat="1" applyFont="1" applyBorder="1" applyAlignment="1">
      <alignment horizontal="center"/>
    </xf>
    <xf numFmtId="4" fontId="74" fillId="0" borderId="1" xfId="0" applyNumberFormat="1" applyFont="1" applyBorder="1" applyAlignment="1">
      <alignment horizontal="center"/>
    </xf>
    <xf numFmtId="0" fontId="64" fillId="0" borderId="0" xfId="11" applyFont="1" applyAlignment="1">
      <alignment horizontal="center" vertical="center" wrapText="1"/>
    </xf>
    <xf numFmtId="0" fontId="60" fillId="0" borderId="0" xfId="11" applyFont="1" applyAlignment="1">
      <alignment horizontal="center" vertical="center" wrapText="1"/>
    </xf>
    <xf numFmtId="0" fontId="63" fillId="0" borderId="0" xfId="11" applyFont="1" applyAlignment="1">
      <alignment horizontal="left" vertical="center" wrapText="1"/>
    </xf>
    <xf numFmtId="0" fontId="53" fillId="13" borderId="1" xfId="0" applyFont="1" applyFill="1" applyBorder="1" applyAlignment="1">
      <alignment horizontal="center" vertical="center"/>
    </xf>
    <xf numFmtId="0" fontId="65" fillId="13" borderId="1" xfId="0" applyFont="1" applyFill="1" applyBorder="1" applyAlignment="1">
      <alignment horizontal="center" vertical="center"/>
    </xf>
    <xf numFmtId="0" fontId="18" fillId="3" borderId="14" xfId="11" applyFont="1" applyFill="1" applyBorder="1" applyAlignment="1">
      <alignment horizontal="center" vertical="center" wrapText="1"/>
    </xf>
    <xf numFmtId="0" fontId="18" fillId="3" borderId="15" xfId="11" applyFont="1" applyFill="1" applyBorder="1" applyAlignment="1">
      <alignment horizontal="center" vertical="center" wrapText="1"/>
    </xf>
    <xf numFmtId="0" fontId="18" fillId="0" borderId="19" xfId="11" applyFont="1" applyBorder="1" applyAlignment="1">
      <alignment horizontal="center" vertical="center" wrapText="1"/>
    </xf>
    <xf numFmtId="0" fontId="18" fillId="0" borderId="20" xfId="11" applyFont="1" applyBorder="1" applyAlignment="1">
      <alignment horizontal="center" vertical="center" wrapText="1"/>
    </xf>
    <xf numFmtId="0" fontId="53" fillId="13" borderId="19" xfId="0" applyFont="1" applyFill="1" applyBorder="1" applyAlignment="1">
      <alignment horizontal="center" vertical="center"/>
    </xf>
    <xf numFmtId="0" fontId="53" fillId="13" borderId="57" xfId="0" applyFont="1" applyFill="1" applyBorder="1" applyAlignment="1">
      <alignment horizontal="center" vertical="center"/>
    </xf>
    <xf numFmtId="0" fontId="53" fillId="13" borderId="22" xfId="0" applyFont="1" applyFill="1" applyBorder="1" applyAlignment="1">
      <alignment horizontal="center" vertical="center"/>
    </xf>
    <xf numFmtId="0" fontId="53" fillId="13" borderId="20" xfId="0" applyFont="1" applyFill="1" applyBorder="1" applyAlignment="1">
      <alignment horizontal="center" vertical="center"/>
    </xf>
    <xf numFmtId="0" fontId="53" fillId="13" borderId="0" xfId="0" applyFont="1" applyFill="1" applyAlignment="1">
      <alignment horizontal="center" vertical="center"/>
    </xf>
    <xf numFmtId="0" fontId="53" fillId="13" borderId="17" xfId="0" applyFont="1" applyFill="1" applyBorder="1" applyAlignment="1">
      <alignment horizontal="center" vertical="center"/>
    </xf>
    <xf numFmtId="0" fontId="53" fillId="13" borderId="21" xfId="0" applyFont="1" applyFill="1" applyBorder="1" applyAlignment="1">
      <alignment horizontal="center" vertical="center"/>
    </xf>
    <xf numFmtId="0" fontId="53" fillId="13" borderId="18" xfId="0" applyFont="1" applyFill="1" applyBorder="1" applyAlignment="1">
      <alignment horizontal="center" vertical="center"/>
    </xf>
    <xf numFmtId="0" fontId="53" fillId="13" borderId="3" xfId="0" applyFont="1" applyFill="1" applyBorder="1" applyAlignment="1">
      <alignment horizontal="center" vertical="center"/>
    </xf>
    <xf numFmtId="0" fontId="53" fillId="13" borderId="9" xfId="0" applyFont="1" applyFill="1" applyBorder="1" applyAlignment="1">
      <alignment horizontal="center" vertical="center"/>
    </xf>
    <xf numFmtId="0" fontId="53" fillId="13" borderId="10" xfId="0" applyFont="1" applyFill="1" applyBorder="1" applyAlignment="1">
      <alignment horizontal="center" vertical="center"/>
    </xf>
    <xf numFmtId="0" fontId="53" fillId="13" borderId="1" xfId="0" applyFont="1" applyFill="1" applyBorder="1" applyAlignment="1">
      <alignment horizontal="center" vertical="center" wrapText="1"/>
    </xf>
    <xf numFmtId="0" fontId="18" fillId="19" borderId="14" xfId="0" applyFont="1" applyFill="1" applyBorder="1" applyAlignment="1">
      <alignment horizontal="center" wrapText="1"/>
    </xf>
    <xf numFmtId="0" fontId="18" fillId="19" borderId="15" xfId="0" applyFont="1" applyFill="1" applyBorder="1" applyAlignment="1">
      <alignment horizontal="center" wrapText="1"/>
    </xf>
    <xf numFmtId="0" fontId="18" fillId="19" borderId="99" xfId="0" applyFont="1" applyFill="1" applyBorder="1" applyAlignment="1">
      <alignment horizontal="center" wrapText="1"/>
    </xf>
    <xf numFmtId="0" fontId="18" fillId="0" borderId="14" xfId="0" applyFont="1" applyBorder="1" applyAlignment="1">
      <alignment horizontal="center" wrapText="1"/>
    </xf>
    <xf numFmtId="0" fontId="18" fillId="0" borderId="15" xfId="0" applyFont="1" applyBorder="1" applyAlignment="1">
      <alignment horizontal="center" wrapText="1"/>
    </xf>
    <xf numFmtId="0" fontId="18" fillId="0" borderId="16" xfId="0" applyFont="1" applyBorder="1" applyAlignment="1">
      <alignment horizontal="center" wrapText="1"/>
    </xf>
    <xf numFmtId="0" fontId="20" fillId="0" borderId="14" xfId="0" applyFont="1" applyBorder="1" applyAlignment="1">
      <alignment horizontal="center" wrapText="1"/>
    </xf>
    <xf numFmtId="0" fontId="20" fillId="0" borderId="15" xfId="0" applyFont="1" applyBorder="1" applyAlignment="1">
      <alignment horizontal="center" wrapText="1"/>
    </xf>
    <xf numFmtId="0" fontId="20" fillId="0" borderId="16" xfId="0" applyFont="1" applyBorder="1" applyAlignment="1">
      <alignment horizontal="center" wrapText="1"/>
    </xf>
    <xf numFmtId="0" fontId="21" fillId="0" borderId="1" xfId="11" applyFont="1" applyBorder="1" applyAlignment="1">
      <alignment horizontal="center" vertical="center"/>
    </xf>
    <xf numFmtId="0" fontId="58" fillId="12" borderId="33" xfId="11" applyFont="1" applyFill="1" applyBorder="1" applyAlignment="1">
      <alignment horizontal="center" vertical="center"/>
    </xf>
    <xf numFmtId="0" fontId="58" fillId="12" borderId="34" xfId="11" applyFont="1" applyFill="1" applyBorder="1" applyAlignment="1">
      <alignment horizontal="center" vertical="center"/>
    </xf>
    <xf numFmtId="0" fontId="58" fillId="12" borderId="35" xfId="11" applyFont="1" applyFill="1" applyBorder="1" applyAlignment="1">
      <alignment horizontal="center" vertical="center"/>
    </xf>
    <xf numFmtId="0" fontId="57" fillId="12" borderId="5" xfId="11" applyFont="1" applyFill="1" applyBorder="1" applyAlignment="1">
      <alignment horizontal="center" vertical="center"/>
    </xf>
    <xf numFmtId="0" fontId="57" fillId="12" borderId="12" xfId="11" applyFont="1" applyFill="1" applyBorder="1" applyAlignment="1">
      <alignment horizontal="center" vertical="center"/>
    </xf>
    <xf numFmtId="0" fontId="57" fillId="12" borderId="23" xfId="11" applyFont="1" applyFill="1" applyBorder="1" applyAlignment="1">
      <alignment horizontal="center" vertical="center"/>
    </xf>
    <xf numFmtId="0" fontId="57" fillId="12" borderId="6" xfId="11" applyFont="1" applyFill="1" applyBorder="1" applyAlignment="1">
      <alignment horizontal="center" vertical="center"/>
    </xf>
    <xf numFmtId="0" fontId="57" fillId="12" borderId="0" xfId="11" applyFont="1" applyFill="1" applyAlignment="1">
      <alignment horizontal="center" vertical="center"/>
    </xf>
    <xf numFmtId="0" fontId="57" fillId="12" borderId="8" xfId="11" applyFont="1" applyFill="1" applyBorder="1" applyAlignment="1">
      <alignment horizontal="center" vertical="center"/>
    </xf>
    <xf numFmtId="0" fontId="57" fillId="12" borderId="4" xfId="11" applyFont="1" applyFill="1" applyBorder="1" applyAlignment="1">
      <alignment horizontal="center" vertical="center"/>
    </xf>
    <xf numFmtId="0" fontId="57" fillId="12" borderId="13" xfId="11" applyFont="1" applyFill="1" applyBorder="1" applyAlignment="1">
      <alignment horizontal="center" vertical="center"/>
    </xf>
    <xf numFmtId="0" fontId="57" fillId="12" borderId="2" xfId="11" applyFont="1" applyFill="1" applyBorder="1" applyAlignment="1">
      <alignment horizontal="center" vertical="center"/>
    </xf>
    <xf numFmtId="0" fontId="21" fillId="0" borderId="28" xfId="11" applyFont="1" applyBorder="1" applyAlignment="1">
      <alignment horizontal="left" vertical="center" wrapText="1"/>
    </xf>
    <xf numFmtId="0" fontId="21" fillId="0" borderId="16" xfId="11" applyFont="1" applyBorder="1" applyAlignment="1">
      <alignment horizontal="left" vertical="center" wrapText="1"/>
    </xf>
    <xf numFmtId="0" fontId="21" fillId="0" borderId="14" xfId="11" applyFont="1" applyBorder="1" applyAlignment="1">
      <alignment horizontal="left" vertical="center" wrapText="1"/>
    </xf>
    <xf numFmtId="14" fontId="44" fillId="0" borderId="14" xfId="4" applyNumberFormat="1" applyFont="1" applyBorder="1" applyAlignment="1">
      <alignment horizontal="center" vertical="center"/>
    </xf>
    <xf numFmtId="14" fontId="44" fillId="0" borderId="30" xfId="4" applyNumberFormat="1" applyFont="1" applyBorder="1" applyAlignment="1">
      <alignment horizontal="center" vertical="center"/>
    </xf>
    <xf numFmtId="0" fontId="21" fillId="0" borderId="44" xfId="11" applyFont="1" applyBorder="1" applyAlignment="1">
      <alignment horizontal="left" vertical="center" wrapText="1"/>
    </xf>
    <xf numFmtId="0" fontId="21" fillId="0" borderId="41" xfId="11" applyFont="1" applyBorder="1" applyAlignment="1">
      <alignment horizontal="left" vertical="center" wrapText="1"/>
    </xf>
    <xf numFmtId="0" fontId="21" fillId="11" borderId="39" xfId="11" applyFont="1" applyFill="1" applyBorder="1" applyAlignment="1">
      <alignment horizontal="center" vertical="center" wrapText="1"/>
    </xf>
    <xf numFmtId="0" fontId="21" fillId="11" borderId="29" xfId="11" applyFont="1" applyFill="1" applyBorder="1" applyAlignment="1">
      <alignment horizontal="center" vertical="center" wrapText="1"/>
    </xf>
    <xf numFmtId="0" fontId="21" fillId="11" borderId="14" xfId="11" applyFont="1" applyFill="1" applyBorder="1" applyAlignment="1">
      <alignment horizontal="center" vertical="center" wrapText="1"/>
    </xf>
    <xf numFmtId="0" fontId="21" fillId="11" borderId="16" xfId="11" applyFont="1" applyFill="1" applyBorder="1" applyAlignment="1">
      <alignment horizontal="center" vertical="center" wrapText="1"/>
    </xf>
    <xf numFmtId="168" fontId="79" fillId="0" borderId="47" xfId="11" applyNumberFormat="1" applyFont="1" applyBorder="1" applyAlignment="1">
      <alignment horizontal="center" vertical="center" wrapText="1"/>
    </xf>
    <xf numFmtId="0" fontId="22" fillId="0" borderId="15" xfId="11" applyFont="1" applyBorder="1" applyAlignment="1">
      <alignment horizontal="center" vertical="center" wrapText="1"/>
    </xf>
    <xf numFmtId="0" fontId="22" fillId="0" borderId="16" xfId="11" applyFont="1" applyBorder="1" applyAlignment="1">
      <alignment horizontal="center" vertical="center" wrapText="1"/>
    </xf>
    <xf numFmtId="0" fontId="79" fillId="8" borderId="15" xfId="11" applyFont="1" applyFill="1" applyBorder="1" applyAlignment="1">
      <alignment horizontal="center" vertical="center" wrapText="1"/>
    </xf>
    <xf numFmtId="0" fontId="79" fillId="8" borderId="16" xfId="11" applyFont="1" applyFill="1" applyBorder="1" applyAlignment="1">
      <alignment horizontal="center" vertical="center" wrapText="1"/>
    </xf>
    <xf numFmtId="0" fontId="78" fillId="0" borderId="15" xfId="11" applyFont="1" applyBorder="1" applyAlignment="1">
      <alignment horizontal="center" vertical="center" wrapText="1"/>
    </xf>
    <xf numFmtId="0" fontId="78" fillId="0" borderId="16" xfId="11" applyFont="1" applyBorder="1" applyAlignment="1">
      <alignment horizontal="center" vertical="center" wrapText="1"/>
    </xf>
    <xf numFmtId="2" fontId="71" fillId="8" borderId="46" xfId="11" applyNumberFormat="1" applyFont="1" applyFill="1" applyBorder="1" applyAlignment="1">
      <alignment horizontal="center" vertical="center"/>
    </xf>
    <xf numFmtId="2" fontId="71" fillId="8" borderId="50" xfId="11" applyNumberFormat="1" applyFont="1" applyFill="1" applyBorder="1" applyAlignment="1">
      <alignment horizontal="center" vertical="center"/>
    </xf>
    <xf numFmtId="0" fontId="21" fillId="10" borderId="43" xfId="11" applyFont="1" applyFill="1" applyBorder="1" applyAlignment="1">
      <alignment horizontal="center" vertical="center" wrapText="1"/>
    </xf>
    <xf numFmtId="0" fontId="21" fillId="10" borderId="42" xfId="11" applyFont="1" applyFill="1" applyBorder="1" applyAlignment="1">
      <alignment horizontal="center" vertical="center" wrapText="1"/>
    </xf>
    <xf numFmtId="0" fontId="21" fillId="10" borderId="40" xfId="11" applyFont="1" applyFill="1" applyBorder="1" applyAlignment="1">
      <alignment horizontal="center" vertical="center" wrapText="1"/>
    </xf>
    <xf numFmtId="0" fontId="21" fillId="10" borderId="54" xfId="11" applyFont="1" applyFill="1" applyBorder="1" applyAlignment="1">
      <alignment horizontal="center" vertical="center" wrapText="1"/>
    </xf>
    <xf numFmtId="0" fontId="21" fillId="11" borderId="38" xfId="11" applyFont="1" applyFill="1" applyBorder="1" applyAlignment="1">
      <alignment horizontal="center" vertical="center" wrapText="1"/>
    </xf>
    <xf numFmtId="0" fontId="21" fillId="11" borderId="10" xfId="11" applyFont="1" applyFill="1" applyBorder="1" applyAlignment="1">
      <alignment horizontal="center" vertical="center" wrapText="1"/>
    </xf>
    <xf numFmtId="0" fontId="21" fillId="11" borderId="59" xfId="11" applyFont="1" applyFill="1" applyBorder="1" applyAlignment="1">
      <alignment horizontal="center" vertical="center" wrapText="1"/>
    </xf>
    <xf numFmtId="0" fontId="21" fillId="11" borderId="60" xfId="11" applyFont="1" applyFill="1" applyBorder="1" applyAlignment="1">
      <alignment horizontal="center" vertical="center" wrapText="1"/>
    </xf>
    <xf numFmtId="0" fontId="21" fillId="11" borderId="22" xfId="11" applyFont="1" applyFill="1" applyBorder="1" applyAlignment="1">
      <alignment horizontal="center" vertical="center" wrapText="1"/>
    </xf>
    <xf numFmtId="0" fontId="21" fillId="11" borderId="18" xfId="11" applyFont="1" applyFill="1" applyBorder="1" applyAlignment="1">
      <alignment horizontal="center" vertical="center" wrapText="1"/>
    </xf>
    <xf numFmtId="0" fontId="32" fillId="0" borderId="4" xfId="11" applyFont="1" applyBorder="1" applyAlignment="1">
      <alignment horizontal="center" vertical="center" wrapText="1"/>
    </xf>
    <xf numFmtId="0" fontId="32" fillId="0" borderId="45" xfId="11" applyFont="1" applyBorder="1" applyAlignment="1">
      <alignment horizontal="center" vertical="center" wrapText="1"/>
    </xf>
    <xf numFmtId="0" fontId="32" fillId="0" borderId="41" xfId="11" applyFont="1" applyBorder="1" applyAlignment="1">
      <alignment horizontal="center" vertical="center" wrapText="1"/>
    </xf>
    <xf numFmtId="2" fontId="21" fillId="8" borderId="46" xfId="11" applyNumberFormat="1" applyFont="1" applyFill="1" applyBorder="1" applyAlignment="1">
      <alignment horizontal="center" vertical="center" wrapText="1"/>
    </xf>
    <xf numFmtId="2" fontId="21" fillId="8" borderId="45" xfId="11" applyNumberFormat="1" applyFont="1" applyFill="1" applyBorder="1" applyAlignment="1">
      <alignment horizontal="center" vertical="center" wrapText="1"/>
    </xf>
    <xf numFmtId="2" fontId="21" fillId="8" borderId="13" xfId="11" applyNumberFormat="1" applyFont="1" applyFill="1" applyBorder="1" applyAlignment="1">
      <alignment horizontal="center" vertical="center" wrapText="1"/>
    </xf>
    <xf numFmtId="2" fontId="21" fillId="8" borderId="41" xfId="11" applyNumberFormat="1" applyFont="1" applyFill="1" applyBorder="1" applyAlignment="1">
      <alignment horizontal="center" vertical="center" wrapText="1"/>
    </xf>
    <xf numFmtId="168" fontId="21" fillId="0" borderId="3" xfId="11" applyNumberFormat="1" applyFont="1" applyBorder="1" applyAlignment="1">
      <alignment horizontal="center" vertical="center" wrapText="1"/>
    </xf>
    <xf numFmtId="168" fontId="21" fillId="0" borderId="9" xfId="11" applyNumberFormat="1" applyFont="1" applyBorder="1" applyAlignment="1">
      <alignment horizontal="center" vertical="center" wrapText="1"/>
    </xf>
    <xf numFmtId="0" fontId="22" fillId="7" borderId="14" xfId="11" applyFont="1" applyFill="1" applyBorder="1" applyAlignment="1">
      <alignment horizontal="center" vertical="center" wrapText="1"/>
    </xf>
    <xf numFmtId="0" fontId="22" fillId="7" borderId="16" xfId="11" applyFont="1" applyFill="1" applyBorder="1" applyAlignment="1">
      <alignment horizontal="center" vertical="center" wrapText="1"/>
    </xf>
    <xf numFmtId="0" fontId="32" fillId="0" borderId="44" xfId="11" applyFont="1" applyBorder="1" applyAlignment="1">
      <alignment horizontal="center" vertical="center" wrapText="1"/>
    </xf>
    <xf numFmtId="168" fontId="21" fillId="0" borderId="3" xfId="11" applyNumberFormat="1" applyFont="1" applyBorder="1" applyAlignment="1">
      <alignment horizontal="center" vertical="center"/>
    </xf>
    <xf numFmtId="168" fontId="21" fillId="0" borderId="9" xfId="11" applyNumberFormat="1" applyFont="1" applyBorder="1" applyAlignment="1">
      <alignment horizontal="center" vertical="center"/>
    </xf>
    <xf numFmtId="0" fontId="22" fillId="0" borderId="14" xfId="11" applyFont="1" applyBorder="1" applyAlignment="1">
      <alignment horizontal="center" vertical="center" wrapText="1"/>
    </xf>
    <xf numFmtId="0" fontId="21" fillId="8" borderId="14" xfId="11" applyFont="1" applyFill="1" applyBorder="1" applyAlignment="1">
      <alignment horizontal="center" vertical="center" wrapText="1"/>
    </xf>
    <xf numFmtId="0" fontId="21" fillId="8" borderId="16" xfId="11" applyFont="1" applyFill="1" applyBorder="1" applyAlignment="1">
      <alignment horizontal="center" vertical="center" wrapText="1"/>
    </xf>
    <xf numFmtId="168" fontId="21" fillId="0" borderId="10" xfId="11" applyNumberFormat="1" applyFont="1" applyBorder="1" applyAlignment="1">
      <alignment horizontal="center" vertical="center" wrapText="1"/>
    </xf>
    <xf numFmtId="0" fontId="78" fillId="0" borderId="14" xfId="11" applyFont="1" applyBorder="1" applyAlignment="1">
      <alignment horizontal="center" vertical="center" wrapText="1"/>
    </xf>
    <xf numFmtId="0" fontId="79" fillId="8" borderId="14" xfId="11" applyFont="1" applyFill="1" applyBorder="1" applyAlignment="1">
      <alignment horizontal="center" vertical="center" wrapText="1"/>
    </xf>
    <xf numFmtId="168" fontId="21" fillId="0" borderId="47" xfId="11" applyNumberFormat="1" applyFont="1" applyBorder="1" applyAlignment="1">
      <alignment horizontal="center" vertical="center" wrapText="1"/>
    </xf>
    <xf numFmtId="168" fontId="91" fillId="0" borderId="3" xfId="11" applyNumberFormat="1" applyFont="1" applyBorder="1" applyAlignment="1">
      <alignment horizontal="center" vertical="center"/>
    </xf>
    <xf numFmtId="168" fontId="91" fillId="0" borderId="9" xfId="11" applyNumberFormat="1" applyFont="1" applyBorder="1" applyAlignment="1">
      <alignment horizontal="center" vertical="center"/>
    </xf>
    <xf numFmtId="0" fontId="92" fillId="0" borderId="14" xfId="11" applyFont="1" applyBorder="1" applyAlignment="1">
      <alignment horizontal="center" vertical="center" wrapText="1"/>
    </xf>
    <xf numFmtId="0" fontId="92" fillId="0" borderId="16" xfId="11" applyFont="1" applyBorder="1" applyAlignment="1">
      <alignment horizontal="center" vertical="center" wrapText="1"/>
    </xf>
    <xf numFmtId="2" fontId="21" fillId="8" borderId="68" xfId="11" applyNumberFormat="1" applyFont="1" applyFill="1" applyBorder="1" applyAlignment="1">
      <alignment horizontal="center" vertical="center" wrapText="1"/>
    </xf>
    <xf numFmtId="168" fontId="21" fillId="0" borderId="62" xfId="11" applyNumberFormat="1" applyFont="1" applyBorder="1" applyAlignment="1">
      <alignment horizontal="center" vertical="center" wrapText="1"/>
    </xf>
    <xf numFmtId="168" fontId="21" fillId="0" borderId="0" xfId="11" applyNumberFormat="1" applyFont="1" applyAlignment="1">
      <alignment horizontal="center" vertical="center" wrapText="1"/>
    </xf>
    <xf numFmtId="168" fontId="21" fillId="0" borderId="63" xfId="11" applyNumberFormat="1" applyFont="1" applyBorder="1" applyAlignment="1">
      <alignment horizontal="center" vertical="center" wrapText="1"/>
    </xf>
    <xf numFmtId="168" fontId="21" fillId="0" borderId="58" xfId="11" applyNumberFormat="1" applyFont="1" applyBorder="1" applyAlignment="1">
      <alignment horizontal="center" vertical="center" wrapText="1"/>
    </xf>
    <xf numFmtId="0" fontId="22" fillId="0" borderId="47" xfId="11" applyFont="1" applyBorder="1" applyAlignment="1">
      <alignment horizontal="center" vertical="center" wrapText="1"/>
    </xf>
    <xf numFmtId="0" fontId="21" fillId="8" borderId="22" xfId="11" applyFont="1" applyFill="1" applyBorder="1" applyAlignment="1">
      <alignment horizontal="left" vertical="center" wrapText="1"/>
    </xf>
    <xf numFmtId="0" fontId="21" fillId="8" borderId="17" xfId="11" applyFont="1" applyFill="1" applyBorder="1" applyAlignment="1">
      <alignment horizontal="left" vertical="center" wrapText="1"/>
    </xf>
    <xf numFmtId="0" fontId="21" fillId="8" borderId="75" xfId="11" applyFont="1" applyFill="1" applyBorder="1" applyAlignment="1">
      <alignment horizontal="left" vertical="center" wrapText="1"/>
    </xf>
    <xf numFmtId="0" fontId="22" fillId="0" borderId="19" xfId="11" applyFont="1" applyBorder="1" applyAlignment="1">
      <alignment horizontal="center" vertical="center" wrapText="1"/>
    </xf>
    <xf numFmtId="0" fontId="22" fillId="0" borderId="21" xfId="11" applyFont="1" applyBorder="1" applyAlignment="1">
      <alignment horizontal="center" vertical="center" wrapText="1"/>
    </xf>
    <xf numFmtId="0" fontId="22" fillId="0" borderId="64" xfId="11" applyFont="1" applyBorder="1" applyAlignment="1">
      <alignment horizontal="center" vertical="center" wrapText="1"/>
    </xf>
    <xf numFmtId="0" fontId="22" fillId="0" borderId="65" xfId="11" applyFont="1" applyBorder="1" applyAlignment="1">
      <alignment horizontal="center" vertical="center" wrapText="1"/>
    </xf>
    <xf numFmtId="0" fontId="32" fillId="0" borderId="13" xfId="11" applyFont="1" applyBorder="1" applyAlignment="1">
      <alignment horizontal="center" vertical="center" wrapText="1"/>
    </xf>
    <xf numFmtId="0" fontId="32" fillId="0" borderId="68" xfId="11" applyFont="1" applyBorder="1" applyAlignment="1">
      <alignment horizontal="center" vertical="center" wrapText="1"/>
    </xf>
    <xf numFmtId="2" fontId="21" fillId="8" borderId="70" xfId="11" applyNumberFormat="1" applyFont="1" applyFill="1" applyBorder="1" applyAlignment="1">
      <alignment horizontal="center" vertical="center" wrapText="1"/>
    </xf>
    <xf numFmtId="2" fontId="21" fillId="8" borderId="71" xfId="11" applyNumberFormat="1" applyFont="1" applyFill="1" applyBorder="1" applyAlignment="1">
      <alignment horizontal="center" vertical="center" wrapText="1"/>
    </xf>
    <xf numFmtId="2" fontId="21" fillId="8" borderId="72" xfId="11" applyNumberFormat="1" applyFont="1" applyFill="1" applyBorder="1" applyAlignment="1">
      <alignment horizontal="center" vertical="center" wrapText="1"/>
    </xf>
    <xf numFmtId="0" fontId="22" fillId="0" borderId="73" xfId="11" applyFont="1" applyBorder="1" applyAlignment="1">
      <alignment horizontal="center" vertical="center" wrapText="1"/>
    </xf>
    <xf numFmtId="2" fontId="21" fillId="8" borderId="74" xfId="11" applyNumberFormat="1" applyFont="1" applyFill="1" applyBorder="1" applyAlignment="1">
      <alignment horizontal="center" vertical="center" wrapText="1"/>
    </xf>
    <xf numFmtId="168" fontId="21" fillId="0" borderId="11" xfId="11" applyNumberFormat="1" applyFont="1" applyBorder="1" applyAlignment="1">
      <alignment horizontal="center" vertical="center" wrapText="1"/>
    </xf>
    <xf numFmtId="0" fontId="21" fillId="18" borderId="62" xfId="11" applyFont="1" applyFill="1" applyBorder="1" applyAlignment="1">
      <alignment horizontal="left" vertical="center" wrapText="1"/>
    </xf>
    <xf numFmtId="0" fontId="21" fillId="0" borderId="67" xfId="11" applyFont="1" applyBorder="1" applyAlignment="1">
      <alignment horizontal="left" vertical="center" wrapText="1"/>
    </xf>
    <xf numFmtId="0" fontId="21" fillId="0" borderId="21" xfId="11" applyFont="1" applyBorder="1" applyAlignment="1">
      <alignment horizontal="left" vertical="center" wrapText="1"/>
    </xf>
    <xf numFmtId="14" fontId="44" fillId="0" borderId="15" xfId="4" applyNumberFormat="1" applyFont="1" applyBorder="1" applyAlignment="1">
      <alignment horizontal="center" vertical="center"/>
    </xf>
    <xf numFmtId="0" fontId="21" fillId="0" borderId="4" xfId="11" applyFont="1" applyBorder="1" applyAlignment="1">
      <alignment horizontal="left" vertical="center" wrapText="1"/>
    </xf>
    <xf numFmtId="0" fontId="21" fillId="0" borderId="68" xfId="11" applyFont="1" applyBorder="1" applyAlignment="1">
      <alignment horizontal="left" vertical="center" wrapText="1"/>
    </xf>
    <xf numFmtId="0" fontId="21" fillId="8" borderId="14" xfId="11" applyFont="1" applyFill="1" applyBorder="1" applyAlignment="1">
      <alignment horizontal="left" vertical="center" wrapText="1"/>
    </xf>
    <xf numFmtId="0" fontId="21" fillId="8" borderId="15" xfId="11" applyFont="1" applyFill="1" applyBorder="1" applyAlignment="1">
      <alignment horizontal="left" vertical="center" wrapText="1"/>
    </xf>
    <xf numFmtId="0" fontId="21" fillId="8" borderId="16" xfId="11" applyFont="1" applyFill="1" applyBorder="1" applyAlignment="1">
      <alignment horizontal="left" vertical="center" wrapText="1"/>
    </xf>
    <xf numFmtId="0" fontId="79" fillId="8" borderId="67" xfId="11" applyFont="1" applyFill="1" applyBorder="1" applyAlignment="1">
      <alignment horizontal="left" vertical="center" wrapText="1"/>
    </xf>
    <xf numFmtId="0" fontId="79" fillId="8" borderId="20" xfId="11" applyFont="1" applyFill="1" applyBorder="1" applyAlignment="1">
      <alignment horizontal="left" vertical="center" wrapText="1"/>
    </xf>
    <xf numFmtId="168" fontId="21" fillId="0" borderId="20" xfId="11" applyNumberFormat="1" applyFont="1" applyBorder="1" applyAlignment="1">
      <alignment horizontal="center" vertical="center" wrapText="1"/>
    </xf>
    <xf numFmtId="168" fontId="21" fillId="0" borderId="17" xfId="11" applyNumberFormat="1" applyFont="1" applyBorder="1" applyAlignment="1">
      <alignment horizontal="center" vertical="center" wrapText="1"/>
    </xf>
    <xf numFmtId="0" fontId="22" fillId="0" borderId="62" xfId="11" applyFont="1" applyBorder="1" applyAlignment="1">
      <alignment horizontal="center" vertical="center" wrapText="1"/>
    </xf>
    <xf numFmtId="0" fontId="22" fillId="0" borderId="63" xfId="11" applyFont="1" applyBorder="1" applyAlignment="1">
      <alignment horizontal="center" vertical="center" wrapText="1"/>
    </xf>
    <xf numFmtId="0" fontId="22" fillId="0" borderId="58" xfId="11" applyFont="1" applyBorder="1" applyAlignment="1">
      <alignment horizontal="center" vertical="center" wrapText="1"/>
    </xf>
    <xf numFmtId="0" fontId="21" fillId="8" borderId="28" xfId="11" applyFont="1" applyFill="1" applyBorder="1" applyAlignment="1">
      <alignment horizontal="left" vertical="center" wrapText="1"/>
    </xf>
    <xf numFmtId="0" fontId="79" fillId="18" borderId="14" xfId="11" applyFont="1" applyFill="1" applyBorder="1" applyAlignment="1">
      <alignment horizontal="left" vertical="center" wrapText="1"/>
    </xf>
    <xf numFmtId="0" fontId="79" fillId="18" borderId="15" xfId="11" applyFont="1" applyFill="1" applyBorder="1" applyAlignment="1">
      <alignment horizontal="left" vertical="center" wrapText="1"/>
    </xf>
    <xf numFmtId="0" fontId="79" fillId="18" borderId="16" xfId="11" applyFont="1" applyFill="1" applyBorder="1" applyAlignment="1">
      <alignment horizontal="left" vertical="center" wrapText="1"/>
    </xf>
    <xf numFmtId="168" fontId="21" fillId="0" borderId="98" xfId="11" applyNumberFormat="1" applyFont="1" applyBorder="1" applyAlignment="1">
      <alignment horizontal="center" vertical="center"/>
    </xf>
    <xf numFmtId="0" fontId="57" fillId="12" borderId="5" xfId="11" applyFont="1" applyFill="1" applyBorder="1" applyAlignment="1">
      <alignment horizontal="center" vertical="center" wrapText="1"/>
    </xf>
    <xf numFmtId="0" fontId="50" fillId="0" borderId="0" xfId="11" applyFont="1" applyAlignment="1">
      <alignment horizontal="center" vertical="center" wrapText="1"/>
    </xf>
    <xf numFmtId="0" fontId="34" fillId="0" borderId="0" xfId="11" applyFont="1" applyAlignment="1">
      <alignment horizontal="center" vertical="center" wrapText="1"/>
    </xf>
    <xf numFmtId="0" fontId="24" fillId="0" borderId="0" xfId="11" applyFont="1" applyAlignment="1">
      <alignment horizontal="center" vertical="center" wrapText="1"/>
    </xf>
    <xf numFmtId="0" fontId="32" fillId="0" borderId="14" xfId="11" applyFont="1" applyBorder="1" applyAlignment="1">
      <alignment horizontal="center" vertical="center" wrapText="1"/>
    </xf>
    <xf numFmtId="0" fontId="32" fillId="0" borderId="16" xfId="11" applyFont="1" applyBorder="1" applyAlignment="1">
      <alignment horizontal="center" vertical="center" wrapText="1"/>
    </xf>
    <xf numFmtId="0" fontId="33" fillId="0" borderId="0" xfId="11" applyFont="1" applyAlignment="1">
      <alignment horizontal="center" vertical="center" wrapText="1"/>
    </xf>
    <xf numFmtId="0" fontId="26" fillId="0" borderId="0" xfId="11" applyFont="1" applyAlignment="1">
      <alignment horizontal="center" vertical="center" wrapText="1"/>
    </xf>
    <xf numFmtId="0" fontId="16" fillId="0" borderId="0" xfId="11" applyFont="1" applyAlignment="1">
      <alignment horizontal="center" vertical="center" wrapText="1"/>
    </xf>
    <xf numFmtId="0" fontId="3" fillId="0" borderId="14" xfId="21" applyFont="1" applyBorder="1" applyAlignment="1">
      <alignment horizontal="center" vertical="center"/>
    </xf>
    <xf numFmtId="0" fontId="3" fillId="0" borderId="15" xfId="21" applyFont="1" applyBorder="1" applyAlignment="1">
      <alignment horizontal="center" vertical="center"/>
    </xf>
    <xf numFmtId="0" fontId="3" fillId="0" borderId="16" xfId="21" applyFont="1" applyBorder="1" applyAlignment="1">
      <alignment horizontal="center" vertical="center"/>
    </xf>
    <xf numFmtId="0" fontId="3" fillId="0" borderId="19" xfId="21" applyFont="1" applyBorder="1" applyAlignment="1">
      <alignment horizontal="center" vertical="center"/>
    </xf>
    <xf numFmtId="0" fontId="3" fillId="0" borderId="20" xfId="21" applyFont="1" applyBorder="1" applyAlignment="1">
      <alignment horizontal="center" vertical="center"/>
    </xf>
    <xf numFmtId="0" fontId="3" fillId="0" borderId="21" xfId="21" applyFont="1" applyBorder="1" applyAlignment="1">
      <alignment horizontal="center" vertical="center"/>
    </xf>
    <xf numFmtId="0" fontId="94" fillId="0" borderId="14" xfId="0" applyFont="1" applyBorder="1" applyAlignment="1">
      <alignment horizontal="center" vertical="center"/>
    </xf>
    <xf numFmtId="0" fontId="94" fillId="0" borderId="15" xfId="0" applyFont="1" applyBorder="1" applyAlignment="1">
      <alignment horizontal="center" vertical="center"/>
    </xf>
    <xf numFmtId="0" fontId="94" fillId="0" borderId="16" xfId="0" applyFont="1" applyBorder="1" applyAlignment="1">
      <alignment horizontal="center" vertical="center"/>
    </xf>
    <xf numFmtId="0" fontId="38" fillId="0" borderId="5" xfId="21" applyFont="1" applyBorder="1" applyAlignment="1">
      <alignment horizontal="center" vertical="center"/>
    </xf>
    <xf numFmtId="0" fontId="38" fillId="0" borderId="12" xfId="21" applyFont="1" applyBorder="1" applyAlignment="1">
      <alignment horizontal="center" vertical="center"/>
    </xf>
    <xf numFmtId="0" fontId="38" fillId="0" borderId="23" xfId="21" applyFont="1" applyBorder="1" applyAlignment="1">
      <alignment horizontal="center" vertical="center"/>
    </xf>
    <xf numFmtId="0" fontId="39" fillId="0" borderId="33" xfId="21" applyFont="1" applyBorder="1" applyAlignment="1">
      <alignment horizontal="center" vertical="center"/>
    </xf>
    <xf numFmtId="0" fontId="39" fillId="0" borderId="34" xfId="21" applyFont="1" applyBorder="1" applyAlignment="1">
      <alignment horizontal="center" vertical="center"/>
    </xf>
    <xf numFmtId="0" fontId="39" fillId="0" borderId="35" xfId="21" applyFont="1" applyBorder="1" applyAlignment="1">
      <alignment horizontal="center" vertical="center"/>
    </xf>
    <xf numFmtId="0" fontId="39" fillId="0" borderId="6" xfId="21" applyFont="1" applyBorder="1" applyAlignment="1">
      <alignment horizontal="center" vertical="center"/>
    </xf>
    <xf numFmtId="0" fontId="39" fillId="0" borderId="0" xfId="21" applyFont="1" applyAlignment="1">
      <alignment horizontal="center" vertical="center"/>
    </xf>
    <xf numFmtId="0" fontId="39" fillId="0" borderId="8" xfId="21" applyFont="1" applyBorder="1" applyAlignment="1">
      <alignment horizontal="center" vertical="center"/>
    </xf>
    <xf numFmtId="0" fontId="39" fillId="0" borderId="4" xfId="21" applyFont="1" applyBorder="1" applyAlignment="1">
      <alignment horizontal="center" vertical="center"/>
    </xf>
    <xf numFmtId="0" fontId="39" fillId="0" borderId="13" xfId="21" applyFont="1" applyBorder="1" applyAlignment="1">
      <alignment horizontal="center" vertical="center"/>
    </xf>
    <xf numFmtId="0" fontId="39" fillId="0" borderId="2" xfId="21" applyFont="1" applyBorder="1" applyAlignment="1">
      <alignment horizontal="center" vertical="center"/>
    </xf>
    <xf numFmtId="0" fontId="38" fillId="0" borderId="37" xfId="21" applyFont="1" applyBorder="1" applyAlignment="1">
      <alignment horizontal="center" vertical="center" wrapText="1"/>
    </xf>
    <xf numFmtId="0" fontId="38" fillId="0" borderId="38" xfId="21" applyFont="1" applyBorder="1" applyAlignment="1">
      <alignment horizontal="center" vertical="center" wrapText="1"/>
    </xf>
    <xf numFmtId="0" fontId="13" fillId="0" borderId="19" xfId="11" applyFont="1" applyBorder="1" applyAlignment="1">
      <alignment horizontal="center" vertical="center"/>
    </xf>
    <xf numFmtId="0" fontId="13" fillId="0" borderId="20" xfId="11" applyFont="1" applyBorder="1" applyAlignment="1">
      <alignment horizontal="center" vertical="center"/>
    </xf>
    <xf numFmtId="0" fontId="13" fillId="0" borderId="21" xfId="11" applyFont="1" applyBorder="1" applyAlignment="1">
      <alignment horizontal="center" vertical="center"/>
    </xf>
    <xf numFmtId="0" fontId="13" fillId="0" borderId="3" xfId="11" applyFont="1" applyBorder="1" applyAlignment="1">
      <alignment horizontal="center" vertical="center"/>
    </xf>
    <xf numFmtId="0" fontId="13" fillId="0" borderId="22" xfId="11" applyFont="1" applyBorder="1" applyAlignment="1">
      <alignment horizontal="center" vertical="center"/>
    </xf>
    <xf numFmtId="0" fontId="13" fillId="0" borderId="17" xfId="11" applyFont="1" applyBorder="1" applyAlignment="1">
      <alignment horizontal="center" vertical="center"/>
    </xf>
    <xf numFmtId="0" fontId="13" fillId="0" borderId="18" xfId="11" applyFont="1" applyBorder="1" applyAlignment="1">
      <alignment horizontal="center" vertical="center"/>
    </xf>
    <xf numFmtId="0" fontId="13" fillId="0" borderId="10" xfId="11" applyFont="1" applyBorder="1" applyAlignment="1">
      <alignment horizontal="center" vertical="center"/>
    </xf>
    <xf numFmtId="0" fontId="12" fillId="2" borderId="22" xfId="11" applyFont="1" applyFill="1" applyBorder="1" applyAlignment="1">
      <alignment horizontal="center" vertical="center" wrapText="1"/>
    </xf>
    <xf numFmtId="0" fontId="12" fillId="2" borderId="17" xfId="11" applyFont="1" applyFill="1" applyBorder="1" applyAlignment="1">
      <alignment horizontal="center" vertical="center" wrapText="1"/>
    </xf>
    <xf numFmtId="0" fontId="12" fillId="2" borderId="18" xfId="11" applyFont="1" applyFill="1" applyBorder="1" applyAlignment="1">
      <alignment horizontal="center" vertical="center" wrapText="1"/>
    </xf>
    <xf numFmtId="0" fontId="12" fillId="2" borderId="10" xfId="11" applyFont="1" applyFill="1" applyBorder="1" applyAlignment="1">
      <alignment horizontal="center" vertical="center" wrapText="1"/>
    </xf>
    <xf numFmtId="0" fontId="0" fillId="0" borderId="47" xfId="0" applyBorder="1" applyAlignment="1">
      <alignment horizontal="center"/>
    </xf>
    <xf numFmtId="0" fontId="0" fillId="0" borderId="92" xfId="0" applyBorder="1" applyAlignment="1">
      <alignment horizontal="center"/>
    </xf>
    <xf numFmtId="0" fontId="18" fillId="4" borderId="19" xfId="11" applyFont="1" applyFill="1" applyBorder="1" applyAlignment="1">
      <alignment horizontal="center" vertical="center" wrapText="1"/>
    </xf>
    <xf numFmtId="0" fontId="18" fillId="4" borderId="20" xfId="11" applyFont="1" applyFill="1" applyBorder="1" applyAlignment="1">
      <alignment horizontal="center" vertical="center" wrapText="1"/>
    </xf>
    <xf numFmtId="0" fontId="18" fillId="4" borderId="21" xfId="11" applyFont="1" applyFill="1" applyBorder="1" applyAlignment="1">
      <alignment horizontal="center" vertical="center" wrapText="1"/>
    </xf>
    <xf numFmtId="0" fontId="18" fillId="0" borderId="1" xfId="11" applyFont="1" applyBorder="1" applyAlignment="1">
      <alignment horizontal="center" vertical="center" wrapText="1"/>
    </xf>
    <xf numFmtId="0" fontId="20" fillId="0" borderId="1" xfId="11" applyFont="1" applyBorder="1" applyAlignment="1">
      <alignment horizontal="center" vertical="center" wrapText="1"/>
    </xf>
    <xf numFmtId="0" fontId="22" fillId="0" borderId="66" xfId="11" applyFont="1" applyBorder="1" applyAlignment="1">
      <alignment horizontal="center" vertical="center" wrapText="1"/>
    </xf>
    <xf numFmtId="0" fontId="67" fillId="0" borderId="1" xfId="11" applyFont="1" applyBorder="1" applyAlignment="1">
      <alignment horizontal="center" vertical="center"/>
    </xf>
    <xf numFmtId="0" fontId="23" fillId="17" borderId="1" xfId="11" applyFont="1" applyFill="1" applyBorder="1" applyAlignment="1">
      <alignment horizontal="center" vertical="center" wrapText="1"/>
    </xf>
    <xf numFmtId="0" fontId="67" fillId="0" borderId="14" xfId="11" applyFont="1" applyBorder="1" applyAlignment="1">
      <alignment horizontal="center" vertical="center" wrapText="1"/>
    </xf>
    <xf numFmtId="0" fontId="23" fillId="17" borderId="1" xfId="11" applyFont="1" applyFill="1" applyBorder="1" applyAlignment="1">
      <alignment horizontal="center"/>
    </xf>
    <xf numFmtId="0" fontId="67" fillId="0" borderId="3" xfId="11" applyFont="1" applyBorder="1" applyAlignment="1">
      <alignment horizontal="center" vertical="center"/>
    </xf>
    <xf numFmtId="0" fontId="67" fillId="0" borderId="9" xfId="11" applyFont="1" applyBorder="1" applyAlignment="1">
      <alignment horizontal="center" vertical="center"/>
    </xf>
    <xf numFmtId="0" fontId="67" fillId="0" borderId="10" xfId="11" applyFont="1" applyBorder="1" applyAlignment="1">
      <alignment horizontal="center" vertical="center"/>
    </xf>
    <xf numFmtId="0" fontId="18" fillId="0" borderId="24" xfId="11" applyFont="1" applyBorder="1" applyAlignment="1">
      <alignment horizontal="center" vertical="center" wrapText="1"/>
    </xf>
    <xf numFmtId="0" fontId="18" fillId="0" borderId="7" xfId="11" applyFont="1" applyBorder="1" applyAlignment="1">
      <alignment horizontal="center" vertical="center" wrapText="1"/>
    </xf>
    <xf numFmtId="0" fontId="18" fillId="0" borderId="54" xfId="11" applyFont="1" applyBorder="1" applyAlignment="1">
      <alignment horizontal="center" vertical="center" wrapText="1"/>
    </xf>
    <xf numFmtId="0" fontId="18" fillId="0" borderId="25" xfId="11" applyFont="1" applyBorder="1" applyAlignment="1">
      <alignment horizontal="center" vertical="center" wrapText="1"/>
    </xf>
    <xf numFmtId="0" fontId="18" fillId="0" borderId="26" xfId="11" applyFont="1" applyBorder="1" applyAlignment="1">
      <alignment horizontal="center" vertical="center" wrapText="1"/>
    </xf>
    <xf numFmtId="0" fontId="18" fillId="0" borderId="14" xfId="11" applyFont="1" applyBorder="1" applyAlignment="1">
      <alignment horizontal="center" vertical="center" wrapText="1"/>
    </xf>
    <xf numFmtId="0" fontId="18" fillId="0" borderId="27" xfId="11" applyFont="1" applyBorder="1" applyAlignment="1">
      <alignment horizontal="center" vertical="center" wrapText="1"/>
    </xf>
    <xf numFmtId="0" fontId="20" fillId="0" borderId="36" xfId="11" applyFont="1" applyBorder="1" applyAlignment="1">
      <alignment horizontal="center" vertical="center" wrapText="1"/>
    </xf>
    <xf numFmtId="0" fontId="20" fillId="0" borderId="31" xfId="11" applyFont="1" applyBorder="1" applyAlignment="1">
      <alignment horizontal="center" vertical="center" wrapText="1"/>
    </xf>
    <xf numFmtId="0" fontId="20" fillId="0" borderId="46" xfId="11" applyFont="1" applyBorder="1" applyAlignment="1">
      <alignment horizontal="center" vertical="center" wrapText="1"/>
    </xf>
    <xf numFmtId="0" fontId="20" fillId="0" borderId="32" xfId="11" applyFont="1" applyBorder="1" applyAlignment="1">
      <alignment horizontal="center" vertical="center" wrapText="1"/>
    </xf>
    <xf numFmtId="0" fontId="23" fillId="16" borderId="1" xfId="0" applyFont="1" applyFill="1" applyBorder="1"/>
    <xf numFmtId="0" fontId="14" fillId="0" borderId="42" xfId="11" applyBorder="1" applyAlignment="1">
      <alignment horizontal="center"/>
    </xf>
    <xf numFmtId="0" fontId="72" fillId="17" borderId="1" xfId="11" applyFont="1" applyFill="1" applyBorder="1" applyAlignment="1">
      <alignment horizontal="center" vertical="center" wrapText="1"/>
    </xf>
    <xf numFmtId="0" fontId="67" fillId="0" borderId="76" xfId="11" applyFont="1" applyBorder="1" applyAlignment="1">
      <alignment horizontal="center" vertical="center" wrapText="1"/>
    </xf>
    <xf numFmtId="0" fontId="67" fillId="0" borderId="77" xfId="11" applyFont="1" applyBorder="1" applyAlignment="1">
      <alignment horizontal="center" vertical="center" wrapText="1"/>
    </xf>
    <xf numFmtId="0" fontId="67" fillId="0" borderId="97" xfId="11" applyFont="1" applyBorder="1" applyAlignment="1">
      <alignment horizontal="center" vertical="center" wrapText="1"/>
    </xf>
    <xf numFmtId="0" fontId="23" fillId="17" borderId="14" xfId="11" applyFont="1" applyFill="1" applyBorder="1" applyAlignment="1">
      <alignment horizontal="center"/>
    </xf>
    <xf numFmtId="0" fontId="23" fillId="17" borderId="3" xfId="11" applyFont="1" applyFill="1" applyBorder="1" applyAlignment="1">
      <alignment horizontal="center"/>
    </xf>
    <xf numFmtId="0" fontId="23" fillId="17" borderId="19" xfId="11" applyFont="1" applyFill="1" applyBorder="1" applyAlignment="1">
      <alignment horizontal="center"/>
    </xf>
    <xf numFmtId="0" fontId="67" fillId="0" borderId="47" xfId="11" applyFont="1" applyBorder="1" applyAlignment="1">
      <alignment horizontal="center" vertical="center" wrapText="1"/>
    </xf>
    <xf numFmtId="0" fontId="67" fillId="0" borderId="1" xfId="11" applyFont="1" applyBorder="1" applyAlignment="1">
      <alignment horizontal="center" vertical="center" wrapText="1"/>
    </xf>
    <xf numFmtId="0" fontId="67" fillId="0" borderId="3" xfId="11" applyFont="1" applyBorder="1" applyAlignment="1">
      <alignment horizontal="center" vertical="center" wrapText="1"/>
    </xf>
    <xf numFmtId="0" fontId="67" fillId="0" borderId="19" xfId="11" applyFont="1" applyBorder="1" applyAlignment="1">
      <alignment horizontal="center" vertical="center"/>
    </xf>
    <xf numFmtId="0" fontId="67" fillId="0" borderId="57" xfId="11" applyFont="1" applyBorder="1" applyAlignment="1">
      <alignment horizontal="center" vertical="center"/>
    </xf>
    <xf numFmtId="0" fontId="67" fillId="0" borderId="64" xfId="11" applyFont="1" applyBorder="1" applyAlignment="1">
      <alignment horizontal="center" vertical="center"/>
    </xf>
    <xf numFmtId="0" fontId="67" fillId="0" borderId="14" xfId="11" applyFont="1" applyBorder="1" applyAlignment="1">
      <alignment horizontal="center" vertical="center"/>
    </xf>
    <xf numFmtId="0" fontId="23" fillId="17" borderId="81" xfId="11" applyFont="1" applyFill="1" applyBorder="1" applyAlignment="1">
      <alignment horizontal="center"/>
    </xf>
    <xf numFmtId="0" fontId="23" fillId="17" borderId="82" xfId="11" applyFont="1" applyFill="1" applyBorder="1" applyAlignment="1">
      <alignment horizontal="center"/>
    </xf>
    <xf numFmtId="0" fontId="23" fillId="17" borderId="83" xfId="11" applyFont="1" applyFill="1" applyBorder="1" applyAlignment="1">
      <alignment horizontal="center"/>
    </xf>
    <xf numFmtId="0" fontId="23" fillId="17" borderId="84" xfId="11" applyFont="1" applyFill="1" applyBorder="1" applyAlignment="1">
      <alignment horizontal="center"/>
    </xf>
    <xf numFmtId="0" fontId="23" fillId="17" borderId="85" xfId="11" applyFont="1" applyFill="1" applyBorder="1" applyAlignment="1">
      <alignment horizontal="center"/>
    </xf>
    <xf numFmtId="0" fontId="23" fillId="17" borderId="86" xfId="11" applyFont="1" applyFill="1" applyBorder="1" applyAlignment="1">
      <alignment horizontal="center"/>
    </xf>
    <xf numFmtId="0" fontId="23" fillId="17" borderId="87" xfId="11" applyFont="1" applyFill="1" applyBorder="1" applyAlignment="1">
      <alignment horizontal="center"/>
    </xf>
    <xf numFmtId="0" fontId="23" fillId="17" borderId="88" xfId="11" applyFont="1" applyFill="1" applyBorder="1" applyAlignment="1">
      <alignment horizontal="center"/>
    </xf>
    <xf numFmtId="0" fontId="67" fillId="0" borderId="22" xfId="11" applyFont="1" applyBorder="1" applyAlignment="1">
      <alignment horizontal="center" vertical="center" wrapText="1"/>
    </xf>
    <xf numFmtId="0" fontId="67" fillId="0" borderId="96" xfId="11" applyFont="1" applyBorder="1" applyAlignment="1">
      <alignment horizontal="center" vertical="center" wrapText="1"/>
    </xf>
    <xf numFmtId="0" fontId="23" fillId="17" borderId="10" xfId="11" applyFont="1" applyFill="1" applyBorder="1" applyAlignment="1">
      <alignment horizontal="center" vertical="center" wrapText="1"/>
    </xf>
    <xf numFmtId="0" fontId="67" fillId="0" borderId="10" xfId="11" applyFont="1" applyBorder="1" applyAlignment="1">
      <alignment horizontal="center" vertical="center" wrapText="1"/>
    </xf>
    <xf numFmtId="0" fontId="67" fillId="0" borderId="11" xfId="11" applyFont="1" applyBorder="1" applyAlignment="1">
      <alignment horizontal="center" vertical="center"/>
    </xf>
    <xf numFmtId="0" fontId="67" fillId="0" borderId="95" xfId="11" applyFont="1" applyBorder="1" applyAlignment="1">
      <alignment horizontal="center" vertical="center"/>
    </xf>
    <xf numFmtId="0" fontId="23" fillId="17" borderId="10" xfId="11" applyFont="1" applyFill="1" applyBorder="1" applyAlignment="1">
      <alignment horizontal="center"/>
    </xf>
    <xf numFmtId="0" fontId="67" fillId="0" borderId="78" xfId="11" applyFont="1" applyBorder="1" applyAlignment="1">
      <alignment horizontal="center" vertical="center" wrapText="1"/>
    </xf>
    <xf numFmtId="0" fontId="23" fillId="17" borderId="89" xfId="11" applyFont="1" applyFill="1" applyBorder="1" applyAlignment="1">
      <alignment horizontal="center" vertical="center" wrapText="1"/>
    </xf>
    <xf numFmtId="0" fontId="23" fillId="17" borderId="90" xfId="11" applyFont="1" applyFill="1" applyBorder="1" applyAlignment="1">
      <alignment horizontal="center" vertical="center" wrapText="1"/>
    </xf>
    <xf numFmtId="0" fontId="23" fillId="17" borderId="84" xfId="11" applyFont="1" applyFill="1" applyBorder="1" applyAlignment="1">
      <alignment horizontal="center" vertical="center" wrapText="1"/>
    </xf>
    <xf numFmtId="0" fontId="23" fillId="17" borderId="85" xfId="11" applyFont="1" applyFill="1" applyBorder="1" applyAlignment="1">
      <alignment horizontal="center" vertical="center" wrapText="1"/>
    </xf>
    <xf numFmtId="0" fontId="23" fillId="17" borderId="86" xfId="11" applyFont="1" applyFill="1" applyBorder="1" applyAlignment="1">
      <alignment horizontal="center" vertical="center" wrapText="1"/>
    </xf>
    <xf numFmtId="0" fontId="23" fillId="17" borderId="87" xfId="11" applyFont="1" applyFill="1" applyBorder="1" applyAlignment="1">
      <alignment horizontal="center" vertical="center" wrapText="1"/>
    </xf>
    <xf numFmtId="0" fontId="23" fillId="17" borderId="88" xfId="11" applyFont="1" applyFill="1" applyBorder="1" applyAlignment="1">
      <alignment horizontal="center" vertical="center" wrapText="1"/>
    </xf>
    <xf numFmtId="0" fontId="67" fillId="0" borderId="20" xfId="11" applyFont="1" applyBorder="1" applyAlignment="1">
      <alignment horizontal="center" vertical="center"/>
    </xf>
    <xf numFmtId="0" fontId="67" fillId="0" borderId="0" xfId="11" applyFont="1" applyAlignment="1">
      <alignment horizontal="center" vertical="center"/>
    </xf>
    <xf numFmtId="0" fontId="67" fillId="0" borderId="17" xfId="11" applyFont="1" applyBorder="1" applyAlignment="1">
      <alignment horizontal="center" vertical="center"/>
    </xf>
    <xf numFmtId="0" fontId="67" fillId="0" borderId="21" xfId="11" applyFont="1" applyBorder="1" applyAlignment="1">
      <alignment horizontal="center" vertical="center"/>
    </xf>
    <xf numFmtId="0" fontId="67" fillId="0" borderId="18" xfId="11" applyFont="1" applyBorder="1" applyAlignment="1">
      <alignment horizontal="center" vertical="center"/>
    </xf>
    <xf numFmtId="0" fontId="23" fillId="16" borderId="1" xfId="0" applyFont="1" applyFill="1" applyBorder="1" applyAlignment="1">
      <alignment horizontal="center" vertical="center" wrapText="1"/>
    </xf>
    <xf numFmtId="0" fontId="23" fillId="16" borderId="14" xfId="0" applyFont="1" applyFill="1" applyBorder="1" applyAlignment="1">
      <alignment horizontal="center" vertical="center" wrapText="1"/>
    </xf>
    <xf numFmtId="0" fontId="67" fillId="0" borderId="16" xfId="11" applyFont="1" applyBorder="1" applyAlignment="1">
      <alignment horizontal="center" vertical="center" wrapText="1"/>
    </xf>
    <xf numFmtId="0" fontId="67" fillId="0" borderId="62" xfId="11" applyFont="1" applyBorder="1" applyAlignment="1">
      <alignment horizontal="center" vertical="center"/>
    </xf>
    <xf numFmtId="0" fontId="67" fillId="0" borderId="63" xfId="11" applyFont="1" applyBorder="1" applyAlignment="1">
      <alignment horizontal="center" vertical="center"/>
    </xf>
    <xf numFmtId="0" fontId="67" fillId="0" borderId="58" xfId="11" applyFont="1" applyBorder="1" applyAlignment="1">
      <alignment horizontal="center" vertical="center"/>
    </xf>
    <xf numFmtId="0" fontId="67" fillId="0" borderId="94" xfId="11" applyFont="1" applyBorder="1" applyAlignment="1">
      <alignment horizontal="center" vertical="center" wrapText="1"/>
    </xf>
    <xf numFmtId="0" fontId="67" fillId="0" borderId="90" xfId="11" applyFont="1" applyBorder="1" applyAlignment="1">
      <alignment horizontal="center" vertical="center" wrapText="1"/>
    </xf>
    <xf numFmtId="0" fontId="67" fillId="0" borderId="93" xfId="11" applyFont="1" applyBorder="1" applyAlignment="1">
      <alignment horizontal="center" vertical="center" wrapText="1"/>
    </xf>
    <xf numFmtId="0" fontId="23" fillId="17" borderId="47" xfId="11" applyFont="1" applyFill="1" applyBorder="1" applyAlignment="1">
      <alignment horizontal="center"/>
    </xf>
    <xf numFmtId="0" fontId="67" fillId="0" borderId="47" xfId="11" applyFont="1" applyBorder="1" applyAlignment="1">
      <alignment horizontal="center" vertical="center"/>
    </xf>
    <xf numFmtId="0" fontId="14" fillId="0" borderId="62" xfId="11" applyBorder="1" applyAlignment="1">
      <alignment horizontal="center" vertical="center" wrapText="1"/>
    </xf>
    <xf numFmtId="0" fontId="14" fillId="0" borderId="63" xfId="11" applyBorder="1" applyAlignment="1">
      <alignment horizontal="center" vertical="center" wrapText="1"/>
    </xf>
    <xf numFmtId="0" fontId="14" fillId="0" borderId="58" xfId="11" applyBorder="1" applyAlignment="1">
      <alignment horizontal="center" vertical="center" wrapText="1"/>
    </xf>
    <xf numFmtId="0" fontId="14" fillId="0" borderId="63" xfId="11" applyBorder="1" applyAlignment="1">
      <alignment horizontal="center"/>
    </xf>
    <xf numFmtId="0" fontId="14" fillId="0" borderId="62" xfId="11" applyBorder="1" applyAlignment="1">
      <alignment horizontal="center"/>
    </xf>
    <xf numFmtId="0" fontId="14" fillId="0" borderId="58" xfId="11" applyBorder="1" applyAlignment="1">
      <alignment horizontal="center"/>
    </xf>
    <xf numFmtId="0" fontId="0" fillId="0" borderId="63" xfId="11" applyFont="1" applyBorder="1" applyAlignment="1">
      <alignment horizontal="center"/>
    </xf>
    <xf numFmtId="0" fontId="0" fillId="0" borderId="58" xfId="11" applyFont="1" applyBorder="1" applyAlignment="1">
      <alignment horizontal="center"/>
    </xf>
    <xf numFmtId="0" fontId="0" fillId="0" borderId="62" xfId="11" applyFont="1" applyBorder="1" applyAlignment="1">
      <alignment horizontal="center"/>
    </xf>
    <xf numFmtId="0" fontId="0" fillId="0" borderId="79" xfId="11" applyFont="1" applyBorder="1" applyAlignment="1">
      <alignment horizontal="center"/>
    </xf>
    <xf numFmtId="0" fontId="0" fillId="0" borderId="80" xfId="11" applyFont="1" applyBorder="1" applyAlignment="1">
      <alignment horizontal="center"/>
    </xf>
    <xf numFmtId="0" fontId="0" fillId="0" borderId="65" xfId="11" applyFont="1" applyBorder="1" applyAlignment="1">
      <alignment horizontal="center" vertical="top" wrapText="1"/>
    </xf>
    <xf numFmtId="0" fontId="0" fillId="0" borderId="63" xfId="11" applyFont="1" applyBorder="1" applyAlignment="1">
      <alignment horizontal="center" vertical="top" wrapText="1"/>
    </xf>
    <xf numFmtId="0" fontId="0" fillId="0" borderId="58" xfId="11" applyFont="1" applyBorder="1" applyAlignment="1">
      <alignment horizontal="center" vertical="top" wrapText="1"/>
    </xf>
    <xf numFmtId="0" fontId="0" fillId="0" borderId="66" xfId="11" applyFont="1" applyBorder="1" applyAlignment="1">
      <alignment horizontal="center"/>
    </xf>
    <xf numFmtId="0" fontId="0" fillId="0" borderId="62" xfId="11" applyFont="1" applyBorder="1" applyAlignment="1">
      <alignment horizontal="center" vertical="center" wrapText="1"/>
    </xf>
    <xf numFmtId="0" fontId="0" fillId="0" borderId="63" xfId="11" applyFont="1" applyBorder="1" applyAlignment="1">
      <alignment horizontal="center" vertical="center" wrapText="1"/>
    </xf>
    <xf numFmtId="0" fontId="0" fillId="0" borderId="58" xfId="11" applyFont="1" applyBorder="1" applyAlignment="1">
      <alignment horizontal="center" vertical="center" wrapText="1"/>
    </xf>
    <xf numFmtId="0" fontId="1" fillId="0" borderId="64" xfId="21" applyFont="1" applyBorder="1" applyAlignment="1">
      <alignment horizontal="center" vertical="center"/>
    </xf>
    <xf numFmtId="0" fontId="1" fillId="0" borderId="73" xfId="21" applyFont="1" applyBorder="1" applyAlignment="1">
      <alignment horizontal="center" vertical="center"/>
    </xf>
    <xf numFmtId="0" fontId="1" fillId="0" borderId="65" xfId="21" applyFont="1" applyBorder="1" applyAlignment="1">
      <alignment horizontal="center" vertical="center"/>
    </xf>
    <xf numFmtId="0" fontId="98" fillId="0" borderId="5" xfId="21" applyFont="1" applyBorder="1" applyAlignment="1">
      <alignment horizontal="center" vertical="center"/>
    </xf>
    <xf numFmtId="0" fontId="98" fillId="0" borderId="12" xfId="21" applyFont="1" applyBorder="1" applyAlignment="1">
      <alignment horizontal="center" vertical="center"/>
    </xf>
    <xf numFmtId="0" fontId="98" fillId="0" borderId="23" xfId="21" applyFont="1" applyBorder="1" applyAlignment="1">
      <alignment horizontal="center" vertical="center"/>
    </xf>
    <xf numFmtId="0" fontId="99" fillId="0" borderId="33" xfId="21" applyFont="1" applyBorder="1" applyAlignment="1">
      <alignment horizontal="center" vertical="center"/>
    </xf>
    <xf numFmtId="0" fontId="99" fillId="0" borderId="34" xfId="21" applyFont="1" applyBorder="1" applyAlignment="1">
      <alignment horizontal="center" vertical="center"/>
    </xf>
    <xf numFmtId="0" fontId="99" fillId="0" borderId="35" xfId="21" applyFont="1" applyBorder="1" applyAlignment="1">
      <alignment horizontal="center" vertical="center"/>
    </xf>
    <xf numFmtId="0" fontId="99" fillId="0" borderId="6" xfId="21" applyFont="1" applyBorder="1" applyAlignment="1">
      <alignment horizontal="center" vertical="center"/>
    </xf>
    <xf numFmtId="0" fontId="99" fillId="0" borderId="0" xfId="21" applyFont="1" applyAlignment="1">
      <alignment horizontal="center" vertical="center"/>
    </xf>
    <xf numFmtId="0" fontId="99" fillId="0" borderId="8" xfId="21" applyFont="1" applyBorder="1" applyAlignment="1">
      <alignment horizontal="center" vertical="center"/>
    </xf>
    <xf numFmtId="0" fontId="99" fillId="0" borderId="4" xfId="21" applyFont="1" applyBorder="1" applyAlignment="1">
      <alignment horizontal="center" vertical="center"/>
    </xf>
    <xf numFmtId="0" fontId="99" fillId="0" borderId="13" xfId="21" applyFont="1" applyBorder="1" applyAlignment="1">
      <alignment horizontal="center" vertical="center"/>
    </xf>
    <xf numFmtId="0" fontId="99" fillId="0" borderId="2" xfId="21" applyFont="1" applyBorder="1" applyAlignment="1">
      <alignment horizontal="center" vertical="center"/>
    </xf>
    <xf numFmtId="0" fontId="98" fillId="0" borderId="37" xfId="21" applyFont="1" applyBorder="1" applyAlignment="1">
      <alignment horizontal="center" vertical="center" wrapText="1"/>
    </xf>
    <xf numFmtId="0" fontId="98" fillId="0" borderId="38" xfId="21" applyFont="1" applyBorder="1" applyAlignment="1">
      <alignment horizontal="center" vertical="center" wrapText="1"/>
    </xf>
  </cellXfs>
  <cellStyles count="59">
    <cellStyle name="Millares [0]" xfId="16" builtinId="6"/>
    <cellStyle name="Millares [0] 2" xfId="14" xr:uid="{00000000-0005-0000-0000-000001000000}"/>
    <cellStyle name="Millares [0] 2 2" xfId="19" xr:uid="{00000000-0005-0000-0000-000002000000}"/>
    <cellStyle name="Millares [0] 2 2 2" xfId="36" xr:uid="{00000000-0005-0000-0000-000003000000}"/>
    <cellStyle name="Millares [0] 2 3" xfId="23" xr:uid="{00000000-0005-0000-0000-000004000000}"/>
    <cellStyle name="Millares [0] 2 3 2" xfId="40" xr:uid="{00000000-0005-0000-0000-000005000000}"/>
    <cellStyle name="Millares [0] 2 4" xfId="31" xr:uid="{00000000-0005-0000-0000-000006000000}"/>
    <cellStyle name="Millares [0] 3" xfId="33" xr:uid="{00000000-0005-0000-0000-000007000000}"/>
    <cellStyle name="Millares [0] 4" xfId="44" xr:uid="{00000000-0005-0000-0000-000008000000}"/>
    <cellStyle name="Millares [0] 5" xfId="52" xr:uid="{00000000-0005-0000-0000-000009000000}"/>
    <cellStyle name="Millares 2" xfId="3" xr:uid="{00000000-0005-0000-0000-00000A000000}"/>
    <cellStyle name="Millares 2 2" xfId="26" xr:uid="{00000000-0005-0000-0000-00000B000000}"/>
    <cellStyle name="Millares 3" xfId="7" xr:uid="{00000000-0005-0000-0000-00000C000000}"/>
    <cellStyle name="Millares 4" xfId="46" xr:uid="{00000000-0005-0000-0000-00000D000000}"/>
    <cellStyle name="Moneda" xfId="58" builtinId="4"/>
    <cellStyle name="Moneda [0]" xfId="20" builtinId="7"/>
    <cellStyle name="Moneda [0] 2" xfId="12" xr:uid="{00000000-0005-0000-0000-00000F000000}"/>
    <cellStyle name="Moneda [0] 2 2" xfId="18" xr:uid="{00000000-0005-0000-0000-000010000000}"/>
    <cellStyle name="Moneda [0] 2 2 2" xfId="35" xr:uid="{00000000-0005-0000-0000-000011000000}"/>
    <cellStyle name="Moneda [0] 2 3" xfId="22" xr:uid="{00000000-0005-0000-0000-000012000000}"/>
    <cellStyle name="Moneda [0] 2 3 2" xfId="39" xr:uid="{00000000-0005-0000-0000-000013000000}"/>
    <cellStyle name="Moneda [0] 2 4" xfId="28" xr:uid="{00000000-0005-0000-0000-000014000000}"/>
    <cellStyle name="Moneda [0] 2 4 2" xfId="42" xr:uid="{00000000-0005-0000-0000-000015000000}"/>
    <cellStyle name="Moneda [0] 2 5" xfId="30" xr:uid="{00000000-0005-0000-0000-000016000000}"/>
    <cellStyle name="Moneda [0] 3" xfId="37" xr:uid="{00000000-0005-0000-0000-000017000000}"/>
    <cellStyle name="Moneda [0] 4" xfId="45" xr:uid="{00000000-0005-0000-0000-000018000000}"/>
    <cellStyle name="Moneda [0] 5" xfId="51" xr:uid="{00000000-0005-0000-0000-000019000000}"/>
    <cellStyle name="Moneda 2" xfId="2" xr:uid="{00000000-0005-0000-0000-00001A000000}"/>
    <cellStyle name="Moneda 3" xfId="54" xr:uid="{00000000-0005-0000-0000-00001B000000}"/>
    <cellStyle name="Normal" xfId="0" builtinId="0"/>
    <cellStyle name="Normal 10" xfId="48" xr:uid="{00000000-0005-0000-0000-00001D000000}"/>
    <cellStyle name="Normal 11" xfId="56" xr:uid="{00000000-0005-0000-0000-00001E000000}"/>
    <cellStyle name="Normal 12 2" xfId="49" xr:uid="{00000000-0005-0000-0000-00001F000000}"/>
    <cellStyle name="Normal 2" xfId="5" xr:uid="{00000000-0005-0000-0000-000020000000}"/>
    <cellStyle name="Normal 2 2" xfId="11" xr:uid="{00000000-0005-0000-0000-000021000000}"/>
    <cellStyle name="Normal 3" xfId="8" xr:uid="{00000000-0005-0000-0000-000022000000}"/>
    <cellStyle name="Normal 3 2" xfId="17" xr:uid="{00000000-0005-0000-0000-000023000000}"/>
    <cellStyle name="Normal 3 2 2" xfId="34" xr:uid="{00000000-0005-0000-0000-000024000000}"/>
    <cellStyle name="Normal 3 3" xfId="21" xr:uid="{00000000-0005-0000-0000-000025000000}"/>
    <cellStyle name="Normal 3 3 2" xfId="38" xr:uid="{00000000-0005-0000-0000-000026000000}"/>
    <cellStyle name="Normal 3 3 3" xfId="57" xr:uid="{00000000-0005-0000-0000-000027000000}"/>
    <cellStyle name="Normal 3 4" xfId="53" xr:uid="{00000000-0005-0000-0000-000028000000}"/>
    <cellStyle name="Normal 4" xfId="9" xr:uid="{00000000-0005-0000-0000-000029000000}"/>
    <cellStyle name="Normal 4 2" xfId="29" xr:uid="{00000000-0005-0000-0000-00002A000000}"/>
    <cellStyle name="Normal 5" xfId="10" xr:uid="{00000000-0005-0000-0000-00002B000000}"/>
    <cellStyle name="Normal 6" xfId="15" xr:uid="{00000000-0005-0000-0000-00002C000000}"/>
    <cellStyle name="Normal 6 2" xfId="32" xr:uid="{00000000-0005-0000-0000-00002D000000}"/>
    <cellStyle name="Normal 7" xfId="24" xr:uid="{00000000-0005-0000-0000-00002E000000}"/>
    <cellStyle name="Normal 7 2" xfId="41" xr:uid="{00000000-0005-0000-0000-00002F000000}"/>
    <cellStyle name="Normal 8" xfId="43" xr:uid="{00000000-0005-0000-0000-000030000000}"/>
    <cellStyle name="Normal 9" xfId="50" xr:uid="{00000000-0005-0000-0000-000031000000}"/>
    <cellStyle name="Porcentaje" xfId="25" builtinId="5"/>
    <cellStyle name="Porcentaje 2" xfId="4" xr:uid="{00000000-0005-0000-0000-000033000000}"/>
    <cellStyle name="Porcentaje 2 2" xfId="27" xr:uid="{00000000-0005-0000-0000-000034000000}"/>
    <cellStyle name="Porcentaje 3" xfId="6" xr:uid="{00000000-0005-0000-0000-000035000000}"/>
    <cellStyle name="Porcentaje 4" xfId="47" xr:uid="{00000000-0005-0000-0000-000036000000}"/>
    <cellStyle name="Porcentaje 5" xfId="55" xr:uid="{00000000-0005-0000-0000-000037000000}"/>
    <cellStyle name="Texto explicativo" xfId="1" builtinId="53" customBuiltin="1"/>
    <cellStyle name="Texto explicativo 2" xfId="13" xr:uid="{00000000-0005-0000-0000-000039000000}"/>
  </cellStyles>
  <dxfs count="354">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tmp"/><Relationship Id="rId1" Type="http://schemas.openxmlformats.org/officeDocument/2006/relationships/image" Target="../media/image2.tmp"/><Relationship Id="rId4" Type="http://schemas.openxmlformats.org/officeDocument/2006/relationships/image" Target="../media/image5.tmp"/></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tmp"/><Relationship Id="rId1" Type="http://schemas.openxmlformats.org/officeDocument/2006/relationships/image" Target="../media/image2.tmp"/><Relationship Id="rId4" Type="http://schemas.openxmlformats.org/officeDocument/2006/relationships/image" Target="../media/image5.tmp"/></Relationships>
</file>

<file path=xl/drawings/_rels/drawing5.xml.rels><?xml version="1.0" encoding="UTF-8" standalone="yes"?>
<Relationships xmlns="http://schemas.openxmlformats.org/package/2006/relationships"><Relationship Id="rId8" Type="http://schemas.openxmlformats.org/officeDocument/2006/relationships/image" Target="../media/image14.png"/><Relationship Id="rId13" Type="http://schemas.openxmlformats.org/officeDocument/2006/relationships/image" Target="../media/image19.png"/><Relationship Id="rId18" Type="http://schemas.openxmlformats.org/officeDocument/2006/relationships/image" Target="../media/image24.png"/><Relationship Id="rId26" Type="http://schemas.openxmlformats.org/officeDocument/2006/relationships/image" Target="../media/image32.png"/><Relationship Id="rId3" Type="http://schemas.openxmlformats.org/officeDocument/2006/relationships/image" Target="../media/image9.png"/><Relationship Id="rId21" Type="http://schemas.openxmlformats.org/officeDocument/2006/relationships/image" Target="../media/image27.png"/><Relationship Id="rId34" Type="http://schemas.openxmlformats.org/officeDocument/2006/relationships/image" Target="../media/image40.png"/><Relationship Id="rId7" Type="http://schemas.openxmlformats.org/officeDocument/2006/relationships/image" Target="../media/image13.png"/><Relationship Id="rId12" Type="http://schemas.openxmlformats.org/officeDocument/2006/relationships/image" Target="../media/image18.png"/><Relationship Id="rId17" Type="http://schemas.openxmlformats.org/officeDocument/2006/relationships/image" Target="../media/image23.png"/><Relationship Id="rId25" Type="http://schemas.openxmlformats.org/officeDocument/2006/relationships/image" Target="../media/image31.png"/><Relationship Id="rId33" Type="http://schemas.openxmlformats.org/officeDocument/2006/relationships/image" Target="../media/image39.png"/><Relationship Id="rId38" Type="http://schemas.openxmlformats.org/officeDocument/2006/relationships/image" Target="../media/image44.png"/><Relationship Id="rId2" Type="http://schemas.openxmlformats.org/officeDocument/2006/relationships/image" Target="../media/image8.png"/><Relationship Id="rId16" Type="http://schemas.openxmlformats.org/officeDocument/2006/relationships/image" Target="../media/image22.png"/><Relationship Id="rId20" Type="http://schemas.openxmlformats.org/officeDocument/2006/relationships/image" Target="../media/image26.png"/><Relationship Id="rId29" Type="http://schemas.openxmlformats.org/officeDocument/2006/relationships/image" Target="../media/image35.png"/><Relationship Id="rId1" Type="http://schemas.openxmlformats.org/officeDocument/2006/relationships/image" Target="../media/image7.png"/><Relationship Id="rId6" Type="http://schemas.openxmlformats.org/officeDocument/2006/relationships/image" Target="../media/image12.png"/><Relationship Id="rId11" Type="http://schemas.openxmlformats.org/officeDocument/2006/relationships/image" Target="../media/image17.png"/><Relationship Id="rId24" Type="http://schemas.openxmlformats.org/officeDocument/2006/relationships/image" Target="../media/image30.png"/><Relationship Id="rId32" Type="http://schemas.openxmlformats.org/officeDocument/2006/relationships/image" Target="../media/image38.png"/><Relationship Id="rId37" Type="http://schemas.openxmlformats.org/officeDocument/2006/relationships/image" Target="../media/image43.tmp"/><Relationship Id="rId5" Type="http://schemas.openxmlformats.org/officeDocument/2006/relationships/image" Target="../media/image11.png"/><Relationship Id="rId15" Type="http://schemas.openxmlformats.org/officeDocument/2006/relationships/image" Target="../media/image21.png"/><Relationship Id="rId23" Type="http://schemas.openxmlformats.org/officeDocument/2006/relationships/image" Target="../media/image29.png"/><Relationship Id="rId28" Type="http://schemas.openxmlformats.org/officeDocument/2006/relationships/image" Target="../media/image34.png"/><Relationship Id="rId36" Type="http://schemas.openxmlformats.org/officeDocument/2006/relationships/image" Target="../media/image42.png"/><Relationship Id="rId10" Type="http://schemas.openxmlformats.org/officeDocument/2006/relationships/image" Target="../media/image16.png"/><Relationship Id="rId19" Type="http://schemas.openxmlformats.org/officeDocument/2006/relationships/image" Target="../media/image25.png"/><Relationship Id="rId31" Type="http://schemas.openxmlformats.org/officeDocument/2006/relationships/image" Target="../media/image37.png"/><Relationship Id="rId4" Type="http://schemas.openxmlformats.org/officeDocument/2006/relationships/image" Target="../media/image10.png"/><Relationship Id="rId9" Type="http://schemas.openxmlformats.org/officeDocument/2006/relationships/image" Target="../media/image15.png"/><Relationship Id="rId14" Type="http://schemas.openxmlformats.org/officeDocument/2006/relationships/image" Target="../media/image20.png"/><Relationship Id="rId22" Type="http://schemas.openxmlformats.org/officeDocument/2006/relationships/image" Target="../media/image28.png"/><Relationship Id="rId27" Type="http://schemas.openxmlformats.org/officeDocument/2006/relationships/image" Target="../media/image33.png"/><Relationship Id="rId30" Type="http://schemas.openxmlformats.org/officeDocument/2006/relationships/image" Target="../media/image36.png"/><Relationship Id="rId35" Type="http://schemas.openxmlformats.org/officeDocument/2006/relationships/image" Target="../media/image41.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12</xdr:col>
      <xdr:colOff>439616</xdr:colOff>
      <xdr:row>6</xdr:row>
      <xdr:rowOff>0</xdr:rowOff>
    </xdr:from>
    <xdr:to>
      <xdr:col>17</xdr:col>
      <xdr:colOff>680645</xdr:colOff>
      <xdr:row>9</xdr:row>
      <xdr:rowOff>521474</xdr:rowOff>
    </xdr:to>
    <xdr:pic>
      <xdr:nvPicPr>
        <xdr:cNvPr id="2" name="Imagen 1">
          <a:extLst>
            <a:ext uri="{FF2B5EF4-FFF2-40B4-BE49-F238E27FC236}">
              <a16:creationId xmlns:a16="http://schemas.microsoft.com/office/drawing/2014/main" id="{39CA9F3D-2949-49FA-BF58-CBDF30091F53}"/>
            </a:ext>
          </a:extLst>
        </xdr:cNvPr>
        <xdr:cNvPicPr>
          <a:picLocks noChangeAspect="1"/>
        </xdr:cNvPicPr>
      </xdr:nvPicPr>
      <xdr:blipFill>
        <a:blip xmlns:r="http://schemas.openxmlformats.org/officeDocument/2006/relationships" r:embed="rId1"/>
        <a:stretch>
          <a:fillRect/>
        </a:stretch>
      </xdr:blipFill>
      <xdr:spPr>
        <a:xfrm>
          <a:off x="9561635" y="1822572"/>
          <a:ext cx="5058481" cy="11717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1057275</xdr:colOff>
      <xdr:row>304</xdr:row>
      <xdr:rowOff>171450</xdr:rowOff>
    </xdr:from>
    <xdr:to>
      <xdr:col>17</xdr:col>
      <xdr:colOff>5429250</xdr:colOff>
      <xdr:row>304</xdr:row>
      <xdr:rowOff>2828925</xdr:rowOff>
    </xdr:to>
    <xdr:pic>
      <xdr:nvPicPr>
        <xdr:cNvPr id="2" name="Imagen 1">
          <a:extLst>
            <a:ext uri="{FF2B5EF4-FFF2-40B4-BE49-F238E27FC236}">
              <a16:creationId xmlns:a16="http://schemas.microsoft.com/office/drawing/2014/main" id="{09FCA51F-2E08-4E3E-B2D9-29F79E4BBE8B}"/>
            </a:ext>
          </a:extLst>
        </xdr:cNvPr>
        <xdr:cNvPicPr>
          <a:picLocks noChangeAspect="1"/>
        </xdr:cNvPicPr>
      </xdr:nvPicPr>
      <xdr:blipFill>
        <a:blip xmlns:r="http://schemas.openxmlformats.org/officeDocument/2006/relationships" r:embed="rId1"/>
        <a:stretch>
          <a:fillRect/>
        </a:stretch>
      </xdr:blipFill>
      <xdr:spPr>
        <a:xfrm>
          <a:off x="40281225" y="235486575"/>
          <a:ext cx="4371975" cy="2657475"/>
        </a:xfrm>
        <a:prstGeom prst="rect">
          <a:avLst/>
        </a:prstGeom>
      </xdr:spPr>
    </xdr:pic>
    <xdr:clientData/>
  </xdr:twoCellAnchor>
  <xdr:twoCellAnchor editAs="oneCell">
    <xdr:from>
      <xdr:col>17</xdr:col>
      <xdr:colOff>390525</xdr:colOff>
      <xdr:row>337</xdr:row>
      <xdr:rowOff>1828800</xdr:rowOff>
    </xdr:from>
    <xdr:to>
      <xdr:col>17</xdr:col>
      <xdr:colOff>6200775</xdr:colOff>
      <xdr:row>337</xdr:row>
      <xdr:rowOff>2886075</xdr:rowOff>
    </xdr:to>
    <xdr:pic>
      <xdr:nvPicPr>
        <xdr:cNvPr id="3" name="Imagen 2">
          <a:extLst>
            <a:ext uri="{FF2B5EF4-FFF2-40B4-BE49-F238E27FC236}">
              <a16:creationId xmlns:a16="http://schemas.microsoft.com/office/drawing/2014/main" id="{08AA292B-AD84-4252-8CF7-B8B061C12354}"/>
            </a:ext>
            <a:ext uri="{147F2762-F138-4A5C-976F-8EAC2B608ADB}">
              <a16:predDERef xmlns:a16="http://schemas.microsoft.com/office/drawing/2014/main" pred="{09FCA51F-2E08-4E3E-B2D9-29F79E4BBE8B}"/>
            </a:ext>
          </a:extLst>
        </xdr:cNvPr>
        <xdr:cNvPicPr>
          <a:picLocks noChangeAspect="1"/>
        </xdr:cNvPicPr>
      </xdr:nvPicPr>
      <xdr:blipFill>
        <a:blip xmlns:r="http://schemas.openxmlformats.org/officeDocument/2006/relationships" r:embed="rId2"/>
        <a:stretch>
          <a:fillRect/>
        </a:stretch>
      </xdr:blipFill>
      <xdr:spPr>
        <a:xfrm>
          <a:off x="39614475" y="270814800"/>
          <a:ext cx="5810250" cy="1057275"/>
        </a:xfrm>
        <a:prstGeom prst="rect">
          <a:avLst/>
        </a:prstGeom>
      </xdr:spPr>
    </xdr:pic>
    <xdr:clientData/>
  </xdr:twoCellAnchor>
  <xdr:twoCellAnchor editAs="oneCell">
    <xdr:from>
      <xdr:col>17</xdr:col>
      <xdr:colOff>390525</xdr:colOff>
      <xdr:row>348</xdr:row>
      <xdr:rowOff>485775</xdr:rowOff>
    </xdr:from>
    <xdr:to>
      <xdr:col>17</xdr:col>
      <xdr:colOff>6172200</xdr:colOff>
      <xdr:row>348</xdr:row>
      <xdr:rowOff>1447800</xdr:rowOff>
    </xdr:to>
    <xdr:pic>
      <xdr:nvPicPr>
        <xdr:cNvPr id="4" name="Imagen 3">
          <a:extLst>
            <a:ext uri="{FF2B5EF4-FFF2-40B4-BE49-F238E27FC236}">
              <a16:creationId xmlns:a16="http://schemas.microsoft.com/office/drawing/2014/main" id="{654F662F-800D-4812-ACD6-4ABBB4668272}"/>
            </a:ext>
            <a:ext uri="{147F2762-F138-4A5C-976F-8EAC2B608ADB}">
              <a16:predDERef xmlns:a16="http://schemas.microsoft.com/office/drawing/2014/main" pred="{08AA292B-AD84-4252-8CF7-B8B061C12354}"/>
            </a:ext>
          </a:extLst>
        </xdr:cNvPr>
        <xdr:cNvPicPr>
          <a:picLocks noChangeAspect="1"/>
        </xdr:cNvPicPr>
      </xdr:nvPicPr>
      <xdr:blipFill>
        <a:blip xmlns:r="http://schemas.openxmlformats.org/officeDocument/2006/relationships" r:embed="rId3"/>
        <a:stretch>
          <a:fillRect/>
        </a:stretch>
      </xdr:blipFill>
      <xdr:spPr>
        <a:xfrm>
          <a:off x="39614475" y="277749000"/>
          <a:ext cx="5781675" cy="962025"/>
        </a:xfrm>
        <a:prstGeom prst="rect">
          <a:avLst/>
        </a:prstGeom>
      </xdr:spPr>
    </xdr:pic>
    <xdr:clientData/>
  </xdr:twoCellAnchor>
  <xdr:twoCellAnchor editAs="oneCell">
    <xdr:from>
      <xdr:col>17</xdr:col>
      <xdr:colOff>323850</xdr:colOff>
      <xdr:row>348</xdr:row>
      <xdr:rowOff>1714500</xdr:rowOff>
    </xdr:from>
    <xdr:to>
      <xdr:col>17</xdr:col>
      <xdr:colOff>6286500</xdr:colOff>
      <xdr:row>348</xdr:row>
      <xdr:rowOff>2438400</xdr:rowOff>
    </xdr:to>
    <xdr:pic>
      <xdr:nvPicPr>
        <xdr:cNvPr id="5" name="Imagen 4">
          <a:extLst>
            <a:ext uri="{FF2B5EF4-FFF2-40B4-BE49-F238E27FC236}">
              <a16:creationId xmlns:a16="http://schemas.microsoft.com/office/drawing/2014/main" id="{2BFD12F7-4CE3-4709-8F95-C3D0A25F9F1C}"/>
            </a:ext>
            <a:ext uri="{147F2762-F138-4A5C-976F-8EAC2B608ADB}">
              <a16:predDERef xmlns:a16="http://schemas.microsoft.com/office/drawing/2014/main" pred="{654F662F-800D-4812-ACD6-4ABBB4668272}"/>
            </a:ext>
          </a:extLst>
        </xdr:cNvPr>
        <xdr:cNvPicPr>
          <a:picLocks noChangeAspect="1"/>
        </xdr:cNvPicPr>
      </xdr:nvPicPr>
      <xdr:blipFill>
        <a:blip xmlns:r="http://schemas.openxmlformats.org/officeDocument/2006/relationships" r:embed="rId4"/>
        <a:stretch>
          <a:fillRect/>
        </a:stretch>
      </xdr:blipFill>
      <xdr:spPr>
        <a:xfrm>
          <a:off x="39547800" y="278977725"/>
          <a:ext cx="5962650" cy="723900"/>
        </a:xfrm>
        <a:prstGeom prst="rect">
          <a:avLst/>
        </a:prstGeom>
      </xdr:spPr>
    </xdr:pic>
    <xdr:clientData/>
  </xdr:twoCellAnchor>
  <xdr:twoCellAnchor editAs="oneCell">
    <xdr:from>
      <xdr:col>17</xdr:col>
      <xdr:colOff>361950</xdr:colOff>
      <xdr:row>349</xdr:row>
      <xdr:rowOff>704850</xdr:rowOff>
    </xdr:from>
    <xdr:to>
      <xdr:col>17</xdr:col>
      <xdr:colOff>6143625</xdr:colOff>
      <xdr:row>349</xdr:row>
      <xdr:rowOff>1666875</xdr:rowOff>
    </xdr:to>
    <xdr:pic>
      <xdr:nvPicPr>
        <xdr:cNvPr id="6" name="Imagen 3">
          <a:extLst>
            <a:ext uri="{FF2B5EF4-FFF2-40B4-BE49-F238E27FC236}">
              <a16:creationId xmlns:a16="http://schemas.microsoft.com/office/drawing/2014/main" id="{5569CDD1-B67E-487D-BD72-6465CDDE5BBD}"/>
            </a:ext>
            <a:ext uri="{147F2762-F138-4A5C-976F-8EAC2B608ADB}">
              <a16:predDERef xmlns:a16="http://schemas.microsoft.com/office/drawing/2014/main" pred="{2BFD12F7-4CE3-4709-8F95-C3D0A25F9F1C}"/>
            </a:ext>
          </a:extLst>
        </xdr:cNvPr>
        <xdr:cNvPicPr>
          <a:picLocks noChangeAspect="1"/>
        </xdr:cNvPicPr>
      </xdr:nvPicPr>
      <xdr:blipFill>
        <a:blip xmlns:r="http://schemas.openxmlformats.org/officeDocument/2006/relationships" r:embed="rId3"/>
        <a:stretch>
          <a:fillRect/>
        </a:stretch>
      </xdr:blipFill>
      <xdr:spPr>
        <a:xfrm>
          <a:off x="39585900" y="280949400"/>
          <a:ext cx="5781675" cy="962025"/>
        </a:xfrm>
        <a:prstGeom prst="rect">
          <a:avLst/>
        </a:prstGeom>
      </xdr:spPr>
    </xdr:pic>
    <xdr:clientData/>
  </xdr:twoCellAnchor>
  <xdr:twoCellAnchor editAs="oneCell">
    <xdr:from>
      <xdr:col>17</xdr:col>
      <xdr:colOff>495300</xdr:colOff>
      <xdr:row>349</xdr:row>
      <xdr:rowOff>1714500</xdr:rowOff>
    </xdr:from>
    <xdr:to>
      <xdr:col>17</xdr:col>
      <xdr:colOff>6457950</xdr:colOff>
      <xdr:row>349</xdr:row>
      <xdr:rowOff>2438400</xdr:rowOff>
    </xdr:to>
    <xdr:pic>
      <xdr:nvPicPr>
        <xdr:cNvPr id="7" name="Imagen 4">
          <a:extLst>
            <a:ext uri="{FF2B5EF4-FFF2-40B4-BE49-F238E27FC236}">
              <a16:creationId xmlns:a16="http://schemas.microsoft.com/office/drawing/2014/main" id="{BA25B678-AF6F-4C0E-9598-C4B199D4EFEC}"/>
            </a:ext>
            <a:ext uri="{147F2762-F138-4A5C-976F-8EAC2B608ADB}">
              <a16:predDERef xmlns:a16="http://schemas.microsoft.com/office/drawing/2014/main" pred="{5569CDD1-B67E-487D-BD72-6465CDDE5BBD}"/>
            </a:ext>
          </a:extLst>
        </xdr:cNvPr>
        <xdr:cNvPicPr>
          <a:picLocks noChangeAspect="1"/>
        </xdr:cNvPicPr>
      </xdr:nvPicPr>
      <xdr:blipFill>
        <a:blip xmlns:r="http://schemas.openxmlformats.org/officeDocument/2006/relationships" r:embed="rId4"/>
        <a:stretch>
          <a:fillRect/>
        </a:stretch>
      </xdr:blipFill>
      <xdr:spPr>
        <a:xfrm>
          <a:off x="39719250" y="281959050"/>
          <a:ext cx="5962650" cy="7239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463826</xdr:colOff>
      <xdr:row>0</xdr:row>
      <xdr:rowOff>339587</xdr:rowOff>
    </xdr:from>
    <xdr:to>
      <xdr:col>6</xdr:col>
      <xdr:colOff>921675</xdr:colOff>
      <xdr:row>4</xdr:row>
      <xdr:rowOff>60625</xdr:rowOff>
    </xdr:to>
    <xdr:pic>
      <xdr:nvPicPr>
        <xdr:cNvPr id="2" name="Imagen 2">
          <a:extLst>
            <a:ext uri="{FF2B5EF4-FFF2-40B4-BE49-F238E27FC236}">
              <a16:creationId xmlns:a16="http://schemas.microsoft.com/office/drawing/2014/main" id="{A93C7357-450A-4DDD-9341-23AB73A708FD}"/>
            </a:ext>
          </a:extLst>
        </xdr:cNvPr>
        <xdr:cNvPicPr>
          <a:picLocks noChangeAspect="1"/>
        </xdr:cNvPicPr>
      </xdr:nvPicPr>
      <xdr:blipFill>
        <a:blip xmlns:r="http://schemas.openxmlformats.org/officeDocument/2006/relationships" r:embed="rId1"/>
        <a:stretch>
          <a:fillRect/>
        </a:stretch>
      </xdr:blipFill>
      <xdr:spPr>
        <a:xfrm>
          <a:off x="6531251" y="339587"/>
          <a:ext cx="4639324" cy="11688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1057275</xdr:colOff>
      <xdr:row>304</xdr:row>
      <xdr:rowOff>171450</xdr:rowOff>
    </xdr:from>
    <xdr:to>
      <xdr:col>17</xdr:col>
      <xdr:colOff>5429250</xdr:colOff>
      <xdr:row>304</xdr:row>
      <xdr:rowOff>2828925</xdr:rowOff>
    </xdr:to>
    <xdr:pic>
      <xdr:nvPicPr>
        <xdr:cNvPr id="10" name="Imagen 1">
          <a:extLst>
            <a:ext uri="{FF2B5EF4-FFF2-40B4-BE49-F238E27FC236}">
              <a16:creationId xmlns:a16="http://schemas.microsoft.com/office/drawing/2014/main" id="{9480CABF-5BBF-7B95-2835-71C33BD9AA69}"/>
            </a:ext>
          </a:extLst>
        </xdr:cNvPr>
        <xdr:cNvPicPr>
          <a:picLocks noChangeAspect="1"/>
        </xdr:cNvPicPr>
      </xdr:nvPicPr>
      <xdr:blipFill>
        <a:blip xmlns:r="http://schemas.openxmlformats.org/officeDocument/2006/relationships" r:embed="rId1"/>
        <a:stretch>
          <a:fillRect/>
        </a:stretch>
      </xdr:blipFill>
      <xdr:spPr>
        <a:xfrm>
          <a:off x="40281225" y="230971725"/>
          <a:ext cx="4371975" cy="2657475"/>
        </a:xfrm>
        <a:prstGeom prst="rect">
          <a:avLst/>
        </a:prstGeom>
      </xdr:spPr>
    </xdr:pic>
    <xdr:clientData/>
  </xdr:twoCellAnchor>
  <xdr:twoCellAnchor editAs="oneCell">
    <xdr:from>
      <xdr:col>17</xdr:col>
      <xdr:colOff>390525</xdr:colOff>
      <xdr:row>337</xdr:row>
      <xdr:rowOff>1828800</xdr:rowOff>
    </xdr:from>
    <xdr:to>
      <xdr:col>17</xdr:col>
      <xdr:colOff>6200775</xdr:colOff>
      <xdr:row>337</xdr:row>
      <xdr:rowOff>2886075</xdr:rowOff>
    </xdr:to>
    <xdr:pic>
      <xdr:nvPicPr>
        <xdr:cNvPr id="3" name="Imagen 2">
          <a:extLst>
            <a:ext uri="{FF2B5EF4-FFF2-40B4-BE49-F238E27FC236}">
              <a16:creationId xmlns:a16="http://schemas.microsoft.com/office/drawing/2014/main" id="{A6691014-86CA-8308-4251-4C67F235C9BC}"/>
            </a:ext>
            <a:ext uri="{147F2762-F138-4A5C-976F-8EAC2B608ADB}">
              <a16:predDERef xmlns:a16="http://schemas.microsoft.com/office/drawing/2014/main" pred="{9480CABF-5BBF-7B95-2835-71C33BD9AA69}"/>
            </a:ext>
          </a:extLst>
        </xdr:cNvPr>
        <xdr:cNvPicPr>
          <a:picLocks noChangeAspect="1"/>
        </xdr:cNvPicPr>
      </xdr:nvPicPr>
      <xdr:blipFill>
        <a:blip xmlns:r="http://schemas.openxmlformats.org/officeDocument/2006/relationships" r:embed="rId2"/>
        <a:stretch>
          <a:fillRect/>
        </a:stretch>
      </xdr:blipFill>
      <xdr:spPr>
        <a:xfrm>
          <a:off x="39614475" y="274681950"/>
          <a:ext cx="5810250" cy="1057275"/>
        </a:xfrm>
        <a:prstGeom prst="rect">
          <a:avLst/>
        </a:prstGeom>
      </xdr:spPr>
    </xdr:pic>
    <xdr:clientData/>
  </xdr:twoCellAnchor>
  <xdr:twoCellAnchor editAs="oneCell">
    <xdr:from>
      <xdr:col>17</xdr:col>
      <xdr:colOff>390525</xdr:colOff>
      <xdr:row>348</xdr:row>
      <xdr:rowOff>485775</xdr:rowOff>
    </xdr:from>
    <xdr:to>
      <xdr:col>17</xdr:col>
      <xdr:colOff>6172200</xdr:colOff>
      <xdr:row>348</xdr:row>
      <xdr:rowOff>1447800</xdr:rowOff>
    </xdr:to>
    <xdr:pic>
      <xdr:nvPicPr>
        <xdr:cNvPr id="4" name="Imagen 3">
          <a:extLst>
            <a:ext uri="{FF2B5EF4-FFF2-40B4-BE49-F238E27FC236}">
              <a16:creationId xmlns:a16="http://schemas.microsoft.com/office/drawing/2014/main" id="{0144B0A3-766A-9B1B-AE31-0CB324329796}"/>
            </a:ext>
            <a:ext uri="{147F2762-F138-4A5C-976F-8EAC2B608ADB}">
              <a16:predDERef xmlns:a16="http://schemas.microsoft.com/office/drawing/2014/main" pred="{A6691014-86CA-8308-4251-4C67F235C9BC}"/>
            </a:ext>
          </a:extLst>
        </xdr:cNvPr>
        <xdr:cNvPicPr>
          <a:picLocks noChangeAspect="1"/>
        </xdr:cNvPicPr>
      </xdr:nvPicPr>
      <xdr:blipFill>
        <a:blip xmlns:r="http://schemas.openxmlformats.org/officeDocument/2006/relationships" r:embed="rId3"/>
        <a:stretch>
          <a:fillRect/>
        </a:stretch>
      </xdr:blipFill>
      <xdr:spPr>
        <a:xfrm>
          <a:off x="39614475" y="281616150"/>
          <a:ext cx="5781675" cy="962025"/>
        </a:xfrm>
        <a:prstGeom prst="rect">
          <a:avLst/>
        </a:prstGeom>
      </xdr:spPr>
    </xdr:pic>
    <xdr:clientData/>
  </xdr:twoCellAnchor>
  <xdr:twoCellAnchor editAs="oneCell">
    <xdr:from>
      <xdr:col>17</xdr:col>
      <xdr:colOff>323850</xdr:colOff>
      <xdr:row>348</xdr:row>
      <xdr:rowOff>1714500</xdr:rowOff>
    </xdr:from>
    <xdr:to>
      <xdr:col>17</xdr:col>
      <xdr:colOff>6286500</xdr:colOff>
      <xdr:row>348</xdr:row>
      <xdr:rowOff>2438400</xdr:rowOff>
    </xdr:to>
    <xdr:pic>
      <xdr:nvPicPr>
        <xdr:cNvPr id="5" name="Imagen 4">
          <a:extLst>
            <a:ext uri="{FF2B5EF4-FFF2-40B4-BE49-F238E27FC236}">
              <a16:creationId xmlns:a16="http://schemas.microsoft.com/office/drawing/2014/main" id="{C733717B-95DB-63E7-AD12-B440824FC775}"/>
            </a:ext>
            <a:ext uri="{147F2762-F138-4A5C-976F-8EAC2B608ADB}">
              <a16:predDERef xmlns:a16="http://schemas.microsoft.com/office/drawing/2014/main" pred="{0144B0A3-766A-9B1B-AE31-0CB324329796}"/>
            </a:ext>
          </a:extLst>
        </xdr:cNvPr>
        <xdr:cNvPicPr>
          <a:picLocks noChangeAspect="1"/>
        </xdr:cNvPicPr>
      </xdr:nvPicPr>
      <xdr:blipFill>
        <a:blip xmlns:r="http://schemas.openxmlformats.org/officeDocument/2006/relationships" r:embed="rId4"/>
        <a:stretch>
          <a:fillRect/>
        </a:stretch>
      </xdr:blipFill>
      <xdr:spPr>
        <a:xfrm>
          <a:off x="39547800" y="282844875"/>
          <a:ext cx="5962650" cy="723900"/>
        </a:xfrm>
        <a:prstGeom prst="rect">
          <a:avLst/>
        </a:prstGeom>
      </xdr:spPr>
    </xdr:pic>
    <xdr:clientData/>
  </xdr:twoCellAnchor>
  <xdr:twoCellAnchor editAs="oneCell">
    <xdr:from>
      <xdr:col>17</xdr:col>
      <xdr:colOff>361950</xdr:colOff>
      <xdr:row>349</xdr:row>
      <xdr:rowOff>704850</xdr:rowOff>
    </xdr:from>
    <xdr:to>
      <xdr:col>17</xdr:col>
      <xdr:colOff>6143625</xdr:colOff>
      <xdr:row>349</xdr:row>
      <xdr:rowOff>1666875</xdr:rowOff>
    </xdr:to>
    <xdr:pic>
      <xdr:nvPicPr>
        <xdr:cNvPr id="6" name="Imagen 3">
          <a:extLst>
            <a:ext uri="{FF2B5EF4-FFF2-40B4-BE49-F238E27FC236}">
              <a16:creationId xmlns:a16="http://schemas.microsoft.com/office/drawing/2014/main" id="{70D68777-FC8D-45F0-A783-1194C5071DB0}"/>
            </a:ext>
            <a:ext uri="{147F2762-F138-4A5C-976F-8EAC2B608ADB}">
              <a16:predDERef xmlns:a16="http://schemas.microsoft.com/office/drawing/2014/main" pred="{C733717B-95DB-63E7-AD12-B440824FC775}"/>
            </a:ext>
          </a:extLst>
        </xdr:cNvPr>
        <xdr:cNvPicPr>
          <a:picLocks noChangeAspect="1"/>
        </xdr:cNvPicPr>
      </xdr:nvPicPr>
      <xdr:blipFill>
        <a:blip xmlns:r="http://schemas.openxmlformats.org/officeDocument/2006/relationships" r:embed="rId3"/>
        <a:stretch>
          <a:fillRect/>
        </a:stretch>
      </xdr:blipFill>
      <xdr:spPr>
        <a:xfrm>
          <a:off x="39585900" y="287693100"/>
          <a:ext cx="5781675" cy="962025"/>
        </a:xfrm>
        <a:prstGeom prst="rect">
          <a:avLst/>
        </a:prstGeom>
      </xdr:spPr>
    </xdr:pic>
    <xdr:clientData/>
  </xdr:twoCellAnchor>
  <xdr:twoCellAnchor editAs="oneCell">
    <xdr:from>
      <xdr:col>17</xdr:col>
      <xdr:colOff>495300</xdr:colOff>
      <xdr:row>349</xdr:row>
      <xdr:rowOff>1714500</xdr:rowOff>
    </xdr:from>
    <xdr:to>
      <xdr:col>17</xdr:col>
      <xdr:colOff>6457950</xdr:colOff>
      <xdr:row>349</xdr:row>
      <xdr:rowOff>2438400</xdr:rowOff>
    </xdr:to>
    <xdr:pic>
      <xdr:nvPicPr>
        <xdr:cNvPr id="7" name="Imagen 4">
          <a:extLst>
            <a:ext uri="{FF2B5EF4-FFF2-40B4-BE49-F238E27FC236}">
              <a16:creationId xmlns:a16="http://schemas.microsoft.com/office/drawing/2014/main" id="{F14D668C-D51B-40F2-9B19-0F4B3C72EB15}"/>
            </a:ext>
            <a:ext uri="{147F2762-F138-4A5C-976F-8EAC2B608ADB}">
              <a16:predDERef xmlns:a16="http://schemas.microsoft.com/office/drawing/2014/main" pred="{70D68777-FC8D-45F0-A783-1194C5071DB0}"/>
            </a:ext>
          </a:extLst>
        </xdr:cNvPr>
        <xdr:cNvPicPr>
          <a:picLocks noChangeAspect="1"/>
        </xdr:cNvPicPr>
      </xdr:nvPicPr>
      <xdr:blipFill>
        <a:blip xmlns:r="http://schemas.openxmlformats.org/officeDocument/2006/relationships" r:embed="rId4"/>
        <a:stretch>
          <a:fillRect/>
        </a:stretch>
      </xdr:blipFill>
      <xdr:spPr>
        <a:xfrm>
          <a:off x="39719250" y="281759025"/>
          <a:ext cx="5962650" cy="7239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123825</xdr:colOff>
      <xdr:row>510</xdr:row>
      <xdr:rowOff>133350</xdr:rowOff>
    </xdr:from>
    <xdr:to>
      <xdr:col>12</xdr:col>
      <xdr:colOff>438150</xdr:colOff>
      <xdr:row>532</xdr:row>
      <xdr:rowOff>0</xdr:rowOff>
    </xdr:to>
    <xdr:pic>
      <xdr:nvPicPr>
        <xdr:cNvPr id="9" name="Imagen 1">
          <a:extLst>
            <a:ext uri="{FF2B5EF4-FFF2-40B4-BE49-F238E27FC236}">
              <a16:creationId xmlns:a16="http://schemas.microsoft.com/office/drawing/2014/main" id="{FF465C25-2C9E-DF9C-6F97-CB86862A1C63}"/>
            </a:ext>
          </a:extLst>
        </xdr:cNvPr>
        <xdr:cNvPicPr>
          <a:picLocks noChangeAspect="1"/>
        </xdr:cNvPicPr>
      </xdr:nvPicPr>
      <xdr:blipFill>
        <a:blip xmlns:r="http://schemas.openxmlformats.org/officeDocument/2006/relationships" r:embed="rId1"/>
        <a:stretch>
          <a:fillRect/>
        </a:stretch>
      </xdr:blipFill>
      <xdr:spPr>
        <a:xfrm>
          <a:off x="542925" y="98240850"/>
          <a:ext cx="6810375" cy="4057650"/>
        </a:xfrm>
        <a:prstGeom prst="rect">
          <a:avLst/>
        </a:prstGeom>
      </xdr:spPr>
    </xdr:pic>
    <xdr:clientData/>
  </xdr:twoCellAnchor>
  <xdr:twoCellAnchor editAs="oneCell">
    <xdr:from>
      <xdr:col>1</xdr:col>
      <xdr:colOff>133350</xdr:colOff>
      <xdr:row>533</xdr:row>
      <xdr:rowOff>0</xdr:rowOff>
    </xdr:from>
    <xdr:to>
      <xdr:col>12</xdr:col>
      <xdr:colOff>533400</xdr:colOff>
      <xdr:row>555</xdr:row>
      <xdr:rowOff>114300</xdr:rowOff>
    </xdr:to>
    <xdr:pic>
      <xdr:nvPicPr>
        <xdr:cNvPr id="5" name="Imagen 1">
          <a:extLst>
            <a:ext uri="{FF2B5EF4-FFF2-40B4-BE49-F238E27FC236}">
              <a16:creationId xmlns:a16="http://schemas.microsoft.com/office/drawing/2014/main" id="{D9E4C9EC-12FA-E336-C8DA-F0B55AEBD9DC}"/>
            </a:ext>
            <a:ext uri="{147F2762-F138-4A5C-976F-8EAC2B608ADB}">
              <a16:predDERef xmlns:a16="http://schemas.microsoft.com/office/drawing/2014/main" pred="{FF465C25-2C9E-DF9C-6F97-CB86862A1C63}"/>
            </a:ext>
          </a:extLst>
        </xdr:cNvPr>
        <xdr:cNvPicPr>
          <a:picLocks noChangeAspect="1"/>
        </xdr:cNvPicPr>
      </xdr:nvPicPr>
      <xdr:blipFill>
        <a:blip xmlns:r="http://schemas.openxmlformats.org/officeDocument/2006/relationships" r:embed="rId2"/>
        <a:stretch>
          <a:fillRect/>
        </a:stretch>
      </xdr:blipFill>
      <xdr:spPr>
        <a:xfrm>
          <a:off x="552450" y="102908100"/>
          <a:ext cx="6896100" cy="4305300"/>
        </a:xfrm>
        <a:prstGeom prst="rect">
          <a:avLst/>
        </a:prstGeom>
      </xdr:spPr>
    </xdr:pic>
    <xdr:clientData/>
  </xdr:twoCellAnchor>
  <xdr:twoCellAnchor editAs="oneCell">
    <xdr:from>
      <xdr:col>1</xdr:col>
      <xdr:colOff>114300</xdr:colOff>
      <xdr:row>464</xdr:row>
      <xdr:rowOff>0</xdr:rowOff>
    </xdr:from>
    <xdr:to>
      <xdr:col>12</xdr:col>
      <xdr:colOff>495300</xdr:colOff>
      <xdr:row>486</xdr:row>
      <xdr:rowOff>28575</xdr:rowOff>
    </xdr:to>
    <xdr:pic>
      <xdr:nvPicPr>
        <xdr:cNvPr id="6" name="Imagen 1">
          <a:extLst>
            <a:ext uri="{FF2B5EF4-FFF2-40B4-BE49-F238E27FC236}">
              <a16:creationId xmlns:a16="http://schemas.microsoft.com/office/drawing/2014/main" id="{4FB49C1B-952E-A498-F2A0-2381F3400CA9}"/>
            </a:ext>
            <a:ext uri="{147F2762-F138-4A5C-976F-8EAC2B608ADB}">
              <a16:predDERef xmlns:a16="http://schemas.microsoft.com/office/drawing/2014/main" pred="{D9E4C9EC-12FA-E336-C8DA-F0B55AEBD9DC}"/>
            </a:ext>
          </a:extLst>
        </xdr:cNvPr>
        <xdr:cNvPicPr>
          <a:picLocks noChangeAspect="1"/>
        </xdr:cNvPicPr>
      </xdr:nvPicPr>
      <xdr:blipFill>
        <a:blip xmlns:r="http://schemas.openxmlformats.org/officeDocument/2006/relationships" r:embed="rId3"/>
        <a:stretch>
          <a:fillRect/>
        </a:stretch>
      </xdr:blipFill>
      <xdr:spPr>
        <a:xfrm>
          <a:off x="533400" y="89763600"/>
          <a:ext cx="6877050" cy="4219575"/>
        </a:xfrm>
        <a:prstGeom prst="rect">
          <a:avLst/>
        </a:prstGeom>
      </xdr:spPr>
    </xdr:pic>
    <xdr:clientData/>
  </xdr:twoCellAnchor>
  <xdr:twoCellAnchor editAs="oneCell">
    <xdr:from>
      <xdr:col>1</xdr:col>
      <xdr:colOff>95250</xdr:colOff>
      <xdr:row>487</xdr:row>
      <xdr:rowOff>0</xdr:rowOff>
    </xdr:from>
    <xdr:to>
      <xdr:col>12</xdr:col>
      <xdr:colOff>476250</xdr:colOff>
      <xdr:row>509</xdr:row>
      <xdr:rowOff>19050</xdr:rowOff>
    </xdr:to>
    <xdr:pic>
      <xdr:nvPicPr>
        <xdr:cNvPr id="11" name="Imagen 2">
          <a:extLst>
            <a:ext uri="{FF2B5EF4-FFF2-40B4-BE49-F238E27FC236}">
              <a16:creationId xmlns:a16="http://schemas.microsoft.com/office/drawing/2014/main" id="{5A0A0128-3912-856A-9131-49F822487899}"/>
            </a:ext>
            <a:ext uri="{147F2762-F138-4A5C-976F-8EAC2B608ADB}">
              <a16:predDERef xmlns:a16="http://schemas.microsoft.com/office/drawing/2014/main" pred="{4FB49C1B-952E-A498-F2A0-2381F3400CA9}"/>
            </a:ext>
          </a:extLst>
        </xdr:cNvPr>
        <xdr:cNvPicPr>
          <a:picLocks noChangeAspect="1"/>
        </xdr:cNvPicPr>
      </xdr:nvPicPr>
      <xdr:blipFill>
        <a:blip xmlns:r="http://schemas.openxmlformats.org/officeDocument/2006/relationships" r:embed="rId4"/>
        <a:stretch>
          <a:fillRect/>
        </a:stretch>
      </xdr:blipFill>
      <xdr:spPr>
        <a:xfrm>
          <a:off x="514350" y="94145100"/>
          <a:ext cx="6877050" cy="4210050"/>
        </a:xfrm>
        <a:prstGeom prst="rect">
          <a:avLst/>
        </a:prstGeom>
      </xdr:spPr>
    </xdr:pic>
    <xdr:clientData/>
  </xdr:twoCellAnchor>
  <xdr:twoCellAnchor editAs="oneCell">
    <xdr:from>
      <xdr:col>1</xdr:col>
      <xdr:colOff>76200</xdr:colOff>
      <xdr:row>579</xdr:row>
      <xdr:rowOff>19050</xdr:rowOff>
    </xdr:from>
    <xdr:to>
      <xdr:col>12</xdr:col>
      <xdr:colOff>457200</xdr:colOff>
      <xdr:row>601</xdr:row>
      <xdr:rowOff>47625</xdr:rowOff>
    </xdr:to>
    <xdr:pic>
      <xdr:nvPicPr>
        <xdr:cNvPr id="15" name="Imagen 1">
          <a:extLst>
            <a:ext uri="{FF2B5EF4-FFF2-40B4-BE49-F238E27FC236}">
              <a16:creationId xmlns:a16="http://schemas.microsoft.com/office/drawing/2014/main" id="{889CC41B-BA7B-F9E2-CE52-3070461B722E}"/>
            </a:ext>
            <a:ext uri="{147F2762-F138-4A5C-976F-8EAC2B608ADB}">
              <a16:predDERef xmlns:a16="http://schemas.microsoft.com/office/drawing/2014/main" pred="{5A0A0128-3912-856A-9131-49F822487899}"/>
            </a:ext>
          </a:extLst>
        </xdr:cNvPr>
        <xdr:cNvPicPr>
          <a:picLocks noChangeAspect="1"/>
        </xdr:cNvPicPr>
      </xdr:nvPicPr>
      <xdr:blipFill>
        <a:blip xmlns:r="http://schemas.openxmlformats.org/officeDocument/2006/relationships" r:embed="rId5"/>
        <a:stretch>
          <a:fillRect/>
        </a:stretch>
      </xdr:blipFill>
      <xdr:spPr>
        <a:xfrm>
          <a:off x="495300" y="111690150"/>
          <a:ext cx="6877050" cy="4219575"/>
        </a:xfrm>
        <a:prstGeom prst="rect">
          <a:avLst/>
        </a:prstGeom>
      </xdr:spPr>
    </xdr:pic>
    <xdr:clientData/>
  </xdr:twoCellAnchor>
  <xdr:twoCellAnchor editAs="oneCell">
    <xdr:from>
      <xdr:col>1</xdr:col>
      <xdr:colOff>0</xdr:colOff>
      <xdr:row>556</xdr:row>
      <xdr:rowOff>0</xdr:rowOff>
    </xdr:from>
    <xdr:to>
      <xdr:col>12</xdr:col>
      <xdr:colOff>457200</xdr:colOff>
      <xdr:row>578</xdr:row>
      <xdr:rowOff>47625</xdr:rowOff>
    </xdr:to>
    <xdr:pic>
      <xdr:nvPicPr>
        <xdr:cNvPr id="4" name="Imagen 1">
          <a:extLst>
            <a:ext uri="{FF2B5EF4-FFF2-40B4-BE49-F238E27FC236}">
              <a16:creationId xmlns:a16="http://schemas.microsoft.com/office/drawing/2014/main" id="{22CC4463-3BBE-D588-FD23-A53E27F1A98C}"/>
            </a:ext>
            <a:ext uri="{147F2762-F138-4A5C-976F-8EAC2B608ADB}">
              <a16:predDERef xmlns:a16="http://schemas.microsoft.com/office/drawing/2014/main" pred="{69AB0D20-7444-ED40-39C7-A26630EDF51C}"/>
            </a:ext>
          </a:extLst>
        </xdr:cNvPr>
        <xdr:cNvPicPr>
          <a:picLocks noChangeAspect="1"/>
        </xdr:cNvPicPr>
      </xdr:nvPicPr>
      <xdr:blipFill>
        <a:blip xmlns:r="http://schemas.openxmlformats.org/officeDocument/2006/relationships" r:embed="rId6"/>
        <a:stretch>
          <a:fillRect/>
        </a:stretch>
      </xdr:blipFill>
      <xdr:spPr>
        <a:xfrm>
          <a:off x="419100" y="107289600"/>
          <a:ext cx="6953250" cy="4238625"/>
        </a:xfrm>
        <a:prstGeom prst="rect">
          <a:avLst/>
        </a:prstGeom>
      </xdr:spPr>
    </xdr:pic>
    <xdr:clientData/>
  </xdr:twoCellAnchor>
  <xdr:twoCellAnchor editAs="oneCell">
    <xdr:from>
      <xdr:col>1</xdr:col>
      <xdr:colOff>0</xdr:colOff>
      <xdr:row>671</xdr:row>
      <xdr:rowOff>0</xdr:rowOff>
    </xdr:from>
    <xdr:to>
      <xdr:col>12</xdr:col>
      <xdr:colOff>438150</xdr:colOff>
      <xdr:row>693</xdr:row>
      <xdr:rowOff>9525</xdr:rowOff>
    </xdr:to>
    <xdr:pic>
      <xdr:nvPicPr>
        <xdr:cNvPr id="3" name="Imagen 2">
          <a:extLst>
            <a:ext uri="{FF2B5EF4-FFF2-40B4-BE49-F238E27FC236}">
              <a16:creationId xmlns:a16="http://schemas.microsoft.com/office/drawing/2014/main" id="{28493AE0-6DB0-700F-CFAD-C1727C7AB395}"/>
            </a:ext>
            <a:ext uri="{147F2762-F138-4A5C-976F-8EAC2B608ADB}">
              <a16:predDERef xmlns:a16="http://schemas.microsoft.com/office/drawing/2014/main" pred="{05C3D521-D5D0-DAA9-4191-00288738F571}"/>
            </a:ext>
          </a:extLst>
        </xdr:cNvPr>
        <xdr:cNvPicPr>
          <a:picLocks noChangeAspect="1"/>
        </xdr:cNvPicPr>
      </xdr:nvPicPr>
      <xdr:blipFill>
        <a:blip xmlns:r="http://schemas.openxmlformats.org/officeDocument/2006/relationships" r:embed="rId7"/>
        <a:stretch>
          <a:fillRect/>
        </a:stretch>
      </xdr:blipFill>
      <xdr:spPr>
        <a:xfrm>
          <a:off x="419100" y="129197100"/>
          <a:ext cx="6934200" cy="4200525"/>
        </a:xfrm>
        <a:prstGeom prst="rect">
          <a:avLst/>
        </a:prstGeom>
      </xdr:spPr>
    </xdr:pic>
    <xdr:clientData/>
  </xdr:twoCellAnchor>
  <xdr:twoCellAnchor editAs="oneCell">
    <xdr:from>
      <xdr:col>1</xdr:col>
      <xdr:colOff>47625</xdr:colOff>
      <xdr:row>280</xdr:row>
      <xdr:rowOff>47625</xdr:rowOff>
    </xdr:from>
    <xdr:to>
      <xdr:col>12</xdr:col>
      <xdr:colOff>485775</xdr:colOff>
      <xdr:row>298</xdr:row>
      <xdr:rowOff>123825</xdr:rowOff>
    </xdr:to>
    <xdr:pic>
      <xdr:nvPicPr>
        <xdr:cNvPr id="7" name="Imagen 6">
          <a:extLst>
            <a:ext uri="{FF2B5EF4-FFF2-40B4-BE49-F238E27FC236}">
              <a16:creationId xmlns:a16="http://schemas.microsoft.com/office/drawing/2014/main" id="{F3C796F7-3C73-803B-022A-28EEEBE21677}"/>
            </a:ext>
            <a:ext uri="{147F2762-F138-4A5C-976F-8EAC2B608ADB}">
              <a16:predDERef xmlns:a16="http://schemas.microsoft.com/office/drawing/2014/main" pred="{28493AE0-6DB0-700F-CFAD-C1727C7AB395}"/>
            </a:ext>
          </a:extLst>
        </xdr:cNvPr>
        <xdr:cNvPicPr>
          <a:picLocks noChangeAspect="1"/>
        </xdr:cNvPicPr>
      </xdr:nvPicPr>
      <xdr:blipFill>
        <a:blip xmlns:r="http://schemas.openxmlformats.org/officeDocument/2006/relationships" r:embed="rId8"/>
        <a:stretch>
          <a:fillRect/>
        </a:stretch>
      </xdr:blipFill>
      <xdr:spPr>
        <a:xfrm>
          <a:off x="466725" y="54759225"/>
          <a:ext cx="6934200" cy="3505200"/>
        </a:xfrm>
        <a:prstGeom prst="rect">
          <a:avLst/>
        </a:prstGeom>
      </xdr:spPr>
    </xdr:pic>
    <xdr:clientData/>
  </xdr:twoCellAnchor>
  <xdr:twoCellAnchor editAs="oneCell">
    <xdr:from>
      <xdr:col>1</xdr:col>
      <xdr:colOff>66675</xdr:colOff>
      <xdr:row>257</xdr:row>
      <xdr:rowOff>28575</xdr:rowOff>
    </xdr:from>
    <xdr:to>
      <xdr:col>12</xdr:col>
      <xdr:colOff>476250</xdr:colOff>
      <xdr:row>275</xdr:row>
      <xdr:rowOff>19050</xdr:rowOff>
    </xdr:to>
    <xdr:pic>
      <xdr:nvPicPr>
        <xdr:cNvPr id="8" name="Imagen 7">
          <a:extLst>
            <a:ext uri="{FF2B5EF4-FFF2-40B4-BE49-F238E27FC236}">
              <a16:creationId xmlns:a16="http://schemas.microsoft.com/office/drawing/2014/main" id="{76FD33C3-B88F-E099-5087-9261175E2F31}"/>
            </a:ext>
            <a:ext uri="{147F2762-F138-4A5C-976F-8EAC2B608ADB}">
              <a16:predDERef xmlns:a16="http://schemas.microsoft.com/office/drawing/2014/main" pred="{F3C796F7-3C73-803B-022A-28EEEBE21677}"/>
            </a:ext>
          </a:extLst>
        </xdr:cNvPr>
        <xdr:cNvPicPr>
          <a:picLocks noChangeAspect="1"/>
        </xdr:cNvPicPr>
      </xdr:nvPicPr>
      <xdr:blipFill>
        <a:blip xmlns:r="http://schemas.openxmlformats.org/officeDocument/2006/relationships" r:embed="rId9"/>
        <a:stretch>
          <a:fillRect/>
        </a:stretch>
      </xdr:blipFill>
      <xdr:spPr>
        <a:xfrm>
          <a:off x="485775" y="50358675"/>
          <a:ext cx="6905625" cy="3419475"/>
        </a:xfrm>
        <a:prstGeom prst="rect">
          <a:avLst/>
        </a:prstGeom>
      </xdr:spPr>
    </xdr:pic>
    <xdr:clientData/>
  </xdr:twoCellAnchor>
  <xdr:twoCellAnchor editAs="oneCell">
    <xdr:from>
      <xdr:col>1</xdr:col>
      <xdr:colOff>38100</xdr:colOff>
      <xdr:row>303</xdr:row>
      <xdr:rowOff>19050</xdr:rowOff>
    </xdr:from>
    <xdr:to>
      <xdr:col>12</xdr:col>
      <xdr:colOff>542925</xdr:colOff>
      <xdr:row>321</xdr:row>
      <xdr:rowOff>47625</xdr:rowOff>
    </xdr:to>
    <xdr:pic>
      <xdr:nvPicPr>
        <xdr:cNvPr id="10" name="Imagen 9">
          <a:extLst>
            <a:ext uri="{FF2B5EF4-FFF2-40B4-BE49-F238E27FC236}">
              <a16:creationId xmlns:a16="http://schemas.microsoft.com/office/drawing/2014/main" id="{5C899F6D-76D8-7951-D096-D818B0933EB3}"/>
            </a:ext>
            <a:ext uri="{147F2762-F138-4A5C-976F-8EAC2B608ADB}">
              <a16:predDERef xmlns:a16="http://schemas.microsoft.com/office/drawing/2014/main" pred="{76FD33C3-B88F-E099-5087-9261175E2F31}"/>
            </a:ext>
          </a:extLst>
        </xdr:cNvPr>
        <xdr:cNvPicPr>
          <a:picLocks noChangeAspect="1"/>
        </xdr:cNvPicPr>
      </xdr:nvPicPr>
      <xdr:blipFill>
        <a:blip xmlns:r="http://schemas.openxmlformats.org/officeDocument/2006/relationships" r:embed="rId10"/>
        <a:stretch>
          <a:fillRect/>
        </a:stretch>
      </xdr:blipFill>
      <xdr:spPr>
        <a:xfrm>
          <a:off x="457200" y="59112150"/>
          <a:ext cx="7000875" cy="3457575"/>
        </a:xfrm>
        <a:prstGeom prst="rect">
          <a:avLst/>
        </a:prstGeom>
      </xdr:spPr>
    </xdr:pic>
    <xdr:clientData/>
  </xdr:twoCellAnchor>
  <xdr:twoCellAnchor editAs="oneCell">
    <xdr:from>
      <xdr:col>1</xdr:col>
      <xdr:colOff>66675</xdr:colOff>
      <xdr:row>326</xdr:row>
      <xdr:rowOff>38100</xdr:rowOff>
    </xdr:from>
    <xdr:to>
      <xdr:col>12</xdr:col>
      <xdr:colOff>552450</xdr:colOff>
      <xdr:row>344</xdr:row>
      <xdr:rowOff>85725</xdr:rowOff>
    </xdr:to>
    <xdr:pic>
      <xdr:nvPicPr>
        <xdr:cNvPr id="12" name="Imagen 11">
          <a:extLst>
            <a:ext uri="{FF2B5EF4-FFF2-40B4-BE49-F238E27FC236}">
              <a16:creationId xmlns:a16="http://schemas.microsoft.com/office/drawing/2014/main" id="{EBAC3D46-0FA5-2EEC-7605-3840EC03DBEC}"/>
            </a:ext>
            <a:ext uri="{147F2762-F138-4A5C-976F-8EAC2B608ADB}">
              <a16:predDERef xmlns:a16="http://schemas.microsoft.com/office/drawing/2014/main" pred="{5C899F6D-76D8-7951-D096-D818B0933EB3}"/>
            </a:ext>
          </a:extLst>
        </xdr:cNvPr>
        <xdr:cNvPicPr>
          <a:picLocks noChangeAspect="1"/>
        </xdr:cNvPicPr>
      </xdr:nvPicPr>
      <xdr:blipFill>
        <a:blip xmlns:r="http://schemas.openxmlformats.org/officeDocument/2006/relationships" r:embed="rId11"/>
        <a:stretch>
          <a:fillRect/>
        </a:stretch>
      </xdr:blipFill>
      <xdr:spPr>
        <a:xfrm>
          <a:off x="485775" y="63512700"/>
          <a:ext cx="6981825" cy="3476625"/>
        </a:xfrm>
        <a:prstGeom prst="rect">
          <a:avLst/>
        </a:prstGeom>
      </xdr:spPr>
    </xdr:pic>
    <xdr:clientData/>
  </xdr:twoCellAnchor>
  <xdr:twoCellAnchor editAs="oneCell">
    <xdr:from>
      <xdr:col>1</xdr:col>
      <xdr:colOff>66675</xdr:colOff>
      <xdr:row>349</xdr:row>
      <xdr:rowOff>38100</xdr:rowOff>
    </xdr:from>
    <xdr:to>
      <xdr:col>12</xdr:col>
      <xdr:colOff>523875</xdr:colOff>
      <xdr:row>367</xdr:row>
      <xdr:rowOff>85725</xdr:rowOff>
    </xdr:to>
    <xdr:pic>
      <xdr:nvPicPr>
        <xdr:cNvPr id="13" name="Imagen 12">
          <a:extLst>
            <a:ext uri="{FF2B5EF4-FFF2-40B4-BE49-F238E27FC236}">
              <a16:creationId xmlns:a16="http://schemas.microsoft.com/office/drawing/2014/main" id="{1DD63299-4199-C9B8-1EBC-7A1E33C2CDD4}"/>
            </a:ext>
            <a:ext uri="{147F2762-F138-4A5C-976F-8EAC2B608ADB}">
              <a16:predDERef xmlns:a16="http://schemas.microsoft.com/office/drawing/2014/main" pred="{EBAC3D46-0FA5-2EEC-7605-3840EC03DBEC}"/>
            </a:ext>
          </a:extLst>
        </xdr:cNvPr>
        <xdr:cNvPicPr>
          <a:picLocks noChangeAspect="1"/>
        </xdr:cNvPicPr>
      </xdr:nvPicPr>
      <xdr:blipFill>
        <a:blip xmlns:r="http://schemas.openxmlformats.org/officeDocument/2006/relationships" r:embed="rId12"/>
        <a:stretch>
          <a:fillRect/>
        </a:stretch>
      </xdr:blipFill>
      <xdr:spPr>
        <a:xfrm>
          <a:off x="485775" y="67894200"/>
          <a:ext cx="6953250" cy="3476625"/>
        </a:xfrm>
        <a:prstGeom prst="rect">
          <a:avLst/>
        </a:prstGeom>
      </xdr:spPr>
    </xdr:pic>
    <xdr:clientData/>
  </xdr:twoCellAnchor>
  <xdr:twoCellAnchor editAs="oneCell">
    <xdr:from>
      <xdr:col>1</xdr:col>
      <xdr:colOff>47625</xdr:colOff>
      <xdr:row>372</xdr:row>
      <xdr:rowOff>38100</xdr:rowOff>
    </xdr:from>
    <xdr:to>
      <xdr:col>12</xdr:col>
      <xdr:colOff>514350</xdr:colOff>
      <xdr:row>390</xdr:row>
      <xdr:rowOff>152400</xdr:rowOff>
    </xdr:to>
    <xdr:pic>
      <xdr:nvPicPr>
        <xdr:cNvPr id="14" name="Imagen 13">
          <a:extLst>
            <a:ext uri="{FF2B5EF4-FFF2-40B4-BE49-F238E27FC236}">
              <a16:creationId xmlns:a16="http://schemas.microsoft.com/office/drawing/2014/main" id="{EF455D16-116B-65A2-684B-9AB485B6A5E9}"/>
            </a:ext>
            <a:ext uri="{147F2762-F138-4A5C-976F-8EAC2B608ADB}">
              <a16:predDERef xmlns:a16="http://schemas.microsoft.com/office/drawing/2014/main" pred="{1DD63299-4199-C9B8-1EBC-7A1E33C2CDD4}"/>
            </a:ext>
          </a:extLst>
        </xdr:cNvPr>
        <xdr:cNvPicPr>
          <a:picLocks noChangeAspect="1"/>
        </xdr:cNvPicPr>
      </xdr:nvPicPr>
      <xdr:blipFill>
        <a:blip xmlns:r="http://schemas.openxmlformats.org/officeDocument/2006/relationships" r:embed="rId13"/>
        <a:stretch>
          <a:fillRect/>
        </a:stretch>
      </xdr:blipFill>
      <xdr:spPr>
        <a:xfrm>
          <a:off x="466725" y="72275700"/>
          <a:ext cx="6962775" cy="3543300"/>
        </a:xfrm>
        <a:prstGeom prst="rect">
          <a:avLst/>
        </a:prstGeom>
      </xdr:spPr>
    </xdr:pic>
    <xdr:clientData/>
  </xdr:twoCellAnchor>
  <xdr:twoCellAnchor editAs="oneCell">
    <xdr:from>
      <xdr:col>1</xdr:col>
      <xdr:colOff>66675</xdr:colOff>
      <xdr:row>395</xdr:row>
      <xdr:rowOff>28575</xdr:rowOff>
    </xdr:from>
    <xdr:to>
      <xdr:col>12</xdr:col>
      <xdr:colOff>523875</xdr:colOff>
      <xdr:row>412</xdr:row>
      <xdr:rowOff>9525</xdr:rowOff>
    </xdr:to>
    <xdr:pic>
      <xdr:nvPicPr>
        <xdr:cNvPr id="17" name="Imagen 16">
          <a:extLst>
            <a:ext uri="{FF2B5EF4-FFF2-40B4-BE49-F238E27FC236}">
              <a16:creationId xmlns:a16="http://schemas.microsoft.com/office/drawing/2014/main" id="{CEDBF2AD-2559-5501-1D61-89560372E93D}"/>
            </a:ext>
            <a:ext uri="{147F2762-F138-4A5C-976F-8EAC2B608ADB}">
              <a16:predDERef xmlns:a16="http://schemas.microsoft.com/office/drawing/2014/main" pred="{EF455D16-116B-65A2-684B-9AB485B6A5E9}"/>
            </a:ext>
          </a:extLst>
        </xdr:cNvPr>
        <xdr:cNvPicPr>
          <a:picLocks noChangeAspect="1"/>
        </xdr:cNvPicPr>
      </xdr:nvPicPr>
      <xdr:blipFill>
        <a:blip xmlns:r="http://schemas.openxmlformats.org/officeDocument/2006/relationships" r:embed="rId14"/>
        <a:stretch>
          <a:fillRect/>
        </a:stretch>
      </xdr:blipFill>
      <xdr:spPr>
        <a:xfrm>
          <a:off x="485775" y="76647675"/>
          <a:ext cx="6953250" cy="3219450"/>
        </a:xfrm>
        <a:prstGeom prst="rect">
          <a:avLst/>
        </a:prstGeom>
      </xdr:spPr>
    </xdr:pic>
    <xdr:clientData/>
  </xdr:twoCellAnchor>
  <xdr:twoCellAnchor editAs="oneCell">
    <xdr:from>
      <xdr:col>1</xdr:col>
      <xdr:colOff>38100</xdr:colOff>
      <xdr:row>441</xdr:row>
      <xdr:rowOff>47625</xdr:rowOff>
    </xdr:from>
    <xdr:to>
      <xdr:col>12</xdr:col>
      <xdr:colOff>533400</xdr:colOff>
      <xdr:row>459</xdr:row>
      <xdr:rowOff>28575</xdr:rowOff>
    </xdr:to>
    <xdr:pic>
      <xdr:nvPicPr>
        <xdr:cNvPr id="16" name="Imagen 15">
          <a:extLst>
            <a:ext uri="{FF2B5EF4-FFF2-40B4-BE49-F238E27FC236}">
              <a16:creationId xmlns:a16="http://schemas.microsoft.com/office/drawing/2014/main" id="{98500525-F6CC-B269-4994-5519EC60282E}"/>
            </a:ext>
            <a:ext uri="{147F2762-F138-4A5C-976F-8EAC2B608ADB}">
              <a16:predDERef xmlns:a16="http://schemas.microsoft.com/office/drawing/2014/main" pred="{CEDBF2AD-2559-5501-1D61-89560372E93D}"/>
            </a:ext>
          </a:extLst>
        </xdr:cNvPr>
        <xdr:cNvPicPr>
          <a:picLocks noChangeAspect="1"/>
        </xdr:cNvPicPr>
      </xdr:nvPicPr>
      <xdr:blipFill>
        <a:blip xmlns:r="http://schemas.openxmlformats.org/officeDocument/2006/relationships" r:embed="rId15"/>
        <a:stretch>
          <a:fillRect/>
        </a:stretch>
      </xdr:blipFill>
      <xdr:spPr>
        <a:xfrm>
          <a:off x="457200" y="85429725"/>
          <a:ext cx="6991350" cy="3409950"/>
        </a:xfrm>
        <a:prstGeom prst="rect">
          <a:avLst/>
        </a:prstGeom>
      </xdr:spPr>
    </xdr:pic>
    <xdr:clientData/>
  </xdr:twoCellAnchor>
  <xdr:twoCellAnchor editAs="oneCell">
    <xdr:from>
      <xdr:col>1</xdr:col>
      <xdr:colOff>28575</xdr:colOff>
      <xdr:row>418</xdr:row>
      <xdr:rowOff>19050</xdr:rowOff>
    </xdr:from>
    <xdr:to>
      <xdr:col>12</xdr:col>
      <xdr:colOff>533400</xdr:colOff>
      <xdr:row>436</xdr:row>
      <xdr:rowOff>19050</xdr:rowOff>
    </xdr:to>
    <xdr:pic>
      <xdr:nvPicPr>
        <xdr:cNvPr id="18" name="Imagen 17">
          <a:extLst>
            <a:ext uri="{FF2B5EF4-FFF2-40B4-BE49-F238E27FC236}">
              <a16:creationId xmlns:a16="http://schemas.microsoft.com/office/drawing/2014/main" id="{79DA6215-7366-74C6-9276-81DB93BE3E30}"/>
            </a:ext>
            <a:ext uri="{147F2762-F138-4A5C-976F-8EAC2B608ADB}">
              <a16:predDERef xmlns:a16="http://schemas.microsoft.com/office/drawing/2014/main" pred="{98500525-F6CC-B269-4994-5519EC60282E}"/>
            </a:ext>
          </a:extLst>
        </xdr:cNvPr>
        <xdr:cNvPicPr>
          <a:picLocks noChangeAspect="1"/>
        </xdr:cNvPicPr>
      </xdr:nvPicPr>
      <xdr:blipFill>
        <a:blip xmlns:r="http://schemas.openxmlformats.org/officeDocument/2006/relationships" r:embed="rId16"/>
        <a:stretch>
          <a:fillRect/>
        </a:stretch>
      </xdr:blipFill>
      <xdr:spPr>
        <a:xfrm>
          <a:off x="447675" y="81019650"/>
          <a:ext cx="7000875" cy="3429000"/>
        </a:xfrm>
        <a:prstGeom prst="rect">
          <a:avLst/>
        </a:prstGeom>
      </xdr:spPr>
    </xdr:pic>
    <xdr:clientData/>
  </xdr:twoCellAnchor>
  <xdr:twoCellAnchor editAs="oneCell">
    <xdr:from>
      <xdr:col>1</xdr:col>
      <xdr:colOff>0</xdr:colOff>
      <xdr:row>740</xdr:row>
      <xdr:rowOff>0</xdr:rowOff>
    </xdr:from>
    <xdr:to>
      <xdr:col>12</xdr:col>
      <xdr:colOff>400050</xdr:colOff>
      <xdr:row>761</xdr:row>
      <xdr:rowOff>123825</xdr:rowOff>
    </xdr:to>
    <xdr:pic>
      <xdr:nvPicPr>
        <xdr:cNvPr id="21" name="Imagen 20">
          <a:extLst>
            <a:ext uri="{FF2B5EF4-FFF2-40B4-BE49-F238E27FC236}">
              <a16:creationId xmlns:a16="http://schemas.microsoft.com/office/drawing/2014/main" id="{F2511E62-19E1-B610-4FA1-3CB6296B930F}"/>
            </a:ext>
            <a:ext uri="{147F2762-F138-4A5C-976F-8EAC2B608ADB}">
              <a16:predDERef xmlns:a16="http://schemas.microsoft.com/office/drawing/2014/main" pred="{09173DE8-8D4A-17C4-2128-839B307EA164}"/>
            </a:ext>
          </a:extLst>
        </xdr:cNvPr>
        <xdr:cNvPicPr>
          <a:picLocks noChangeAspect="1"/>
        </xdr:cNvPicPr>
      </xdr:nvPicPr>
      <xdr:blipFill>
        <a:blip xmlns:r="http://schemas.openxmlformats.org/officeDocument/2006/relationships" r:embed="rId17"/>
        <a:stretch>
          <a:fillRect/>
        </a:stretch>
      </xdr:blipFill>
      <xdr:spPr>
        <a:xfrm>
          <a:off x="419100" y="142341600"/>
          <a:ext cx="6896100" cy="4124325"/>
        </a:xfrm>
        <a:prstGeom prst="rect">
          <a:avLst/>
        </a:prstGeom>
      </xdr:spPr>
    </xdr:pic>
    <xdr:clientData/>
  </xdr:twoCellAnchor>
  <xdr:twoCellAnchor editAs="oneCell">
    <xdr:from>
      <xdr:col>1</xdr:col>
      <xdr:colOff>0</xdr:colOff>
      <xdr:row>763</xdr:row>
      <xdr:rowOff>0</xdr:rowOff>
    </xdr:from>
    <xdr:to>
      <xdr:col>12</xdr:col>
      <xdr:colOff>514350</xdr:colOff>
      <xdr:row>785</xdr:row>
      <xdr:rowOff>28575</xdr:rowOff>
    </xdr:to>
    <xdr:pic>
      <xdr:nvPicPr>
        <xdr:cNvPr id="22" name="Imagen 21">
          <a:extLst>
            <a:ext uri="{FF2B5EF4-FFF2-40B4-BE49-F238E27FC236}">
              <a16:creationId xmlns:a16="http://schemas.microsoft.com/office/drawing/2014/main" id="{7E1CA8A0-9E53-1291-884A-93B53E4C904F}"/>
            </a:ext>
            <a:ext uri="{147F2762-F138-4A5C-976F-8EAC2B608ADB}">
              <a16:predDERef xmlns:a16="http://schemas.microsoft.com/office/drawing/2014/main" pred="{F2511E62-19E1-B610-4FA1-3CB6296B930F}"/>
            </a:ext>
          </a:extLst>
        </xdr:cNvPr>
        <xdr:cNvPicPr>
          <a:picLocks noChangeAspect="1"/>
        </xdr:cNvPicPr>
      </xdr:nvPicPr>
      <xdr:blipFill>
        <a:blip xmlns:r="http://schemas.openxmlformats.org/officeDocument/2006/relationships" r:embed="rId18"/>
        <a:stretch>
          <a:fillRect/>
        </a:stretch>
      </xdr:blipFill>
      <xdr:spPr>
        <a:xfrm>
          <a:off x="419100" y="146723100"/>
          <a:ext cx="7010400" cy="4219575"/>
        </a:xfrm>
        <a:prstGeom prst="rect">
          <a:avLst/>
        </a:prstGeom>
      </xdr:spPr>
    </xdr:pic>
    <xdr:clientData/>
  </xdr:twoCellAnchor>
  <xdr:twoCellAnchor editAs="oneCell">
    <xdr:from>
      <xdr:col>1</xdr:col>
      <xdr:colOff>0</xdr:colOff>
      <xdr:row>786</xdr:row>
      <xdr:rowOff>0</xdr:rowOff>
    </xdr:from>
    <xdr:to>
      <xdr:col>12</xdr:col>
      <xdr:colOff>447675</xdr:colOff>
      <xdr:row>807</xdr:row>
      <xdr:rowOff>180975</xdr:rowOff>
    </xdr:to>
    <xdr:pic>
      <xdr:nvPicPr>
        <xdr:cNvPr id="23" name="Imagen 22">
          <a:extLst>
            <a:ext uri="{FF2B5EF4-FFF2-40B4-BE49-F238E27FC236}">
              <a16:creationId xmlns:a16="http://schemas.microsoft.com/office/drawing/2014/main" id="{C0028319-274A-488B-A6AF-2FF1D308D101}"/>
            </a:ext>
            <a:ext uri="{147F2762-F138-4A5C-976F-8EAC2B608ADB}">
              <a16:predDERef xmlns:a16="http://schemas.microsoft.com/office/drawing/2014/main" pred="{7E1CA8A0-9E53-1291-884A-93B53E4C904F}"/>
            </a:ext>
          </a:extLst>
        </xdr:cNvPr>
        <xdr:cNvPicPr>
          <a:picLocks noChangeAspect="1"/>
        </xdr:cNvPicPr>
      </xdr:nvPicPr>
      <xdr:blipFill>
        <a:blip xmlns:r="http://schemas.openxmlformats.org/officeDocument/2006/relationships" r:embed="rId19"/>
        <a:stretch>
          <a:fillRect/>
        </a:stretch>
      </xdr:blipFill>
      <xdr:spPr>
        <a:xfrm>
          <a:off x="419100" y="151104600"/>
          <a:ext cx="6943725" cy="4181475"/>
        </a:xfrm>
        <a:prstGeom prst="rect">
          <a:avLst/>
        </a:prstGeom>
      </xdr:spPr>
    </xdr:pic>
    <xdr:clientData/>
  </xdr:twoCellAnchor>
  <xdr:twoCellAnchor editAs="oneCell">
    <xdr:from>
      <xdr:col>1</xdr:col>
      <xdr:colOff>76200</xdr:colOff>
      <xdr:row>29</xdr:row>
      <xdr:rowOff>28575</xdr:rowOff>
    </xdr:from>
    <xdr:to>
      <xdr:col>12</xdr:col>
      <xdr:colOff>476250</xdr:colOff>
      <xdr:row>47</xdr:row>
      <xdr:rowOff>180975</xdr:rowOff>
    </xdr:to>
    <xdr:pic>
      <xdr:nvPicPr>
        <xdr:cNvPr id="32" name="Imagen 31">
          <a:extLst>
            <a:ext uri="{FF2B5EF4-FFF2-40B4-BE49-F238E27FC236}">
              <a16:creationId xmlns:a16="http://schemas.microsoft.com/office/drawing/2014/main" id="{01307DFE-CD72-A051-F2DD-07E18033A616}"/>
            </a:ext>
            <a:ext uri="{147F2762-F138-4A5C-976F-8EAC2B608ADB}">
              <a16:predDERef xmlns:a16="http://schemas.microsoft.com/office/drawing/2014/main" pred="{D07D3FD7-9EA1-8F34-AFCD-129482C59BAC}"/>
            </a:ext>
          </a:extLst>
        </xdr:cNvPr>
        <xdr:cNvPicPr>
          <a:picLocks noChangeAspect="1"/>
        </xdr:cNvPicPr>
      </xdr:nvPicPr>
      <xdr:blipFill>
        <a:blip xmlns:r="http://schemas.openxmlformats.org/officeDocument/2006/relationships" r:embed="rId20"/>
        <a:stretch>
          <a:fillRect/>
        </a:stretch>
      </xdr:blipFill>
      <xdr:spPr>
        <a:xfrm>
          <a:off x="495300" y="6915150"/>
          <a:ext cx="6896100" cy="3581400"/>
        </a:xfrm>
        <a:prstGeom prst="rect">
          <a:avLst/>
        </a:prstGeom>
      </xdr:spPr>
    </xdr:pic>
    <xdr:clientData/>
  </xdr:twoCellAnchor>
  <xdr:twoCellAnchor editAs="oneCell">
    <xdr:from>
      <xdr:col>1</xdr:col>
      <xdr:colOff>0</xdr:colOff>
      <xdr:row>51</xdr:row>
      <xdr:rowOff>104775</xdr:rowOff>
    </xdr:from>
    <xdr:to>
      <xdr:col>12</xdr:col>
      <xdr:colOff>447675</xdr:colOff>
      <xdr:row>71</xdr:row>
      <xdr:rowOff>57150</xdr:rowOff>
    </xdr:to>
    <xdr:pic>
      <xdr:nvPicPr>
        <xdr:cNvPr id="33" name="Imagen 32">
          <a:extLst>
            <a:ext uri="{FF2B5EF4-FFF2-40B4-BE49-F238E27FC236}">
              <a16:creationId xmlns:a16="http://schemas.microsoft.com/office/drawing/2014/main" id="{A1FFC1FE-D079-A01C-9762-0F5DA0F5E5A4}"/>
            </a:ext>
            <a:ext uri="{147F2762-F138-4A5C-976F-8EAC2B608ADB}">
              <a16:predDERef xmlns:a16="http://schemas.microsoft.com/office/drawing/2014/main" pred="{01307DFE-CD72-A051-F2DD-07E18033A616}"/>
            </a:ext>
          </a:extLst>
        </xdr:cNvPr>
        <xdr:cNvPicPr>
          <a:picLocks noChangeAspect="1"/>
        </xdr:cNvPicPr>
      </xdr:nvPicPr>
      <xdr:blipFill>
        <a:blip xmlns:r="http://schemas.openxmlformats.org/officeDocument/2006/relationships" r:embed="rId21"/>
        <a:stretch>
          <a:fillRect/>
        </a:stretch>
      </xdr:blipFill>
      <xdr:spPr>
        <a:xfrm>
          <a:off x="419100" y="11182350"/>
          <a:ext cx="6943725" cy="3762375"/>
        </a:xfrm>
        <a:prstGeom prst="rect">
          <a:avLst/>
        </a:prstGeom>
      </xdr:spPr>
    </xdr:pic>
    <xdr:clientData/>
  </xdr:twoCellAnchor>
  <xdr:twoCellAnchor editAs="oneCell">
    <xdr:from>
      <xdr:col>1</xdr:col>
      <xdr:colOff>9525</xdr:colOff>
      <xdr:row>97</xdr:row>
      <xdr:rowOff>104775</xdr:rowOff>
    </xdr:from>
    <xdr:to>
      <xdr:col>12</xdr:col>
      <xdr:colOff>533400</xdr:colOff>
      <xdr:row>115</xdr:row>
      <xdr:rowOff>95250</xdr:rowOff>
    </xdr:to>
    <xdr:pic>
      <xdr:nvPicPr>
        <xdr:cNvPr id="35" name="Imagen 34">
          <a:extLst>
            <a:ext uri="{FF2B5EF4-FFF2-40B4-BE49-F238E27FC236}">
              <a16:creationId xmlns:a16="http://schemas.microsoft.com/office/drawing/2014/main" id="{9CD2632C-2B4D-CB4C-16BF-C9C5C39EAFBB}"/>
            </a:ext>
            <a:ext uri="{147F2762-F138-4A5C-976F-8EAC2B608ADB}">
              <a16:predDERef xmlns:a16="http://schemas.microsoft.com/office/drawing/2014/main" pred="{DB581FB6-90EE-2D14-784E-6561DA2D7D6C}"/>
            </a:ext>
          </a:extLst>
        </xdr:cNvPr>
        <xdr:cNvPicPr>
          <a:picLocks noChangeAspect="1"/>
        </xdr:cNvPicPr>
      </xdr:nvPicPr>
      <xdr:blipFill>
        <a:blip xmlns:r="http://schemas.openxmlformats.org/officeDocument/2006/relationships" r:embed="rId22"/>
        <a:stretch>
          <a:fillRect/>
        </a:stretch>
      </xdr:blipFill>
      <xdr:spPr>
        <a:xfrm>
          <a:off x="428625" y="19945350"/>
          <a:ext cx="7019925" cy="3419475"/>
        </a:xfrm>
        <a:prstGeom prst="rect">
          <a:avLst/>
        </a:prstGeom>
      </xdr:spPr>
    </xdr:pic>
    <xdr:clientData/>
  </xdr:twoCellAnchor>
  <xdr:twoCellAnchor editAs="oneCell">
    <xdr:from>
      <xdr:col>1</xdr:col>
      <xdr:colOff>28575</xdr:colOff>
      <xdr:row>119</xdr:row>
      <xdr:rowOff>95250</xdr:rowOff>
    </xdr:from>
    <xdr:to>
      <xdr:col>12</xdr:col>
      <xdr:colOff>390525</xdr:colOff>
      <xdr:row>140</xdr:row>
      <xdr:rowOff>19050</xdr:rowOff>
    </xdr:to>
    <xdr:pic>
      <xdr:nvPicPr>
        <xdr:cNvPr id="36" name="Imagen 35">
          <a:extLst>
            <a:ext uri="{FF2B5EF4-FFF2-40B4-BE49-F238E27FC236}">
              <a16:creationId xmlns:a16="http://schemas.microsoft.com/office/drawing/2014/main" id="{0E19A9BB-118B-DAA8-DF71-1ED706024803}"/>
            </a:ext>
            <a:ext uri="{147F2762-F138-4A5C-976F-8EAC2B608ADB}">
              <a16:predDERef xmlns:a16="http://schemas.microsoft.com/office/drawing/2014/main" pred="{9CD2632C-2B4D-CB4C-16BF-C9C5C39EAFBB}"/>
            </a:ext>
          </a:extLst>
        </xdr:cNvPr>
        <xdr:cNvPicPr>
          <a:picLocks noChangeAspect="1"/>
        </xdr:cNvPicPr>
      </xdr:nvPicPr>
      <xdr:blipFill>
        <a:blip xmlns:r="http://schemas.openxmlformats.org/officeDocument/2006/relationships" r:embed="rId23"/>
        <a:stretch>
          <a:fillRect/>
        </a:stretch>
      </xdr:blipFill>
      <xdr:spPr>
        <a:xfrm>
          <a:off x="447675" y="24126825"/>
          <a:ext cx="6858000" cy="3924300"/>
        </a:xfrm>
        <a:prstGeom prst="rect">
          <a:avLst/>
        </a:prstGeom>
      </xdr:spPr>
    </xdr:pic>
    <xdr:clientData/>
  </xdr:twoCellAnchor>
  <xdr:twoCellAnchor editAs="oneCell">
    <xdr:from>
      <xdr:col>1</xdr:col>
      <xdr:colOff>0</xdr:colOff>
      <xdr:row>142</xdr:row>
      <xdr:rowOff>85725</xdr:rowOff>
    </xdr:from>
    <xdr:to>
      <xdr:col>12</xdr:col>
      <xdr:colOff>533400</xdr:colOff>
      <xdr:row>163</xdr:row>
      <xdr:rowOff>28575</xdr:rowOff>
    </xdr:to>
    <xdr:pic>
      <xdr:nvPicPr>
        <xdr:cNvPr id="24" name="Imagen 23">
          <a:extLst>
            <a:ext uri="{FF2B5EF4-FFF2-40B4-BE49-F238E27FC236}">
              <a16:creationId xmlns:a16="http://schemas.microsoft.com/office/drawing/2014/main" id="{273650FC-045A-5368-6D3A-2DE74F472BF5}"/>
            </a:ext>
            <a:ext uri="{147F2762-F138-4A5C-976F-8EAC2B608ADB}">
              <a16:predDERef xmlns:a16="http://schemas.microsoft.com/office/drawing/2014/main" pred="{0E19A9BB-118B-DAA8-DF71-1ED706024803}"/>
            </a:ext>
          </a:extLst>
        </xdr:cNvPr>
        <xdr:cNvPicPr>
          <a:picLocks noChangeAspect="1"/>
        </xdr:cNvPicPr>
      </xdr:nvPicPr>
      <xdr:blipFill>
        <a:blip xmlns:r="http://schemas.openxmlformats.org/officeDocument/2006/relationships" r:embed="rId24"/>
        <a:stretch>
          <a:fillRect/>
        </a:stretch>
      </xdr:blipFill>
      <xdr:spPr>
        <a:xfrm>
          <a:off x="419100" y="28508325"/>
          <a:ext cx="7029450" cy="3943350"/>
        </a:xfrm>
        <a:prstGeom prst="rect">
          <a:avLst/>
        </a:prstGeom>
      </xdr:spPr>
    </xdr:pic>
    <xdr:clientData/>
  </xdr:twoCellAnchor>
  <xdr:twoCellAnchor editAs="oneCell">
    <xdr:from>
      <xdr:col>1</xdr:col>
      <xdr:colOff>57150</xdr:colOff>
      <xdr:row>167</xdr:row>
      <xdr:rowOff>66675</xdr:rowOff>
    </xdr:from>
    <xdr:to>
      <xdr:col>12</xdr:col>
      <xdr:colOff>561975</xdr:colOff>
      <xdr:row>186</xdr:row>
      <xdr:rowOff>9525</xdr:rowOff>
    </xdr:to>
    <xdr:pic>
      <xdr:nvPicPr>
        <xdr:cNvPr id="25" name="Imagen 24">
          <a:extLst>
            <a:ext uri="{FF2B5EF4-FFF2-40B4-BE49-F238E27FC236}">
              <a16:creationId xmlns:a16="http://schemas.microsoft.com/office/drawing/2014/main" id="{77B0BDA4-7222-5D63-F309-891D677174F4}"/>
            </a:ext>
            <a:ext uri="{147F2762-F138-4A5C-976F-8EAC2B608ADB}">
              <a16:predDERef xmlns:a16="http://schemas.microsoft.com/office/drawing/2014/main" pred="{273650FC-045A-5368-6D3A-2DE74F472BF5}"/>
            </a:ext>
          </a:extLst>
        </xdr:cNvPr>
        <xdr:cNvPicPr>
          <a:picLocks noChangeAspect="1"/>
        </xdr:cNvPicPr>
      </xdr:nvPicPr>
      <xdr:blipFill>
        <a:blip xmlns:r="http://schemas.openxmlformats.org/officeDocument/2006/relationships" r:embed="rId25"/>
        <a:stretch>
          <a:fillRect/>
        </a:stretch>
      </xdr:blipFill>
      <xdr:spPr>
        <a:xfrm>
          <a:off x="476250" y="33251775"/>
          <a:ext cx="7000875" cy="3562350"/>
        </a:xfrm>
        <a:prstGeom prst="rect">
          <a:avLst/>
        </a:prstGeom>
      </xdr:spPr>
    </xdr:pic>
    <xdr:clientData/>
  </xdr:twoCellAnchor>
  <xdr:twoCellAnchor editAs="oneCell">
    <xdr:from>
      <xdr:col>1</xdr:col>
      <xdr:colOff>9525</xdr:colOff>
      <xdr:row>193</xdr:row>
      <xdr:rowOff>47625</xdr:rowOff>
    </xdr:from>
    <xdr:to>
      <xdr:col>12</xdr:col>
      <xdr:colOff>523875</xdr:colOff>
      <xdr:row>208</xdr:row>
      <xdr:rowOff>142875</xdr:rowOff>
    </xdr:to>
    <xdr:pic>
      <xdr:nvPicPr>
        <xdr:cNvPr id="26" name="Imagen 25">
          <a:extLst>
            <a:ext uri="{FF2B5EF4-FFF2-40B4-BE49-F238E27FC236}">
              <a16:creationId xmlns:a16="http://schemas.microsoft.com/office/drawing/2014/main" id="{EF127F66-2F6D-DE44-EE8C-27373A1A3020}"/>
            </a:ext>
            <a:ext uri="{147F2762-F138-4A5C-976F-8EAC2B608ADB}">
              <a16:predDERef xmlns:a16="http://schemas.microsoft.com/office/drawing/2014/main" pred="{77B0BDA4-7222-5D63-F309-891D677174F4}"/>
            </a:ext>
          </a:extLst>
        </xdr:cNvPr>
        <xdr:cNvPicPr>
          <a:picLocks noChangeAspect="1"/>
        </xdr:cNvPicPr>
      </xdr:nvPicPr>
      <xdr:blipFill>
        <a:blip xmlns:r="http://schemas.openxmlformats.org/officeDocument/2006/relationships" r:embed="rId26"/>
        <a:stretch>
          <a:fillRect/>
        </a:stretch>
      </xdr:blipFill>
      <xdr:spPr>
        <a:xfrm>
          <a:off x="428625" y="38185725"/>
          <a:ext cx="7010400" cy="2952750"/>
        </a:xfrm>
        <a:prstGeom prst="rect">
          <a:avLst/>
        </a:prstGeom>
      </xdr:spPr>
    </xdr:pic>
    <xdr:clientData/>
  </xdr:twoCellAnchor>
  <xdr:twoCellAnchor editAs="oneCell">
    <xdr:from>
      <xdr:col>1</xdr:col>
      <xdr:colOff>28575</xdr:colOff>
      <xdr:row>213</xdr:row>
      <xdr:rowOff>9525</xdr:rowOff>
    </xdr:from>
    <xdr:to>
      <xdr:col>12</xdr:col>
      <xdr:colOff>552450</xdr:colOff>
      <xdr:row>232</xdr:row>
      <xdr:rowOff>180975</xdr:rowOff>
    </xdr:to>
    <xdr:pic>
      <xdr:nvPicPr>
        <xdr:cNvPr id="27" name="Imagen 26">
          <a:extLst>
            <a:ext uri="{FF2B5EF4-FFF2-40B4-BE49-F238E27FC236}">
              <a16:creationId xmlns:a16="http://schemas.microsoft.com/office/drawing/2014/main" id="{745BE7E8-2D9D-6382-9F31-B0D402D40D50}"/>
            </a:ext>
            <a:ext uri="{147F2762-F138-4A5C-976F-8EAC2B608ADB}">
              <a16:predDERef xmlns:a16="http://schemas.microsoft.com/office/drawing/2014/main" pred="{EF127F66-2F6D-DE44-EE8C-27373A1A3020}"/>
            </a:ext>
          </a:extLst>
        </xdr:cNvPr>
        <xdr:cNvPicPr>
          <a:picLocks noChangeAspect="1"/>
        </xdr:cNvPicPr>
      </xdr:nvPicPr>
      <xdr:blipFill>
        <a:blip xmlns:r="http://schemas.openxmlformats.org/officeDocument/2006/relationships" r:embed="rId27"/>
        <a:stretch>
          <a:fillRect/>
        </a:stretch>
      </xdr:blipFill>
      <xdr:spPr>
        <a:xfrm>
          <a:off x="447675" y="41957625"/>
          <a:ext cx="7019925" cy="3790950"/>
        </a:xfrm>
        <a:prstGeom prst="rect">
          <a:avLst/>
        </a:prstGeom>
      </xdr:spPr>
    </xdr:pic>
    <xdr:clientData/>
  </xdr:twoCellAnchor>
  <xdr:twoCellAnchor editAs="oneCell">
    <xdr:from>
      <xdr:col>1</xdr:col>
      <xdr:colOff>0</xdr:colOff>
      <xdr:row>832</xdr:row>
      <xdr:rowOff>0</xdr:rowOff>
    </xdr:from>
    <xdr:to>
      <xdr:col>12</xdr:col>
      <xdr:colOff>561975</xdr:colOff>
      <xdr:row>855</xdr:row>
      <xdr:rowOff>38100</xdr:rowOff>
    </xdr:to>
    <xdr:pic>
      <xdr:nvPicPr>
        <xdr:cNvPr id="29" name="Imagen 28">
          <a:extLst>
            <a:ext uri="{FF2B5EF4-FFF2-40B4-BE49-F238E27FC236}">
              <a16:creationId xmlns:a16="http://schemas.microsoft.com/office/drawing/2014/main" id="{30E46E4B-31E5-1B84-182B-3E99B1285786}"/>
            </a:ext>
            <a:ext uri="{147F2762-F138-4A5C-976F-8EAC2B608ADB}">
              <a16:predDERef xmlns:a16="http://schemas.microsoft.com/office/drawing/2014/main" pred="{745BE7E8-2D9D-6382-9F31-B0D402D40D50}"/>
            </a:ext>
          </a:extLst>
        </xdr:cNvPr>
        <xdr:cNvPicPr>
          <a:picLocks noChangeAspect="1"/>
        </xdr:cNvPicPr>
      </xdr:nvPicPr>
      <xdr:blipFill>
        <a:blip xmlns:r="http://schemas.openxmlformats.org/officeDocument/2006/relationships" r:embed="rId28"/>
        <a:stretch>
          <a:fillRect/>
        </a:stretch>
      </xdr:blipFill>
      <xdr:spPr>
        <a:xfrm>
          <a:off x="419100" y="159867600"/>
          <a:ext cx="7058025" cy="4419600"/>
        </a:xfrm>
        <a:prstGeom prst="rect">
          <a:avLst/>
        </a:prstGeom>
      </xdr:spPr>
    </xdr:pic>
    <xdr:clientData/>
  </xdr:twoCellAnchor>
  <xdr:twoCellAnchor editAs="oneCell">
    <xdr:from>
      <xdr:col>1</xdr:col>
      <xdr:colOff>66675</xdr:colOff>
      <xdr:row>855</xdr:row>
      <xdr:rowOff>57150</xdr:rowOff>
    </xdr:from>
    <xdr:to>
      <xdr:col>12</xdr:col>
      <xdr:colOff>533400</xdr:colOff>
      <xdr:row>877</xdr:row>
      <xdr:rowOff>47625</xdr:rowOff>
    </xdr:to>
    <xdr:pic>
      <xdr:nvPicPr>
        <xdr:cNvPr id="37" name="Imagen 36">
          <a:extLst>
            <a:ext uri="{FF2B5EF4-FFF2-40B4-BE49-F238E27FC236}">
              <a16:creationId xmlns:a16="http://schemas.microsoft.com/office/drawing/2014/main" id="{A58DDC6D-1529-B0AC-8948-8C9151DFA252}"/>
            </a:ext>
            <a:ext uri="{147F2762-F138-4A5C-976F-8EAC2B608ADB}">
              <a16:predDERef xmlns:a16="http://schemas.microsoft.com/office/drawing/2014/main" pred="{30E46E4B-31E5-1B84-182B-3E99B1285786}"/>
            </a:ext>
          </a:extLst>
        </xdr:cNvPr>
        <xdr:cNvPicPr>
          <a:picLocks noChangeAspect="1"/>
        </xdr:cNvPicPr>
      </xdr:nvPicPr>
      <xdr:blipFill>
        <a:blip xmlns:r="http://schemas.openxmlformats.org/officeDocument/2006/relationships" r:embed="rId29"/>
        <a:stretch>
          <a:fillRect/>
        </a:stretch>
      </xdr:blipFill>
      <xdr:spPr>
        <a:xfrm>
          <a:off x="485775" y="164306250"/>
          <a:ext cx="6962775" cy="4181475"/>
        </a:xfrm>
        <a:prstGeom prst="rect">
          <a:avLst/>
        </a:prstGeom>
      </xdr:spPr>
    </xdr:pic>
    <xdr:clientData/>
  </xdr:twoCellAnchor>
  <xdr:twoCellAnchor editAs="oneCell">
    <xdr:from>
      <xdr:col>1</xdr:col>
      <xdr:colOff>85725</xdr:colOff>
      <xdr:row>717</xdr:row>
      <xdr:rowOff>85725</xdr:rowOff>
    </xdr:from>
    <xdr:to>
      <xdr:col>12</xdr:col>
      <xdr:colOff>466725</xdr:colOff>
      <xdr:row>739</xdr:row>
      <xdr:rowOff>104775</xdr:rowOff>
    </xdr:to>
    <xdr:pic>
      <xdr:nvPicPr>
        <xdr:cNvPr id="38" name="Imagen 37">
          <a:extLst>
            <a:ext uri="{FF2B5EF4-FFF2-40B4-BE49-F238E27FC236}">
              <a16:creationId xmlns:a16="http://schemas.microsoft.com/office/drawing/2014/main" id="{71E61571-FCF8-4AD7-7AA8-9E56C7B6B4B4}"/>
            </a:ext>
            <a:ext uri="{147F2762-F138-4A5C-976F-8EAC2B608ADB}">
              <a16:predDERef xmlns:a16="http://schemas.microsoft.com/office/drawing/2014/main" pred="{A58DDC6D-1529-B0AC-8948-8C9151DFA252}"/>
            </a:ext>
          </a:extLst>
        </xdr:cNvPr>
        <xdr:cNvPicPr>
          <a:picLocks noChangeAspect="1"/>
        </xdr:cNvPicPr>
      </xdr:nvPicPr>
      <xdr:blipFill>
        <a:blip xmlns:r="http://schemas.openxmlformats.org/officeDocument/2006/relationships" r:embed="rId30"/>
        <a:stretch>
          <a:fillRect/>
        </a:stretch>
      </xdr:blipFill>
      <xdr:spPr>
        <a:xfrm>
          <a:off x="504825" y="138045825"/>
          <a:ext cx="6877050" cy="4210050"/>
        </a:xfrm>
        <a:prstGeom prst="rect">
          <a:avLst/>
        </a:prstGeom>
      </xdr:spPr>
    </xdr:pic>
    <xdr:clientData/>
  </xdr:twoCellAnchor>
  <xdr:twoCellAnchor editAs="oneCell">
    <xdr:from>
      <xdr:col>1</xdr:col>
      <xdr:colOff>57150</xdr:colOff>
      <xdr:row>809</xdr:row>
      <xdr:rowOff>57150</xdr:rowOff>
    </xdr:from>
    <xdr:to>
      <xdr:col>12</xdr:col>
      <xdr:colOff>476250</xdr:colOff>
      <xdr:row>831</xdr:row>
      <xdr:rowOff>66675</xdr:rowOff>
    </xdr:to>
    <xdr:pic>
      <xdr:nvPicPr>
        <xdr:cNvPr id="20" name="Imagen 19">
          <a:extLst>
            <a:ext uri="{FF2B5EF4-FFF2-40B4-BE49-F238E27FC236}">
              <a16:creationId xmlns:a16="http://schemas.microsoft.com/office/drawing/2014/main" id="{D8D2B742-BB49-072F-4FF9-C91204F1A657}"/>
            </a:ext>
            <a:ext uri="{147F2762-F138-4A5C-976F-8EAC2B608ADB}">
              <a16:predDERef xmlns:a16="http://schemas.microsoft.com/office/drawing/2014/main" pred="{71E61571-FCF8-4AD7-7AA8-9E56C7B6B4B4}"/>
            </a:ext>
          </a:extLst>
        </xdr:cNvPr>
        <xdr:cNvPicPr>
          <a:picLocks noChangeAspect="1"/>
        </xdr:cNvPicPr>
      </xdr:nvPicPr>
      <xdr:blipFill>
        <a:blip xmlns:r="http://schemas.openxmlformats.org/officeDocument/2006/relationships" r:embed="rId31"/>
        <a:stretch>
          <a:fillRect/>
        </a:stretch>
      </xdr:blipFill>
      <xdr:spPr>
        <a:xfrm>
          <a:off x="476250" y="155543250"/>
          <a:ext cx="6915150" cy="4200525"/>
        </a:xfrm>
        <a:prstGeom prst="rect">
          <a:avLst/>
        </a:prstGeom>
      </xdr:spPr>
    </xdr:pic>
    <xdr:clientData/>
  </xdr:twoCellAnchor>
  <xdr:twoCellAnchor editAs="oneCell">
    <xdr:from>
      <xdr:col>1</xdr:col>
      <xdr:colOff>38100</xdr:colOff>
      <xdr:row>602</xdr:row>
      <xdr:rowOff>76200</xdr:rowOff>
    </xdr:from>
    <xdr:to>
      <xdr:col>12</xdr:col>
      <xdr:colOff>466725</xdr:colOff>
      <xdr:row>624</xdr:row>
      <xdr:rowOff>152400</xdr:rowOff>
    </xdr:to>
    <xdr:pic>
      <xdr:nvPicPr>
        <xdr:cNvPr id="30" name="Imagen 29">
          <a:extLst>
            <a:ext uri="{FF2B5EF4-FFF2-40B4-BE49-F238E27FC236}">
              <a16:creationId xmlns:a16="http://schemas.microsoft.com/office/drawing/2014/main" id="{807DE393-F6C3-D848-38DE-DEB0592A83EE}"/>
            </a:ext>
            <a:ext uri="{147F2762-F138-4A5C-976F-8EAC2B608ADB}">
              <a16:predDERef xmlns:a16="http://schemas.microsoft.com/office/drawing/2014/main" pred="{D8D2B742-BB49-072F-4FF9-C91204F1A657}"/>
            </a:ext>
          </a:extLst>
        </xdr:cNvPr>
        <xdr:cNvPicPr>
          <a:picLocks noChangeAspect="1"/>
        </xdr:cNvPicPr>
      </xdr:nvPicPr>
      <xdr:blipFill>
        <a:blip xmlns:r="http://schemas.openxmlformats.org/officeDocument/2006/relationships" r:embed="rId32"/>
        <a:stretch>
          <a:fillRect/>
        </a:stretch>
      </xdr:blipFill>
      <xdr:spPr>
        <a:xfrm>
          <a:off x="457200" y="116128800"/>
          <a:ext cx="6924675" cy="4267200"/>
        </a:xfrm>
        <a:prstGeom prst="rect">
          <a:avLst/>
        </a:prstGeom>
      </xdr:spPr>
    </xdr:pic>
    <xdr:clientData/>
  </xdr:twoCellAnchor>
  <xdr:twoCellAnchor editAs="oneCell">
    <xdr:from>
      <xdr:col>1</xdr:col>
      <xdr:colOff>38100</xdr:colOff>
      <xdr:row>694</xdr:row>
      <xdr:rowOff>76200</xdr:rowOff>
    </xdr:from>
    <xdr:to>
      <xdr:col>12</xdr:col>
      <xdr:colOff>504825</xdr:colOff>
      <xdr:row>716</xdr:row>
      <xdr:rowOff>133350</xdr:rowOff>
    </xdr:to>
    <xdr:pic>
      <xdr:nvPicPr>
        <xdr:cNvPr id="31" name="Imagen 30">
          <a:extLst>
            <a:ext uri="{FF2B5EF4-FFF2-40B4-BE49-F238E27FC236}">
              <a16:creationId xmlns:a16="http://schemas.microsoft.com/office/drawing/2014/main" id="{6B1DC364-7A9C-C825-01AB-1EBC765AC6E9}"/>
            </a:ext>
            <a:ext uri="{147F2762-F138-4A5C-976F-8EAC2B608ADB}">
              <a16:predDERef xmlns:a16="http://schemas.microsoft.com/office/drawing/2014/main" pred="{807DE393-F6C3-D848-38DE-DEB0592A83EE}"/>
            </a:ext>
          </a:extLst>
        </xdr:cNvPr>
        <xdr:cNvPicPr>
          <a:picLocks noChangeAspect="1"/>
        </xdr:cNvPicPr>
      </xdr:nvPicPr>
      <xdr:blipFill>
        <a:blip xmlns:r="http://schemas.openxmlformats.org/officeDocument/2006/relationships" r:embed="rId33"/>
        <a:stretch>
          <a:fillRect/>
        </a:stretch>
      </xdr:blipFill>
      <xdr:spPr>
        <a:xfrm>
          <a:off x="457200" y="133654800"/>
          <a:ext cx="6962775" cy="4248150"/>
        </a:xfrm>
        <a:prstGeom prst="rect">
          <a:avLst/>
        </a:prstGeom>
      </xdr:spPr>
    </xdr:pic>
    <xdr:clientData/>
  </xdr:twoCellAnchor>
  <xdr:twoCellAnchor editAs="oneCell">
    <xdr:from>
      <xdr:col>1</xdr:col>
      <xdr:colOff>38100</xdr:colOff>
      <xdr:row>73</xdr:row>
      <xdr:rowOff>180975</xdr:rowOff>
    </xdr:from>
    <xdr:to>
      <xdr:col>12</xdr:col>
      <xdr:colOff>390525</xdr:colOff>
      <xdr:row>92</xdr:row>
      <xdr:rowOff>57150</xdr:rowOff>
    </xdr:to>
    <xdr:pic>
      <xdr:nvPicPr>
        <xdr:cNvPr id="39" name="Imagen 38">
          <a:extLst>
            <a:ext uri="{FF2B5EF4-FFF2-40B4-BE49-F238E27FC236}">
              <a16:creationId xmlns:a16="http://schemas.microsoft.com/office/drawing/2014/main" id="{CBBE7464-57DD-FA53-1A09-9D81EE1118D8}"/>
            </a:ext>
            <a:ext uri="{147F2762-F138-4A5C-976F-8EAC2B608ADB}">
              <a16:predDERef xmlns:a16="http://schemas.microsoft.com/office/drawing/2014/main" pred="{6B1DC364-7A9C-C825-01AB-1EBC765AC6E9}"/>
            </a:ext>
          </a:extLst>
        </xdr:cNvPr>
        <xdr:cNvPicPr>
          <a:picLocks noChangeAspect="1"/>
        </xdr:cNvPicPr>
      </xdr:nvPicPr>
      <xdr:blipFill>
        <a:blip xmlns:r="http://schemas.openxmlformats.org/officeDocument/2006/relationships" r:embed="rId34"/>
        <a:stretch>
          <a:fillRect/>
        </a:stretch>
      </xdr:blipFill>
      <xdr:spPr>
        <a:xfrm>
          <a:off x="457200" y="15449550"/>
          <a:ext cx="6848475" cy="3495675"/>
        </a:xfrm>
        <a:prstGeom prst="rect">
          <a:avLst/>
        </a:prstGeom>
      </xdr:spPr>
    </xdr:pic>
    <xdr:clientData/>
  </xdr:twoCellAnchor>
  <xdr:twoCellAnchor editAs="oneCell">
    <xdr:from>
      <xdr:col>1</xdr:col>
      <xdr:colOff>38100</xdr:colOff>
      <xdr:row>5</xdr:row>
      <xdr:rowOff>114300</xdr:rowOff>
    </xdr:from>
    <xdr:to>
      <xdr:col>12</xdr:col>
      <xdr:colOff>419100</xdr:colOff>
      <xdr:row>24</xdr:row>
      <xdr:rowOff>95250</xdr:rowOff>
    </xdr:to>
    <xdr:pic>
      <xdr:nvPicPr>
        <xdr:cNvPr id="41" name="Imagen 39">
          <a:extLst>
            <a:ext uri="{FF2B5EF4-FFF2-40B4-BE49-F238E27FC236}">
              <a16:creationId xmlns:a16="http://schemas.microsoft.com/office/drawing/2014/main" id="{6EF05796-8CED-B7A2-9C38-F1F78CD5AAD6}"/>
            </a:ext>
            <a:ext uri="{147F2762-F138-4A5C-976F-8EAC2B608ADB}">
              <a16:predDERef xmlns:a16="http://schemas.microsoft.com/office/drawing/2014/main" pred="{CBBE7464-57DD-FA53-1A09-9D81EE1118D8}"/>
            </a:ext>
          </a:extLst>
        </xdr:cNvPr>
        <xdr:cNvPicPr>
          <a:picLocks noChangeAspect="1"/>
        </xdr:cNvPicPr>
      </xdr:nvPicPr>
      <xdr:blipFill>
        <a:blip xmlns:r="http://schemas.openxmlformats.org/officeDocument/2006/relationships" r:embed="rId35"/>
        <a:stretch>
          <a:fillRect/>
        </a:stretch>
      </xdr:blipFill>
      <xdr:spPr>
        <a:xfrm>
          <a:off x="457200" y="2428875"/>
          <a:ext cx="6877050" cy="3600450"/>
        </a:xfrm>
        <a:prstGeom prst="rect">
          <a:avLst/>
        </a:prstGeom>
      </xdr:spPr>
    </xdr:pic>
    <xdr:clientData/>
  </xdr:twoCellAnchor>
  <xdr:twoCellAnchor editAs="oneCell">
    <xdr:from>
      <xdr:col>1</xdr:col>
      <xdr:colOff>19050</xdr:colOff>
      <xdr:row>626</xdr:row>
      <xdr:rowOff>9525</xdr:rowOff>
    </xdr:from>
    <xdr:to>
      <xdr:col>12</xdr:col>
      <xdr:colOff>371475</xdr:colOff>
      <xdr:row>647</xdr:row>
      <xdr:rowOff>66675</xdr:rowOff>
    </xdr:to>
    <xdr:pic>
      <xdr:nvPicPr>
        <xdr:cNvPr id="28" name="Imagen 27">
          <a:extLst>
            <a:ext uri="{FF2B5EF4-FFF2-40B4-BE49-F238E27FC236}">
              <a16:creationId xmlns:a16="http://schemas.microsoft.com/office/drawing/2014/main" id="{3FEE3B7F-5FAC-BCFE-DE39-F5E298AD7378}"/>
            </a:ext>
            <a:ext uri="{147F2762-F138-4A5C-976F-8EAC2B608ADB}">
              <a16:predDERef xmlns:a16="http://schemas.microsoft.com/office/drawing/2014/main" pred="{6EF05796-8CED-B7A2-9C38-F1F78CD5AAD6}"/>
            </a:ext>
          </a:extLst>
        </xdr:cNvPr>
        <xdr:cNvPicPr>
          <a:picLocks noChangeAspect="1"/>
        </xdr:cNvPicPr>
      </xdr:nvPicPr>
      <xdr:blipFill>
        <a:blip xmlns:r="http://schemas.openxmlformats.org/officeDocument/2006/relationships" r:embed="rId36"/>
        <a:stretch>
          <a:fillRect/>
        </a:stretch>
      </xdr:blipFill>
      <xdr:spPr>
        <a:xfrm>
          <a:off x="438150" y="120634125"/>
          <a:ext cx="6848475" cy="4057650"/>
        </a:xfrm>
        <a:prstGeom prst="rect">
          <a:avLst/>
        </a:prstGeom>
      </xdr:spPr>
    </xdr:pic>
    <xdr:clientData/>
  </xdr:twoCellAnchor>
  <xdr:twoCellAnchor editAs="oneCell">
    <xdr:from>
      <xdr:col>1</xdr:col>
      <xdr:colOff>38100</xdr:colOff>
      <xdr:row>648</xdr:row>
      <xdr:rowOff>47625</xdr:rowOff>
    </xdr:from>
    <xdr:to>
      <xdr:col>12</xdr:col>
      <xdr:colOff>428625</xdr:colOff>
      <xdr:row>670</xdr:row>
      <xdr:rowOff>76200</xdr:rowOff>
    </xdr:to>
    <xdr:pic>
      <xdr:nvPicPr>
        <xdr:cNvPr id="42" name="Imagen 41">
          <a:extLst>
            <a:ext uri="{FF2B5EF4-FFF2-40B4-BE49-F238E27FC236}">
              <a16:creationId xmlns:a16="http://schemas.microsoft.com/office/drawing/2014/main" id="{FF406003-FB39-62BD-AA38-33C63AD38639}"/>
            </a:ext>
            <a:ext uri="{147F2762-F138-4A5C-976F-8EAC2B608ADB}">
              <a16:predDERef xmlns:a16="http://schemas.microsoft.com/office/drawing/2014/main" pred="{3FEE3B7F-5FAC-BCFE-DE39-F5E298AD7378}"/>
            </a:ext>
          </a:extLst>
        </xdr:cNvPr>
        <xdr:cNvPicPr>
          <a:picLocks noChangeAspect="1"/>
        </xdr:cNvPicPr>
      </xdr:nvPicPr>
      <xdr:blipFill>
        <a:blip xmlns:r="http://schemas.openxmlformats.org/officeDocument/2006/relationships" r:embed="rId37"/>
        <a:stretch>
          <a:fillRect/>
        </a:stretch>
      </xdr:blipFill>
      <xdr:spPr>
        <a:xfrm>
          <a:off x="457200" y="124863225"/>
          <a:ext cx="6886575" cy="4219575"/>
        </a:xfrm>
        <a:prstGeom prst="rect">
          <a:avLst/>
        </a:prstGeom>
      </xdr:spPr>
    </xdr:pic>
    <xdr:clientData/>
  </xdr:twoCellAnchor>
  <xdr:twoCellAnchor editAs="oneCell">
    <xdr:from>
      <xdr:col>1</xdr:col>
      <xdr:colOff>0</xdr:colOff>
      <xdr:row>234</xdr:row>
      <xdr:rowOff>0</xdr:rowOff>
    </xdr:from>
    <xdr:to>
      <xdr:col>12</xdr:col>
      <xdr:colOff>514350</xdr:colOff>
      <xdr:row>256</xdr:row>
      <xdr:rowOff>161925</xdr:rowOff>
    </xdr:to>
    <xdr:pic>
      <xdr:nvPicPr>
        <xdr:cNvPr id="34" name="Picture 1">
          <a:extLst>
            <a:ext uri="{FF2B5EF4-FFF2-40B4-BE49-F238E27FC236}">
              <a16:creationId xmlns:a16="http://schemas.microsoft.com/office/drawing/2014/main" id="{DEC3717F-27FF-61AC-AB65-46184C2141ED}"/>
            </a:ext>
            <a:ext uri="{147F2762-F138-4A5C-976F-8EAC2B608ADB}">
              <a16:predDERef xmlns:a16="http://schemas.microsoft.com/office/drawing/2014/main" pred="{FF406003-FB39-62BD-AA38-33C63AD38639}"/>
            </a:ext>
          </a:extLst>
        </xdr:cNvPr>
        <xdr:cNvPicPr>
          <a:picLocks noChangeAspect="1"/>
        </xdr:cNvPicPr>
      </xdr:nvPicPr>
      <xdr:blipFill>
        <a:blip xmlns:r="http://schemas.openxmlformats.org/officeDocument/2006/relationships" r:embed="rId38"/>
        <a:stretch>
          <a:fillRect/>
        </a:stretch>
      </xdr:blipFill>
      <xdr:spPr>
        <a:xfrm>
          <a:off x="419100" y="45948600"/>
          <a:ext cx="7010400" cy="43529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463826</xdr:colOff>
      <xdr:row>0</xdr:row>
      <xdr:rowOff>339587</xdr:rowOff>
    </xdr:from>
    <xdr:to>
      <xdr:col>6</xdr:col>
      <xdr:colOff>921675</xdr:colOff>
      <xdr:row>4</xdr:row>
      <xdr:rowOff>60625</xdr:rowOff>
    </xdr:to>
    <xdr:pic>
      <xdr:nvPicPr>
        <xdr:cNvPr id="2" name="Imagen 2">
          <a:extLst>
            <a:ext uri="{FF2B5EF4-FFF2-40B4-BE49-F238E27FC236}">
              <a16:creationId xmlns:a16="http://schemas.microsoft.com/office/drawing/2014/main" id="{5F204260-64DA-484D-B581-269B7D7DFB6C}"/>
            </a:ext>
          </a:extLst>
        </xdr:cNvPr>
        <xdr:cNvPicPr>
          <a:picLocks noChangeAspect="1"/>
        </xdr:cNvPicPr>
      </xdr:nvPicPr>
      <xdr:blipFill>
        <a:blip xmlns:r="http://schemas.openxmlformats.org/officeDocument/2006/relationships" r:embed="rId1"/>
        <a:stretch>
          <a:fillRect/>
        </a:stretch>
      </xdr:blipFill>
      <xdr:spPr>
        <a:xfrm>
          <a:off x="6531251" y="339587"/>
          <a:ext cx="4639324" cy="11688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C3:S25"/>
  <sheetViews>
    <sheetView zoomScale="104" zoomScaleNormal="175" workbookViewId="0">
      <selection activeCell="C10" sqref="C10:K10"/>
    </sheetView>
  </sheetViews>
  <sheetFormatPr baseColWidth="10" defaultColWidth="11.44140625" defaultRowHeight="13.8" x14ac:dyDescent="0.3"/>
  <cols>
    <col min="1" max="13" width="11.44140625" style="94"/>
    <col min="14" max="14" width="26.6640625" style="94" bestFit="1" customWidth="1"/>
    <col min="15" max="16384" width="11.44140625" style="94"/>
  </cols>
  <sheetData>
    <row r="3" spans="3:19" ht="15" customHeight="1" x14ac:dyDescent="0.3">
      <c r="M3" s="405" t="s">
        <v>0</v>
      </c>
      <c r="N3" s="406"/>
      <c r="O3" s="406"/>
      <c r="P3" s="406"/>
      <c r="Q3" s="406"/>
      <c r="R3" s="406"/>
      <c r="S3" s="406"/>
    </row>
    <row r="4" spans="3:19" ht="23.25" customHeight="1" x14ac:dyDescent="0.3">
      <c r="M4" s="406"/>
      <c r="N4" s="406"/>
      <c r="O4" s="406"/>
      <c r="P4" s="406"/>
      <c r="Q4" s="406"/>
      <c r="R4" s="406"/>
      <c r="S4" s="406"/>
    </row>
    <row r="5" spans="3:19" ht="23.25" customHeight="1" x14ac:dyDescent="0.3">
      <c r="M5" s="406"/>
      <c r="N5" s="406"/>
      <c r="O5" s="406"/>
      <c r="P5" s="406"/>
      <c r="Q5" s="406"/>
      <c r="R5" s="406"/>
      <c r="S5" s="406"/>
    </row>
    <row r="6" spans="3:19" ht="56.25" customHeight="1" x14ac:dyDescent="0.3">
      <c r="C6" s="407" t="s">
        <v>1</v>
      </c>
      <c r="D6" s="407"/>
      <c r="E6" s="407"/>
      <c r="F6" s="407"/>
      <c r="G6" s="407"/>
      <c r="H6" s="407"/>
      <c r="I6" s="407"/>
      <c r="J6" s="407"/>
      <c r="K6" s="407"/>
      <c r="L6" s="93"/>
      <c r="M6" s="406"/>
      <c r="N6" s="406"/>
      <c r="O6" s="406"/>
      <c r="P6" s="406"/>
      <c r="Q6" s="406"/>
      <c r="R6" s="406"/>
      <c r="S6" s="406"/>
    </row>
    <row r="7" spans="3:19" x14ac:dyDescent="0.3">
      <c r="C7" s="95"/>
      <c r="D7" s="95"/>
      <c r="E7" s="99"/>
      <c r="F7" s="96" t="s">
        <v>2</v>
      </c>
      <c r="G7" s="96"/>
      <c r="H7" s="97"/>
      <c r="I7" s="97"/>
      <c r="J7" s="97"/>
      <c r="K7" s="97"/>
      <c r="L7" s="97"/>
      <c r="M7" s="93"/>
      <c r="N7" s="93"/>
    </row>
    <row r="8" spans="3:19" x14ac:dyDescent="0.3">
      <c r="C8" s="413" t="s">
        <v>3</v>
      </c>
      <c r="D8" s="413"/>
      <c r="E8" s="413"/>
      <c r="F8" s="413"/>
      <c r="G8" s="413"/>
      <c r="H8" s="413"/>
      <c r="I8" s="413"/>
      <c r="J8" s="413"/>
      <c r="K8" s="413"/>
      <c r="L8" s="413"/>
      <c r="M8" s="413"/>
      <c r="N8" s="413"/>
    </row>
    <row r="9" spans="3:19" ht="25.5" customHeight="1" x14ac:dyDescent="0.3">
      <c r="C9" s="408" t="s">
        <v>4</v>
      </c>
      <c r="D9" s="408"/>
      <c r="E9" s="113"/>
      <c r="F9" s="113"/>
      <c r="G9" s="113"/>
      <c r="H9" s="113"/>
      <c r="I9" s="113"/>
      <c r="J9" s="113"/>
      <c r="K9" s="113"/>
      <c r="L9" s="113"/>
      <c r="M9" s="113"/>
      <c r="N9" s="113"/>
    </row>
    <row r="10" spans="3:19" ht="102" customHeight="1" x14ac:dyDescent="0.3">
      <c r="C10" s="407" t="s">
        <v>5</v>
      </c>
      <c r="D10" s="407"/>
      <c r="E10" s="407"/>
      <c r="F10" s="407"/>
      <c r="G10" s="407"/>
      <c r="H10" s="407"/>
      <c r="I10" s="407"/>
      <c r="J10" s="407"/>
      <c r="K10" s="407"/>
      <c r="L10" s="93"/>
      <c r="M10" s="93"/>
      <c r="N10" s="93"/>
    </row>
    <row r="11" spans="3:19" ht="39.9" customHeight="1" x14ac:dyDescent="0.4">
      <c r="C11" s="407"/>
      <c r="D11" s="407"/>
      <c r="E11" s="407"/>
      <c r="F11" s="407"/>
      <c r="G11" s="407"/>
      <c r="H11" s="407"/>
      <c r="I11" s="407"/>
      <c r="J11" s="407"/>
      <c r="K11" s="407"/>
      <c r="L11" s="93"/>
      <c r="M11" s="93"/>
      <c r="N11" s="173" t="s">
        <v>6</v>
      </c>
      <c r="O11" s="409">
        <v>1649608355</v>
      </c>
      <c r="P11" s="409"/>
      <c r="Q11" s="409"/>
    </row>
    <row r="12" spans="3:19" ht="39.9" customHeight="1" x14ac:dyDescent="0.4">
      <c r="C12" s="408" t="s">
        <v>7</v>
      </c>
      <c r="D12" s="408"/>
      <c r="E12" s="99"/>
      <c r="F12" s="96"/>
      <c r="G12" s="96"/>
      <c r="H12" s="97"/>
      <c r="I12" s="97"/>
      <c r="J12" s="97"/>
      <c r="K12" s="97"/>
      <c r="L12" s="93"/>
      <c r="M12" s="93"/>
      <c r="N12" s="173" t="s">
        <v>8</v>
      </c>
      <c r="O12" s="410">
        <v>1649.6083550000001</v>
      </c>
      <c r="P12" s="410"/>
      <c r="Q12" s="410"/>
    </row>
    <row r="13" spans="3:19" ht="87" customHeight="1" x14ac:dyDescent="0.3">
      <c r="C13" s="407" t="s">
        <v>9</v>
      </c>
      <c r="D13" s="407"/>
      <c r="E13" s="407"/>
      <c r="F13" s="407"/>
      <c r="G13" s="407"/>
      <c r="H13" s="407"/>
      <c r="I13" s="407"/>
      <c r="J13" s="407"/>
      <c r="K13" s="407"/>
      <c r="L13" s="93"/>
      <c r="M13" s="93"/>
      <c r="N13" s="93"/>
    </row>
    <row r="14" spans="3:19" ht="39.9" customHeight="1" x14ac:dyDescent="0.3">
      <c r="C14" s="135"/>
      <c r="D14" s="135"/>
      <c r="E14" s="135"/>
      <c r="F14" s="135"/>
      <c r="G14" s="135"/>
      <c r="H14" s="135"/>
      <c r="I14" s="135"/>
      <c r="J14" s="135"/>
      <c r="K14" s="135"/>
      <c r="L14" s="93"/>
      <c r="M14" s="93"/>
      <c r="N14" s="93"/>
    </row>
    <row r="15" spans="3:19" ht="39.9" customHeight="1" x14ac:dyDescent="0.3">
      <c r="C15" s="408" t="s">
        <v>10</v>
      </c>
      <c r="D15" s="408"/>
      <c r="E15" s="135"/>
      <c r="F15" s="135"/>
      <c r="G15" s="135"/>
      <c r="H15" s="135"/>
      <c r="I15" s="135"/>
      <c r="J15" s="135"/>
      <c r="K15" s="135"/>
      <c r="L15" s="93"/>
      <c r="M15" s="93"/>
      <c r="N15" s="93"/>
    </row>
    <row r="16" spans="3:19" ht="75" customHeight="1" x14ac:dyDescent="0.3">
      <c r="C16" s="407" t="s">
        <v>11</v>
      </c>
      <c r="D16" s="407"/>
      <c r="E16" s="407"/>
      <c r="F16" s="407"/>
      <c r="G16" s="407"/>
      <c r="H16" s="407"/>
      <c r="I16" s="407"/>
      <c r="J16" s="407"/>
      <c r="K16" s="407"/>
      <c r="L16" s="93"/>
      <c r="M16" s="93"/>
      <c r="N16" s="93"/>
    </row>
    <row r="17" spans="3:14" ht="39.9" customHeight="1" x14ac:dyDescent="0.3">
      <c r="C17" s="135"/>
      <c r="D17" s="135"/>
      <c r="E17" s="135"/>
      <c r="F17" s="135"/>
      <c r="G17" s="135"/>
      <c r="H17" s="135"/>
      <c r="I17" s="135"/>
      <c r="J17" s="135"/>
      <c r="K17" s="135"/>
      <c r="L17" s="93"/>
      <c r="M17" s="93"/>
      <c r="N17" s="93"/>
    </row>
    <row r="18" spans="3:14" ht="39.9" customHeight="1" x14ac:dyDescent="0.3">
      <c r="C18" s="407"/>
      <c r="D18" s="407"/>
      <c r="E18" s="407"/>
      <c r="F18" s="407"/>
      <c r="G18" s="407"/>
      <c r="H18" s="407"/>
      <c r="I18" s="407"/>
      <c r="J18" s="407"/>
      <c r="K18" s="407"/>
      <c r="L18" s="93"/>
      <c r="M18" s="93"/>
      <c r="N18" s="93"/>
    </row>
    <row r="19" spans="3:14" ht="111" customHeight="1" x14ac:dyDescent="0.3">
      <c r="C19" s="411" t="s">
        <v>12</v>
      </c>
      <c r="D19" s="411"/>
      <c r="E19" s="411"/>
      <c r="F19" s="411"/>
      <c r="G19" s="411"/>
      <c r="H19" s="411"/>
      <c r="I19" s="411"/>
      <c r="J19" s="411"/>
      <c r="K19" s="411"/>
      <c r="L19" s="93"/>
      <c r="M19" s="93"/>
      <c r="N19" s="93"/>
    </row>
    <row r="20" spans="3:14" ht="75.75" customHeight="1" x14ac:dyDescent="0.3">
      <c r="C20" s="412" t="s">
        <v>13</v>
      </c>
      <c r="D20" s="412"/>
      <c r="E20" s="412"/>
      <c r="F20" s="412"/>
      <c r="G20" s="412"/>
      <c r="H20" s="412"/>
      <c r="I20" s="412"/>
      <c r="J20" s="412"/>
      <c r="K20" s="412"/>
      <c r="L20" s="93"/>
      <c r="M20" s="93"/>
      <c r="N20" s="93"/>
    </row>
    <row r="21" spans="3:14" ht="39.9" customHeight="1" x14ac:dyDescent="0.3">
      <c r="C21" s="411" t="s">
        <v>14</v>
      </c>
      <c r="D21" s="411"/>
      <c r="E21" s="411"/>
      <c r="F21" s="411"/>
      <c r="G21" s="411"/>
      <c r="H21" s="411"/>
      <c r="I21" s="411"/>
      <c r="J21" s="411"/>
      <c r="K21" s="411"/>
      <c r="L21" s="93"/>
      <c r="M21" s="93"/>
      <c r="N21" s="93"/>
    </row>
    <row r="22" spans="3:14" ht="72" customHeight="1" x14ac:dyDescent="0.3">
      <c r="C22" s="411" t="s">
        <v>15</v>
      </c>
      <c r="D22" s="411"/>
      <c r="E22" s="411"/>
      <c r="F22" s="411"/>
      <c r="G22" s="411"/>
      <c r="H22" s="411"/>
      <c r="I22" s="411"/>
      <c r="J22" s="411"/>
      <c r="K22" s="411"/>
      <c r="L22" s="93"/>
      <c r="M22" s="93"/>
      <c r="N22" s="93"/>
    </row>
    <row r="23" spans="3:14" ht="170.25" customHeight="1" x14ac:dyDescent="0.3">
      <c r="C23" s="411" t="s">
        <v>16</v>
      </c>
      <c r="D23" s="411"/>
      <c r="E23" s="411"/>
      <c r="F23" s="411"/>
      <c r="G23" s="411"/>
      <c r="H23" s="411"/>
      <c r="I23" s="411"/>
      <c r="J23" s="411"/>
      <c r="K23" s="411"/>
      <c r="L23" s="93"/>
      <c r="M23" s="93"/>
      <c r="N23" s="93"/>
    </row>
    <row r="24" spans="3:14" ht="80.25" customHeight="1" x14ac:dyDescent="0.3">
      <c r="C24" s="411" t="s">
        <v>17</v>
      </c>
      <c r="D24" s="411"/>
      <c r="E24" s="411"/>
      <c r="F24" s="411"/>
      <c r="G24" s="411"/>
      <c r="H24" s="411"/>
      <c r="I24" s="411"/>
      <c r="J24" s="411"/>
      <c r="K24" s="411"/>
      <c r="L24" s="93"/>
      <c r="M24" s="93"/>
      <c r="N24" s="93"/>
    </row>
    <row r="25" spans="3:14" ht="70.5" customHeight="1" x14ac:dyDescent="0.3">
      <c r="C25" s="412" t="s">
        <v>18</v>
      </c>
      <c r="D25" s="412"/>
      <c r="E25" s="412"/>
      <c r="F25" s="412"/>
      <c r="G25" s="412"/>
      <c r="H25" s="412"/>
      <c r="I25" s="412"/>
      <c r="J25" s="412"/>
      <c r="K25" s="412"/>
      <c r="L25" s="93"/>
      <c r="M25" s="93"/>
      <c r="N25" s="93"/>
    </row>
  </sheetData>
  <mergeCells count="20">
    <mergeCell ref="C24:K24"/>
    <mergeCell ref="C25:K25"/>
    <mergeCell ref="C8:N8"/>
    <mergeCell ref="C13:K13"/>
    <mergeCell ref="C19:K19"/>
    <mergeCell ref="C20:K20"/>
    <mergeCell ref="C21:K21"/>
    <mergeCell ref="C22:K22"/>
    <mergeCell ref="C23:K23"/>
    <mergeCell ref="C18:K18"/>
    <mergeCell ref="C15:D15"/>
    <mergeCell ref="C16:K16"/>
    <mergeCell ref="M3:S6"/>
    <mergeCell ref="C6:K6"/>
    <mergeCell ref="C10:K10"/>
    <mergeCell ref="C11:K11"/>
    <mergeCell ref="C12:D12"/>
    <mergeCell ref="C9:D9"/>
    <mergeCell ref="O11:Q11"/>
    <mergeCell ref="O12:Q1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43"/>
  <sheetViews>
    <sheetView zoomScale="80" zoomScaleNormal="80" workbookViewId="0">
      <pane xSplit="1" ySplit="5" topLeftCell="B12" activePane="bottomRight" state="frozen"/>
      <selection pane="topRight"/>
      <selection pane="bottomLeft"/>
      <selection pane="bottomRight" activeCell="B34" sqref="B34"/>
    </sheetView>
  </sheetViews>
  <sheetFormatPr baseColWidth="10" defaultColWidth="11.44140625" defaultRowHeight="14.4" x14ac:dyDescent="0.3"/>
  <cols>
    <col min="1" max="1" width="5.109375" style="127" bestFit="1" customWidth="1"/>
    <col min="2" max="2" width="50" style="127" bestFit="1" customWidth="1"/>
    <col min="3" max="3" width="41.33203125" style="127" customWidth="1"/>
    <col min="4" max="4" width="15.44140625" style="127" customWidth="1"/>
    <col min="5" max="5" width="19.44140625" style="127" bestFit="1" customWidth="1"/>
    <col min="6" max="6" width="12.44140625" style="127" bestFit="1" customWidth="1"/>
    <col min="7" max="7" width="50" style="127" bestFit="1" customWidth="1"/>
    <col min="8" max="8" width="14.33203125" style="127" bestFit="1" customWidth="1"/>
    <col min="9" max="9" width="22.6640625" style="127" customWidth="1"/>
    <col min="10" max="10" width="16.33203125" style="127" bestFit="1" customWidth="1"/>
    <col min="11" max="11" width="49" style="127" customWidth="1"/>
    <col min="12" max="12" width="14.33203125" style="127" bestFit="1" customWidth="1"/>
    <col min="13" max="13" width="23.109375" style="127" bestFit="1" customWidth="1"/>
    <col min="14" max="14" width="15.88671875" style="127" customWidth="1"/>
    <col min="15" max="15" width="38.88671875" style="127" customWidth="1"/>
    <col min="16" max="16" width="14.33203125" style="127" bestFit="1" customWidth="1"/>
    <col min="17" max="17" width="23.109375" style="127" bestFit="1" customWidth="1"/>
    <col min="18" max="18" width="19.33203125" style="127" customWidth="1"/>
    <col min="19" max="19" width="38.88671875" style="127" customWidth="1"/>
    <col min="20" max="20" width="14" style="127" bestFit="1" customWidth="1"/>
    <col min="21" max="21" width="22.5546875" style="127" bestFit="1" customWidth="1"/>
    <col min="22" max="22" width="19.33203125" style="127" customWidth="1"/>
    <col min="23" max="23" width="35" style="127" customWidth="1"/>
    <col min="24" max="24" width="19.33203125" style="127" customWidth="1"/>
    <col min="25" max="25" width="22.44140625" style="127" customWidth="1"/>
    <col min="26" max="26" width="16.88671875" style="127" customWidth="1"/>
    <col min="27" max="27" width="61.33203125" style="127" customWidth="1"/>
    <col min="28" max="32" width="11.44140625" style="127"/>
    <col min="33" max="33" width="10.109375" style="127" customWidth="1"/>
    <col min="34" max="34" width="11.44140625" style="127" hidden="1" customWidth="1"/>
    <col min="35" max="16384" width="11.44140625" style="127"/>
  </cols>
  <sheetData>
    <row r="1" spans="1:34" ht="26.25" customHeight="1" x14ac:dyDescent="0.3">
      <c r="A1" s="416" t="s">
        <v>19</v>
      </c>
      <c r="B1" s="417"/>
      <c r="C1" s="417"/>
      <c r="D1" s="417"/>
      <c r="E1" s="417"/>
      <c r="F1" s="417"/>
      <c r="G1" s="417"/>
      <c r="H1" s="417"/>
      <c r="I1" s="417"/>
      <c r="J1" s="417"/>
      <c r="K1" s="417"/>
      <c r="L1" s="417"/>
      <c r="M1" s="417"/>
      <c r="N1" s="417"/>
      <c r="O1" s="417"/>
      <c r="P1" s="417"/>
      <c r="Q1" s="417"/>
      <c r="R1" s="417"/>
      <c r="S1" s="417"/>
      <c r="T1" s="417"/>
      <c r="U1" s="417"/>
      <c r="V1" s="417"/>
      <c r="W1" s="417"/>
      <c r="X1" s="417"/>
      <c r="Y1" s="417"/>
      <c r="Z1" s="417"/>
      <c r="AA1" s="417"/>
    </row>
    <row r="2" spans="1:34" ht="26.25" customHeight="1" x14ac:dyDescent="0.3">
      <c r="A2" s="418" t="s">
        <v>20</v>
      </c>
      <c r="B2" s="419"/>
      <c r="C2" s="419"/>
      <c r="D2" s="419"/>
      <c r="E2" s="419"/>
      <c r="F2" s="419"/>
      <c r="G2" s="419"/>
      <c r="H2" s="419"/>
      <c r="I2" s="419"/>
      <c r="J2" s="419"/>
      <c r="K2" s="419"/>
      <c r="L2" s="419"/>
      <c r="M2" s="419"/>
      <c r="N2" s="419"/>
      <c r="O2" s="419"/>
      <c r="P2" s="419"/>
      <c r="Q2" s="419"/>
      <c r="R2" s="419"/>
      <c r="S2" s="419"/>
      <c r="T2" s="419"/>
      <c r="U2" s="419"/>
      <c r="V2" s="419"/>
      <c r="W2" s="419"/>
      <c r="X2" s="419"/>
      <c r="Y2" s="419"/>
      <c r="Z2" s="419"/>
      <c r="AA2" s="419"/>
    </row>
    <row r="3" spans="1:34" ht="15.6" x14ac:dyDescent="0.3">
      <c r="A3" s="420" t="s">
        <v>21</v>
      </c>
      <c r="B3" s="423" t="s">
        <v>22</v>
      </c>
      <c r="C3" s="420" t="s">
        <v>23</v>
      </c>
      <c r="D3" s="426"/>
      <c r="E3" s="428" t="s">
        <v>24</v>
      </c>
      <c r="F3" s="414" t="s">
        <v>25</v>
      </c>
      <c r="G3" s="414"/>
      <c r="H3" s="414"/>
      <c r="I3" s="414"/>
      <c r="J3" s="414"/>
      <c r="K3" s="414"/>
      <c r="L3" s="414"/>
      <c r="M3" s="414"/>
      <c r="N3" s="414"/>
      <c r="O3" s="414"/>
      <c r="P3" s="414"/>
      <c r="Q3" s="414"/>
      <c r="R3" s="414"/>
      <c r="S3" s="128"/>
      <c r="T3" s="128"/>
      <c r="U3" s="128"/>
      <c r="V3" s="128"/>
      <c r="W3" s="128"/>
      <c r="X3" s="128"/>
      <c r="Y3" s="128"/>
      <c r="Z3" s="128"/>
      <c r="AA3" s="415" t="s">
        <v>26</v>
      </c>
    </row>
    <row r="4" spans="1:34" ht="26.25" customHeight="1" x14ac:dyDescent="0.3">
      <c r="A4" s="421"/>
      <c r="B4" s="424"/>
      <c r="C4" s="422"/>
      <c r="D4" s="427"/>
      <c r="E4" s="429"/>
      <c r="F4" s="431" t="s">
        <v>27</v>
      </c>
      <c r="G4" s="414" t="s">
        <v>28</v>
      </c>
      <c r="H4" s="414"/>
      <c r="I4" s="414"/>
      <c r="J4" s="414"/>
      <c r="K4" s="414" t="s">
        <v>29</v>
      </c>
      <c r="L4" s="414"/>
      <c r="M4" s="414"/>
      <c r="N4" s="414"/>
      <c r="O4" s="414" t="s">
        <v>30</v>
      </c>
      <c r="P4" s="414"/>
      <c r="Q4" s="414"/>
      <c r="R4" s="414"/>
      <c r="S4" s="414" t="s">
        <v>31</v>
      </c>
      <c r="T4" s="414"/>
      <c r="U4" s="414"/>
      <c r="V4" s="414"/>
      <c r="W4" s="414" t="s">
        <v>32</v>
      </c>
      <c r="X4" s="414"/>
      <c r="Y4" s="414"/>
      <c r="Z4" s="414"/>
      <c r="AA4" s="415"/>
    </row>
    <row r="5" spans="1:34" ht="31.2" x14ac:dyDescent="0.3">
      <c r="A5" s="422"/>
      <c r="B5" s="425"/>
      <c r="C5" s="128" t="s">
        <v>33</v>
      </c>
      <c r="D5" s="128" t="s">
        <v>34</v>
      </c>
      <c r="E5" s="430"/>
      <c r="F5" s="431"/>
      <c r="G5" s="128" t="s">
        <v>35</v>
      </c>
      <c r="H5" s="129" t="s">
        <v>36</v>
      </c>
      <c r="I5" s="128" t="s">
        <v>37</v>
      </c>
      <c r="J5" s="128" t="s">
        <v>38</v>
      </c>
      <c r="K5" s="128" t="s">
        <v>35</v>
      </c>
      <c r="L5" s="129" t="s">
        <v>36</v>
      </c>
      <c r="M5" s="128" t="s">
        <v>37</v>
      </c>
      <c r="N5" s="128" t="s">
        <v>38</v>
      </c>
      <c r="O5" s="128" t="s">
        <v>35</v>
      </c>
      <c r="P5" s="129" t="s">
        <v>36</v>
      </c>
      <c r="Q5" s="128" t="s">
        <v>37</v>
      </c>
      <c r="R5" s="128" t="s">
        <v>38</v>
      </c>
      <c r="S5" s="128" t="s">
        <v>35</v>
      </c>
      <c r="T5" s="129" t="s">
        <v>36</v>
      </c>
      <c r="U5" s="128" t="s">
        <v>37</v>
      </c>
      <c r="V5" s="128" t="s">
        <v>38</v>
      </c>
      <c r="W5" s="128" t="s">
        <v>35</v>
      </c>
      <c r="X5" s="129" t="s">
        <v>36</v>
      </c>
      <c r="Y5" s="128" t="s">
        <v>37</v>
      </c>
      <c r="Z5" s="128" t="s">
        <v>38</v>
      </c>
      <c r="AA5" s="415"/>
    </row>
    <row r="6" spans="1:34" s="73" customFormat="1" ht="20.25" customHeight="1" x14ac:dyDescent="0.3">
      <c r="A6" s="74">
        <v>1</v>
      </c>
      <c r="B6" s="74" t="s">
        <v>39</v>
      </c>
      <c r="C6" s="74" t="s">
        <v>40</v>
      </c>
      <c r="D6" s="139">
        <v>19292927</v>
      </c>
      <c r="E6" s="74" t="s">
        <v>41</v>
      </c>
      <c r="F6" s="130">
        <v>3</v>
      </c>
      <c r="G6" s="74" t="s">
        <v>42</v>
      </c>
      <c r="H6" s="132"/>
      <c r="I6" s="132"/>
      <c r="J6" s="131">
        <v>0.5</v>
      </c>
      <c r="K6" s="130" t="s">
        <v>43</v>
      </c>
      <c r="L6" s="132"/>
      <c r="M6" s="132"/>
      <c r="N6" s="131">
        <v>0.25</v>
      </c>
      <c r="O6" s="130" t="s">
        <v>44</v>
      </c>
      <c r="P6" s="132"/>
      <c r="Q6" s="132"/>
      <c r="R6" s="131">
        <v>0.25</v>
      </c>
      <c r="S6" s="195"/>
      <c r="T6" s="195"/>
      <c r="U6" s="195"/>
      <c r="V6" s="195"/>
      <c r="W6" s="195"/>
      <c r="X6" s="195"/>
      <c r="Y6" s="195"/>
      <c r="Z6" s="195"/>
      <c r="AA6" s="196"/>
    </row>
    <row r="7" spans="1:34" x14ac:dyDescent="0.3">
      <c r="A7" s="74">
        <v>2</v>
      </c>
      <c r="B7" s="74" t="s">
        <v>45</v>
      </c>
      <c r="C7" s="74" t="s">
        <v>46</v>
      </c>
      <c r="D7" s="139">
        <v>79518636</v>
      </c>
      <c r="E7" s="74" t="s">
        <v>47</v>
      </c>
      <c r="F7" s="130">
        <v>1</v>
      </c>
      <c r="G7" s="74" t="s">
        <v>45</v>
      </c>
      <c r="H7" s="132"/>
      <c r="I7" s="132"/>
      <c r="J7" s="131">
        <v>1</v>
      </c>
      <c r="K7" s="130"/>
      <c r="L7" s="132"/>
      <c r="M7" s="132"/>
      <c r="N7" s="131"/>
      <c r="O7" s="130"/>
      <c r="P7" s="132"/>
      <c r="Q7" s="132"/>
      <c r="R7" s="131"/>
      <c r="S7" s="195"/>
      <c r="T7" s="195"/>
      <c r="U7" s="195"/>
      <c r="V7" s="195"/>
      <c r="W7" s="195"/>
      <c r="X7" s="195"/>
      <c r="Y7" s="195"/>
      <c r="Z7" s="195"/>
      <c r="AA7" s="197"/>
    </row>
    <row r="8" spans="1:34" ht="20.25" customHeight="1" x14ac:dyDescent="0.3">
      <c r="A8" s="74">
        <v>3</v>
      </c>
      <c r="B8" s="74" t="s">
        <v>48</v>
      </c>
      <c r="C8" s="74" t="s">
        <v>49</v>
      </c>
      <c r="D8" s="139">
        <v>7710012</v>
      </c>
      <c r="E8" s="74" t="s">
        <v>41</v>
      </c>
      <c r="F8" s="130">
        <v>2</v>
      </c>
      <c r="G8" s="130" t="s">
        <v>49</v>
      </c>
      <c r="H8" s="132" t="s">
        <v>34</v>
      </c>
      <c r="I8" s="141">
        <v>7710012</v>
      </c>
      <c r="J8" s="131">
        <v>0.5</v>
      </c>
      <c r="K8" s="130" t="s">
        <v>50</v>
      </c>
      <c r="L8" s="132" t="s">
        <v>34</v>
      </c>
      <c r="M8" s="141">
        <v>79628185</v>
      </c>
      <c r="N8" s="131">
        <v>0.5</v>
      </c>
      <c r="O8" s="130"/>
      <c r="P8" s="132"/>
      <c r="Q8" s="132"/>
      <c r="R8" s="131"/>
      <c r="S8" s="195"/>
      <c r="T8" s="195"/>
      <c r="U8" s="195"/>
      <c r="V8" s="195"/>
      <c r="W8" s="195"/>
      <c r="X8" s="195"/>
      <c r="Y8" s="195"/>
      <c r="Z8" s="195"/>
      <c r="AA8" s="197"/>
      <c r="AH8" s="127" t="s">
        <v>51</v>
      </c>
    </row>
    <row r="9" spans="1:34" ht="20.25" customHeight="1" x14ac:dyDescent="0.3">
      <c r="A9" s="74">
        <v>4</v>
      </c>
      <c r="B9" s="151" t="s">
        <v>52</v>
      </c>
      <c r="C9" s="74" t="s">
        <v>53</v>
      </c>
      <c r="D9" s="139">
        <v>79324622</v>
      </c>
      <c r="E9" s="74" t="s">
        <v>47</v>
      </c>
      <c r="F9" s="130">
        <v>1</v>
      </c>
      <c r="G9" s="130" t="s">
        <v>52</v>
      </c>
      <c r="H9" s="132" t="s">
        <v>54</v>
      </c>
      <c r="I9" s="132" t="s">
        <v>55</v>
      </c>
      <c r="J9" s="131">
        <v>1</v>
      </c>
      <c r="K9" s="130"/>
      <c r="L9" s="132"/>
      <c r="M9" s="132"/>
      <c r="N9" s="131"/>
      <c r="O9" s="130"/>
      <c r="P9" s="132"/>
      <c r="Q9" s="132"/>
      <c r="R9" s="131"/>
      <c r="S9" s="195"/>
      <c r="T9" s="195"/>
      <c r="U9" s="195"/>
      <c r="V9" s="195"/>
      <c r="W9" s="195"/>
      <c r="X9" s="195"/>
      <c r="Y9" s="195"/>
      <c r="Z9" s="195"/>
      <c r="AA9" s="197"/>
      <c r="AH9" s="127" t="s">
        <v>47</v>
      </c>
    </row>
    <row r="10" spans="1:34" ht="30.75" customHeight="1" x14ac:dyDescent="0.3">
      <c r="A10" s="74">
        <v>5</v>
      </c>
      <c r="B10" s="74" t="s">
        <v>56</v>
      </c>
      <c r="C10" s="74" t="s">
        <v>57</v>
      </c>
      <c r="D10" s="139">
        <v>1016022904</v>
      </c>
      <c r="E10" s="74" t="s">
        <v>41</v>
      </c>
      <c r="F10" s="130">
        <v>2</v>
      </c>
      <c r="G10" s="130" t="s">
        <v>58</v>
      </c>
      <c r="H10" s="132" t="s">
        <v>54</v>
      </c>
      <c r="I10" s="132" t="s">
        <v>59</v>
      </c>
      <c r="J10" s="131">
        <v>0.85</v>
      </c>
      <c r="K10" s="140" t="s">
        <v>60</v>
      </c>
      <c r="L10" s="132" t="s">
        <v>54</v>
      </c>
      <c r="M10" s="132" t="s">
        <v>61</v>
      </c>
      <c r="N10" s="131">
        <v>0.15</v>
      </c>
      <c r="O10" s="130"/>
      <c r="P10" s="132"/>
      <c r="Q10" s="132"/>
      <c r="R10" s="131"/>
      <c r="S10" s="195"/>
      <c r="T10" s="195"/>
      <c r="U10" s="195"/>
      <c r="V10" s="195"/>
      <c r="W10" s="195"/>
      <c r="X10" s="195"/>
      <c r="Y10" s="195"/>
      <c r="Z10" s="195"/>
      <c r="AA10" s="197"/>
      <c r="AH10" s="127" t="s">
        <v>41</v>
      </c>
    </row>
    <row r="11" spans="1:34" ht="28.8" x14ac:dyDescent="0.3">
      <c r="A11" s="74">
        <v>6</v>
      </c>
      <c r="B11" s="74" t="s">
        <v>62</v>
      </c>
      <c r="C11" s="74" t="s">
        <v>63</v>
      </c>
      <c r="D11" s="139">
        <v>72287632</v>
      </c>
      <c r="E11" s="74" t="s">
        <v>64</v>
      </c>
      <c r="F11" s="130">
        <v>2</v>
      </c>
      <c r="G11" s="140" t="s">
        <v>65</v>
      </c>
      <c r="H11" s="132" t="s">
        <v>54</v>
      </c>
      <c r="I11" s="132" t="s">
        <v>66</v>
      </c>
      <c r="J11" s="131">
        <v>0.95</v>
      </c>
      <c r="K11" s="130" t="s">
        <v>67</v>
      </c>
      <c r="L11" s="132" t="s">
        <v>54</v>
      </c>
      <c r="M11" s="132" t="s">
        <v>68</v>
      </c>
      <c r="N11" s="131">
        <v>0.05</v>
      </c>
      <c r="O11" s="130"/>
      <c r="P11" s="132"/>
      <c r="Q11" s="132"/>
      <c r="R11" s="131"/>
      <c r="S11" s="195"/>
      <c r="T11" s="195"/>
      <c r="U11" s="195"/>
      <c r="V11" s="195"/>
      <c r="W11" s="195"/>
      <c r="X11" s="195"/>
      <c r="Y11" s="195"/>
      <c r="Z11" s="195"/>
      <c r="AA11" s="197"/>
      <c r="AH11" s="127" t="s">
        <v>64</v>
      </c>
    </row>
    <row r="12" spans="1:34" ht="20.25" customHeight="1" x14ac:dyDescent="0.3">
      <c r="A12" s="74">
        <v>7</v>
      </c>
      <c r="B12" s="151" t="s">
        <v>69</v>
      </c>
      <c r="C12" s="98" t="s">
        <v>70</v>
      </c>
      <c r="D12" s="139">
        <v>79450592</v>
      </c>
      <c r="E12" s="74" t="s">
        <v>41</v>
      </c>
      <c r="F12" s="130">
        <v>3</v>
      </c>
      <c r="G12" s="130" t="s">
        <v>71</v>
      </c>
      <c r="H12" s="132" t="s">
        <v>34</v>
      </c>
      <c r="I12" s="132">
        <v>79453948</v>
      </c>
      <c r="J12" s="131">
        <v>0.2</v>
      </c>
      <c r="K12" s="130" t="s">
        <v>72</v>
      </c>
      <c r="L12" s="132" t="s">
        <v>34</v>
      </c>
      <c r="M12" s="141">
        <v>79450592</v>
      </c>
      <c r="N12" s="131">
        <v>0.4</v>
      </c>
      <c r="O12" s="130" t="s">
        <v>73</v>
      </c>
      <c r="P12" s="132" t="s">
        <v>54</v>
      </c>
      <c r="Q12" s="132" t="s">
        <v>74</v>
      </c>
      <c r="R12" s="131">
        <v>0.4</v>
      </c>
      <c r="S12" s="195"/>
      <c r="T12" s="195"/>
      <c r="U12" s="195"/>
      <c r="V12" s="195"/>
      <c r="W12" s="195"/>
      <c r="X12" s="195"/>
      <c r="Y12" s="195"/>
      <c r="Z12" s="195"/>
      <c r="AA12" s="198"/>
    </row>
    <row r="13" spans="1:34" ht="20.25" customHeight="1" x14ac:dyDescent="0.3">
      <c r="A13" s="74">
        <v>8</v>
      </c>
      <c r="B13" s="74" t="s">
        <v>75</v>
      </c>
      <c r="C13" s="74" t="s">
        <v>76</v>
      </c>
      <c r="D13" s="139">
        <v>79655971</v>
      </c>
      <c r="E13" s="74" t="s">
        <v>41</v>
      </c>
      <c r="F13" s="130">
        <v>2</v>
      </c>
      <c r="G13" s="140" t="s">
        <v>77</v>
      </c>
      <c r="H13" s="132" t="s">
        <v>54</v>
      </c>
      <c r="I13" s="132"/>
      <c r="J13" s="131">
        <v>0.5</v>
      </c>
      <c r="K13" s="130" t="s">
        <v>78</v>
      </c>
      <c r="L13" s="132" t="s">
        <v>54</v>
      </c>
      <c r="M13" s="132"/>
      <c r="N13" s="131">
        <v>0.5</v>
      </c>
      <c r="O13" s="130"/>
      <c r="P13" s="132"/>
      <c r="Q13" s="132"/>
      <c r="R13" s="131"/>
      <c r="S13" s="195"/>
      <c r="T13" s="195"/>
      <c r="U13" s="195"/>
      <c r="V13" s="195"/>
      <c r="W13" s="195"/>
      <c r="X13" s="195"/>
      <c r="Y13" s="195"/>
      <c r="Z13" s="195"/>
      <c r="AA13" s="197"/>
    </row>
    <row r="14" spans="1:34" ht="20.25" customHeight="1" x14ac:dyDescent="0.3">
      <c r="A14" s="74">
        <v>9</v>
      </c>
      <c r="B14" s="74" t="s">
        <v>79</v>
      </c>
      <c r="C14" s="74" t="s">
        <v>80</v>
      </c>
      <c r="D14" s="139">
        <v>1136887818</v>
      </c>
      <c r="E14" s="74" t="s">
        <v>64</v>
      </c>
      <c r="F14" s="130">
        <v>3</v>
      </c>
      <c r="G14" s="140" t="s">
        <v>81</v>
      </c>
      <c r="H14" s="132" t="s">
        <v>54</v>
      </c>
      <c r="I14" s="132" t="s">
        <v>82</v>
      </c>
      <c r="J14" s="131">
        <v>0.5</v>
      </c>
      <c r="K14" s="140" t="s">
        <v>83</v>
      </c>
      <c r="L14" s="132" t="s">
        <v>54</v>
      </c>
      <c r="M14" s="132" t="s">
        <v>84</v>
      </c>
      <c r="N14" s="131">
        <v>0.4</v>
      </c>
      <c r="O14" s="140" t="s">
        <v>85</v>
      </c>
      <c r="P14" s="132" t="s">
        <v>34</v>
      </c>
      <c r="Q14" s="141">
        <v>5902425</v>
      </c>
      <c r="R14" s="131">
        <v>0.1</v>
      </c>
      <c r="S14" s="195"/>
      <c r="T14" s="195"/>
      <c r="U14" s="195"/>
      <c r="V14" s="195"/>
      <c r="W14" s="195"/>
      <c r="X14" s="195"/>
      <c r="Y14" s="195"/>
      <c r="Z14" s="195"/>
      <c r="AA14" s="197"/>
      <c r="AH14" s="127" t="s">
        <v>34</v>
      </c>
    </row>
    <row r="15" spans="1:34" ht="20.25" customHeight="1" x14ac:dyDescent="0.3">
      <c r="A15" s="74">
        <v>10</v>
      </c>
      <c r="B15" s="74" t="s">
        <v>86</v>
      </c>
      <c r="C15" s="74" t="s">
        <v>87</v>
      </c>
      <c r="D15" s="139">
        <v>84034926</v>
      </c>
      <c r="E15" s="74" t="s">
        <v>47</v>
      </c>
      <c r="F15" s="130">
        <v>1</v>
      </c>
      <c r="G15" s="74" t="s">
        <v>86</v>
      </c>
      <c r="H15" s="132" t="s">
        <v>54</v>
      </c>
      <c r="I15" s="132"/>
      <c r="J15" s="131"/>
      <c r="K15" s="130"/>
      <c r="L15" s="132"/>
      <c r="M15" s="132"/>
      <c r="N15" s="131"/>
      <c r="O15" s="130"/>
      <c r="P15" s="132"/>
      <c r="Q15" s="132"/>
      <c r="R15" s="131"/>
      <c r="S15" s="195"/>
      <c r="T15" s="195"/>
      <c r="U15" s="195"/>
      <c r="V15" s="195"/>
      <c r="W15" s="195"/>
      <c r="X15" s="195"/>
      <c r="Y15" s="195"/>
      <c r="Z15" s="195"/>
      <c r="AA15" s="197"/>
      <c r="AH15" s="127" t="s">
        <v>54</v>
      </c>
    </row>
    <row r="16" spans="1:34" ht="20.25" customHeight="1" x14ac:dyDescent="0.3">
      <c r="A16" s="74">
        <v>11</v>
      </c>
      <c r="B16" s="74" t="s">
        <v>88</v>
      </c>
      <c r="C16" s="74" t="s">
        <v>89</v>
      </c>
      <c r="D16" s="139">
        <v>51668059</v>
      </c>
      <c r="E16" s="74" t="s">
        <v>64</v>
      </c>
      <c r="F16" s="130">
        <v>2</v>
      </c>
      <c r="G16" s="130" t="s">
        <v>90</v>
      </c>
      <c r="H16" s="132" t="s">
        <v>54</v>
      </c>
      <c r="I16" s="141" t="s">
        <v>91</v>
      </c>
      <c r="J16" s="131">
        <v>0.5</v>
      </c>
      <c r="K16" s="130" t="s">
        <v>92</v>
      </c>
      <c r="L16" s="132" t="s">
        <v>54</v>
      </c>
      <c r="M16" s="132" t="s">
        <v>93</v>
      </c>
      <c r="N16" s="131">
        <v>0.5</v>
      </c>
      <c r="O16" s="130"/>
      <c r="P16" s="132"/>
      <c r="Q16" s="132"/>
      <c r="R16" s="131"/>
      <c r="S16" s="195"/>
      <c r="T16" s="195"/>
      <c r="U16" s="195"/>
      <c r="V16" s="195"/>
      <c r="W16" s="195"/>
      <c r="X16" s="195"/>
      <c r="Y16" s="195"/>
      <c r="Z16" s="195"/>
      <c r="AA16" s="197"/>
    </row>
    <row r="17" spans="1:34" ht="20.25" customHeight="1" x14ac:dyDescent="0.3">
      <c r="A17" s="74">
        <v>12</v>
      </c>
      <c r="B17" s="74" t="s">
        <v>94</v>
      </c>
      <c r="C17" s="74" t="s">
        <v>95</v>
      </c>
      <c r="D17" s="139" t="s">
        <v>96</v>
      </c>
      <c r="E17" s="74" t="s">
        <v>41</v>
      </c>
      <c r="F17" s="130">
        <v>2</v>
      </c>
      <c r="G17" s="130" t="s">
        <v>97</v>
      </c>
      <c r="H17" s="132" t="s">
        <v>54</v>
      </c>
      <c r="I17" s="132" t="s">
        <v>98</v>
      </c>
      <c r="J17" s="131">
        <v>0.95</v>
      </c>
      <c r="K17" s="130" t="s">
        <v>99</v>
      </c>
      <c r="L17" s="132" t="s">
        <v>54</v>
      </c>
      <c r="M17" s="132" t="s">
        <v>100</v>
      </c>
      <c r="N17" s="131">
        <v>0.05</v>
      </c>
      <c r="O17" s="130"/>
      <c r="P17" s="132"/>
      <c r="Q17" s="132"/>
      <c r="R17" s="131"/>
      <c r="S17" s="195"/>
      <c r="T17" s="195"/>
      <c r="U17" s="195"/>
      <c r="V17" s="195"/>
      <c r="W17" s="195"/>
      <c r="X17" s="195"/>
      <c r="Y17" s="195"/>
      <c r="Z17" s="195"/>
      <c r="AA17" s="197"/>
    </row>
    <row r="18" spans="1:34" ht="39.9" customHeight="1" x14ac:dyDescent="0.3">
      <c r="A18" s="74">
        <v>13</v>
      </c>
      <c r="B18" s="74" t="s">
        <v>101</v>
      </c>
      <c r="C18" s="74" t="s">
        <v>102</v>
      </c>
      <c r="D18" s="139">
        <v>79316195</v>
      </c>
      <c r="E18" s="74" t="s">
        <v>41</v>
      </c>
      <c r="F18" s="130">
        <v>2</v>
      </c>
      <c r="G18" s="140" t="s">
        <v>103</v>
      </c>
      <c r="H18" s="132" t="s">
        <v>54</v>
      </c>
      <c r="I18" s="132" t="s">
        <v>104</v>
      </c>
      <c r="J18" s="131">
        <v>0.95</v>
      </c>
      <c r="K18" s="130" t="s">
        <v>105</v>
      </c>
      <c r="L18" s="132" t="s">
        <v>34</v>
      </c>
      <c r="M18" s="141">
        <v>51872330</v>
      </c>
      <c r="N18" s="131">
        <v>0.05</v>
      </c>
      <c r="O18" s="130"/>
      <c r="P18" s="132"/>
      <c r="Q18" s="132"/>
      <c r="R18" s="131"/>
      <c r="S18" s="195"/>
      <c r="T18" s="195"/>
      <c r="U18" s="195"/>
      <c r="V18" s="195"/>
      <c r="W18" s="195"/>
      <c r="X18" s="195"/>
      <c r="Y18" s="195"/>
      <c r="Z18" s="195"/>
      <c r="AA18" s="197"/>
      <c r="AH18" s="127">
        <v>1</v>
      </c>
    </row>
    <row r="19" spans="1:34" ht="20.25" customHeight="1" x14ac:dyDescent="0.3">
      <c r="A19" s="74">
        <v>14</v>
      </c>
      <c r="B19" s="74" t="s">
        <v>106</v>
      </c>
      <c r="C19" s="74" t="s">
        <v>107</v>
      </c>
      <c r="D19" s="139">
        <v>79683679</v>
      </c>
      <c r="E19" s="74" t="s">
        <v>47</v>
      </c>
      <c r="F19" s="130">
        <v>1</v>
      </c>
      <c r="G19" s="130" t="s">
        <v>106</v>
      </c>
      <c r="H19" s="132" t="s">
        <v>54</v>
      </c>
      <c r="I19" s="141" t="s">
        <v>108</v>
      </c>
      <c r="J19" s="131">
        <v>1</v>
      </c>
      <c r="K19" s="130"/>
      <c r="L19" s="132"/>
      <c r="M19" s="141"/>
      <c r="N19" s="131"/>
      <c r="O19" s="130"/>
      <c r="P19" s="132"/>
      <c r="Q19" s="132"/>
      <c r="R19" s="131"/>
      <c r="S19" s="195"/>
      <c r="T19" s="195"/>
      <c r="U19" s="195"/>
      <c r="V19" s="195"/>
      <c r="W19" s="195"/>
      <c r="X19" s="195"/>
      <c r="Y19" s="195"/>
      <c r="Z19" s="195"/>
      <c r="AA19" s="197"/>
      <c r="AH19" s="127">
        <v>2</v>
      </c>
    </row>
    <row r="20" spans="1:34" ht="20.25" customHeight="1" x14ac:dyDescent="0.3">
      <c r="A20" s="74">
        <v>15</v>
      </c>
      <c r="B20" s="74" t="s">
        <v>109</v>
      </c>
      <c r="C20" s="74" t="s">
        <v>110</v>
      </c>
      <c r="D20" s="139">
        <v>19265723</v>
      </c>
      <c r="E20" s="74" t="s">
        <v>47</v>
      </c>
      <c r="F20" s="130">
        <v>1</v>
      </c>
      <c r="G20" s="74" t="s">
        <v>109</v>
      </c>
      <c r="H20" s="132" t="s">
        <v>54</v>
      </c>
      <c r="I20" s="132" t="s">
        <v>111</v>
      </c>
      <c r="J20" s="131">
        <v>1</v>
      </c>
      <c r="K20" s="130"/>
      <c r="L20" s="132"/>
      <c r="M20" s="132"/>
      <c r="N20" s="131"/>
      <c r="O20" s="130"/>
      <c r="P20" s="132"/>
      <c r="Q20" s="132"/>
      <c r="R20" s="131"/>
      <c r="S20" s="195"/>
      <c r="T20" s="195"/>
      <c r="U20" s="195"/>
      <c r="V20" s="195"/>
      <c r="W20" s="195"/>
      <c r="X20" s="195"/>
      <c r="Y20" s="195"/>
      <c r="Z20" s="195"/>
      <c r="AA20" s="197"/>
      <c r="AH20" s="127">
        <v>3</v>
      </c>
    </row>
    <row r="21" spans="1:34" ht="20.25" customHeight="1" x14ac:dyDescent="0.3">
      <c r="A21" s="74">
        <v>16</v>
      </c>
      <c r="B21" s="74" t="s">
        <v>112</v>
      </c>
      <c r="C21" s="74" t="s">
        <v>113</v>
      </c>
      <c r="D21" s="139">
        <v>79952890</v>
      </c>
      <c r="E21" s="74" t="s">
        <v>47</v>
      </c>
      <c r="F21" s="130">
        <v>1</v>
      </c>
      <c r="G21" s="74" t="s">
        <v>112</v>
      </c>
      <c r="H21" s="132" t="s">
        <v>54</v>
      </c>
      <c r="I21" s="132" t="s">
        <v>114</v>
      </c>
      <c r="J21" s="131">
        <v>1</v>
      </c>
      <c r="K21" s="130"/>
      <c r="L21" s="132"/>
      <c r="M21" s="132"/>
      <c r="N21" s="131"/>
      <c r="O21" s="130"/>
      <c r="P21" s="132"/>
      <c r="Q21" s="132"/>
      <c r="R21" s="131"/>
      <c r="S21" s="195"/>
      <c r="T21" s="195"/>
      <c r="U21" s="195"/>
      <c r="V21" s="195"/>
      <c r="W21" s="195"/>
      <c r="X21" s="195"/>
      <c r="Y21" s="195"/>
      <c r="Z21" s="195"/>
      <c r="AA21" s="197"/>
      <c r="AH21" s="127">
        <v>4</v>
      </c>
    </row>
    <row r="22" spans="1:34" ht="20.25" customHeight="1" x14ac:dyDescent="0.3">
      <c r="A22" s="74">
        <v>17</v>
      </c>
      <c r="B22" s="151" t="s">
        <v>115</v>
      </c>
      <c r="C22" s="74" t="s">
        <v>116</v>
      </c>
      <c r="D22" s="139">
        <v>79554874</v>
      </c>
      <c r="E22" s="74" t="s">
        <v>47</v>
      </c>
      <c r="F22" s="130">
        <v>1</v>
      </c>
      <c r="G22" s="130" t="s">
        <v>115</v>
      </c>
      <c r="H22" s="132" t="s">
        <v>54</v>
      </c>
      <c r="I22" s="141" t="s">
        <v>117</v>
      </c>
      <c r="J22" s="131">
        <v>1</v>
      </c>
      <c r="K22" s="130"/>
      <c r="L22" s="132"/>
      <c r="M22" s="132"/>
      <c r="N22" s="131"/>
      <c r="O22" s="130"/>
      <c r="P22" s="132"/>
      <c r="Q22" s="132"/>
      <c r="R22" s="131"/>
      <c r="S22" s="195"/>
      <c r="T22" s="195"/>
      <c r="U22" s="195"/>
      <c r="V22" s="195"/>
      <c r="W22" s="195"/>
      <c r="X22" s="195"/>
      <c r="Y22" s="195"/>
      <c r="Z22" s="195"/>
      <c r="AA22" s="198"/>
    </row>
    <row r="23" spans="1:34" x14ac:dyDescent="0.3">
      <c r="A23" s="74">
        <v>18</v>
      </c>
      <c r="B23" s="123" t="s">
        <v>118</v>
      </c>
      <c r="C23" s="74" t="s">
        <v>119</v>
      </c>
      <c r="D23" s="139">
        <v>88229538</v>
      </c>
      <c r="E23" s="74" t="s">
        <v>41</v>
      </c>
      <c r="F23" s="130">
        <v>2</v>
      </c>
      <c r="G23" s="130" t="s">
        <v>120</v>
      </c>
      <c r="H23" s="132" t="s">
        <v>54</v>
      </c>
      <c r="I23" s="132" t="s">
        <v>121</v>
      </c>
      <c r="J23" s="131">
        <v>0.5</v>
      </c>
      <c r="K23" s="130" t="s">
        <v>122</v>
      </c>
      <c r="L23" s="132" t="s">
        <v>54</v>
      </c>
      <c r="M23" s="132" t="s">
        <v>123</v>
      </c>
      <c r="N23" s="131">
        <v>0.5</v>
      </c>
      <c r="O23" s="130"/>
      <c r="P23" s="132"/>
      <c r="Q23" s="132"/>
      <c r="R23" s="131"/>
      <c r="S23" s="195"/>
      <c r="T23" s="195"/>
      <c r="U23" s="195"/>
      <c r="V23" s="195"/>
      <c r="W23" s="195"/>
      <c r="X23" s="195"/>
      <c r="Y23" s="195"/>
      <c r="Z23" s="195"/>
      <c r="AA23" s="197"/>
    </row>
    <row r="24" spans="1:34" ht="20.25" customHeight="1" x14ac:dyDescent="0.3">
      <c r="A24" s="74">
        <v>19</v>
      </c>
      <c r="B24" s="74" t="s">
        <v>124</v>
      </c>
      <c r="C24" s="74" t="s">
        <v>125</v>
      </c>
      <c r="D24" s="139">
        <v>1094242781</v>
      </c>
      <c r="E24" s="74" t="s">
        <v>47</v>
      </c>
      <c r="F24" s="130">
        <v>1</v>
      </c>
      <c r="G24" s="74" t="s">
        <v>124</v>
      </c>
      <c r="H24" s="132" t="s">
        <v>54</v>
      </c>
      <c r="I24" s="132" t="s">
        <v>126</v>
      </c>
      <c r="J24" s="131">
        <v>1</v>
      </c>
      <c r="K24" s="130"/>
      <c r="L24" s="132"/>
      <c r="M24" s="132"/>
      <c r="N24" s="131"/>
      <c r="O24" s="130"/>
      <c r="P24" s="132"/>
      <c r="Q24" s="132"/>
      <c r="R24" s="131"/>
      <c r="S24" s="195"/>
      <c r="T24" s="195"/>
      <c r="U24" s="195"/>
      <c r="V24" s="195"/>
      <c r="W24" s="195"/>
      <c r="X24" s="195"/>
      <c r="Y24" s="195"/>
      <c r="Z24" s="195"/>
      <c r="AA24" s="197"/>
    </row>
    <row r="25" spans="1:34" ht="20.25" customHeight="1" x14ac:dyDescent="0.3">
      <c r="A25" s="74">
        <v>20</v>
      </c>
      <c r="B25" s="74" t="s">
        <v>127</v>
      </c>
      <c r="C25" s="74" t="s">
        <v>128</v>
      </c>
      <c r="D25" s="139">
        <v>63553781</v>
      </c>
      <c r="E25" s="74" t="s">
        <v>47</v>
      </c>
      <c r="F25" s="130">
        <v>1</v>
      </c>
      <c r="G25" s="74" t="s">
        <v>127</v>
      </c>
      <c r="H25" s="132" t="s">
        <v>54</v>
      </c>
      <c r="I25" s="194" t="s">
        <v>129</v>
      </c>
      <c r="J25" s="131">
        <v>1</v>
      </c>
      <c r="K25" s="130"/>
      <c r="L25" s="132"/>
      <c r="M25" s="132"/>
      <c r="N25" s="131"/>
      <c r="O25" s="130"/>
      <c r="P25" s="132"/>
      <c r="Q25" s="132"/>
      <c r="R25" s="131"/>
      <c r="S25" s="195"/>
      <c r="T25" s="195"/>
      <c r="U25" s="195"/>
      <c r="V25" s="195"/>
      <c r="W25" s="195"/>
      <c r="X25" s="195"/>
      <c r="Y25" s="195"/>
      <c r="Z25" s="195"/>
      <c r="AA25" s="197"/>
    </row>
    <row r="26" spans="1:34" x14ac:dyDescent="0.3">
      <c r="A26" s="74">
        <v>21</v>
      </c>
      <c r="B26" s="74" t="s">
        <v>130</v>
      </c>
      <c r="C26" s="74" t="s">
        <v>130</v>
      </c>
      <c r="D26" s="139">
        <v>79508558</v>
      </c>
      <c r="E26" s="74" t="s">
        <v>51</v>
      </c>
      <c r="F26" s="130"/>
      <c r="G26" s="130"/>
      <c r="H26" s="132"/>
      <c r="I26" s="192"/>
      <c r="J26" s="193"/>
      <c r="K26" s="130"/>
      <c r="L26" s="132"/>
      <c r="M26" s="132"/>
      <c r="N26" s="131"/>
      <c r="O26" s="130"/>
      <c r="P26" s="132"/>
      <c r="Q26" s="132"/>
      <c r="R26" s="131"/>
      <c r="S26" s="195"/>
      <c r="T26" s="195"/>
      <c r="U26" s="195"/>
      <c r="V26" s="195"/>
      <c r="W26" s="195"/>
      <c r="X26" s="195"/>
      <c r="Y26" s="195"/>
      <c r="Z26" s="195"/>
      <c r="AA26" s="197"/>
    </row>
    <row r="27" spans="1:34" x14ac:dyDescent="0.3">
      <c r="A27" s="74">
        <v>22</v>
      </c>
      <c r="B27" s="74" t="s">
        <v>131</v>
      </c>
      <c r="C27" s="130" t="s">
        <v>132</v>
      </c>
      <c r="D27" s="139">
        <v>19335515</v>
      </c>
      <c r="E27" s="74" t="s">
        <v>47</v>
      </c>
      <c r="F27" s="130"/>
      <c r="G27" s="130"/>
      <c r="H27" s="132"/>
      <c r="I27" s="139"/>
      <c r="J27" s="193"/>
      <c r="K27" s="132"/>
      <c r="L27" s="132"/>
      <c r="M27" s="141"/>
      <c r="N27" s="131"/>
      <c r="O27" s="130"/>
      <c r="P27" s="132"/>
      <c r="Q27" s="141"/>
      <c r="R27" s="131"/>
      <c r="S27" s="130"/>
      <c r="T27" s="195"/>
      <c r="U27" s="141"/>
      <c r="V27" s="195"/>
      <c r="W27" s="130"/>
      <c r="X27" s="195" t="s">
        <v>133</v>
      </c>
      <c r="Y27" s="141">
        <v>1032478395</v>
      </c>
      <c r="Z27" s="195">
        <v>0.1</v>
      </c>
      <c r="AA27" s="197"/>
    </row>
    <row r="28" spans="1:34" ht="20.25" customHeight="1" x14ac:dyDescent="0.3">
      <c r="A28" s="74">
        <v>23</v>
      </c>
      <c r="B28" s="74" t="s">
        <v>134</v>
      </c>
      <c r="C28" s="74" t="s">
        <v>135</v>
      </c>
      <c r="D28" s="139">
        <v>369993</v>
      </c>
      <c r="E28" s="74" t="s">
        <v>41</v>
      </c>
      <c r="F28" s="130">
        <v>2</v>
      </c>
      <c r="G28" s="130" t="s">
        <v>136</v>
      </c>
      <c r="H28" s="132" t="s">
        <v>54</v>
      </c>
      <c r="I28" s="132" t="s">
        <v>137</v>
      </c>
      <c r="J28" s="131">
        <v>0.5</v>
      </c>
      <c r="K28" s="130" t="s">
        <v>138</v>
      </c>
      <c r="L28" s="132" t="s">
        <v>54</v>
      </c>
      <c r="M28" s="132" t="s">
        <v>139</v>
      </c>
      <c r="N28" s="131">
        <v>0.5</v>
      </c>
      <c r="O28" s="130"/>
      <c r="P28" s="132"/>
      <c r="Q28" s="132"/>
      <c r="R28" s="131"/>
      <c r="S28" s="195"/>
      <c r="T28" s="195"/>
      <c r="U28" s="195"/>
      <c r="V28" s="195"/>
      <c r="W28" s="195"/>
      <c r="X28" s="195"/>
      <c r="Y28" s="195"/>
      <c r="Z28" s="195"/>
      <c r="AA28" s="197"/>
    </row>
    <row r="29" spans="1:34" ht="20.25" customHeight="1" x14ac:dyDescent="0.3">
      <c r="A29" s="74">
        <v>24</v>
      </c>
      <c r="B29" s="74" t="s">
        <v>140</v>
      </c>
      <c r="C29" s="74" t="s">
        <v>141</v>
      </c>
      <c r="D29" s="139">
        <v>79638902</v>
      </c>
      <c r="E29" s="74" t="s">
        <v>47</v>
      </c>
      <c r="F29" s="130"/>
      <c r="G29" s="130"/>
      <c r="H29" s="132"/>
      <c r="I29" s="132"/>
      <c r="J29" s="131"/>
      <c r="K29" s="130"/>
      <c r="L29" s="132"/>
      <c r="M29" s="132"/>
      <c r="N29" s="131"/>
      <c r="O29" s="130"/>
      <c r="P29" s="132"/>
      <c r="Q29" s="132"/>
      <c r="R29" s="131"/>
      <c r="S29" s="195"/>
      <c r="T29" s="195"/>
      <c r="U29" s="195"/>
      <c r="V29" s="195"/>
      <c r="W29" s="195"/>
      <c r="X29" s="195"/>
      <c r="Y29" s="195"/>
      <c r="Z29" s="195"/>
      <c r="AA29" s="197"/>
    </row>
    <row r="30" spans="1:34" ht="20.25" customHeight="1" x14ac:dyDescent="0.3">
      <c r="A30" s="74">
        <v>25</v>
      </c>
      <c r="B30" s="74" t="s">
        <v>142</v>
      </c>
      <c r="C30" s="74" t="s">
        <v>143</v>
      </c>
      <c r="D30" s="139">
        <v>79274870</v>
      </c>
      <c r="E30" s="74" t="s">
        <v>41</v>
      </c>
      <c r="F30" s="130">
        <v>2</v>
      </c>
      <c r="G30" s="130" t="s">
        <v>144</v>
      </c>
      <c r="H30" s="132" t="s">
        <v>54</v>
      </c>
      <c r="I30" s="132" t="s">
        <v>145</v>
      </c>
      <c r="J30" s="131">
        <v>0.5</v>
      </c>
      <c r="K30" s="130" t="s">
        <v>146</v>
      </c>
      <c r="L30" s="132" t="s">
        <v>54</v>
      </c>
      <c r="M30" s="132" t="s">
        <v>147</v>
      </c>
      <c r="N30" s="131"/>
      <c r="O30" s="130"/>
      <c r="P30" s="132"/>
      <c r="Q30" s="132"/>
      <c r="R30" s="131"/>
      <c r="S30" s="195"/>
      <c r="T30" s="195"/>
      <c r="U30" s="195"/>
      <c r="V30" s="195"/>
      <c r="W30" s="195"/>
      <c r="X30" s="195"/>
      <c r="Y30" s="195"/>
      <c r="Z30" s="195"/>
      <c r="AA30" s="197"/>
    </row>
    <row r="31" spans="1:34" ht="20.25" customHeight="1" x14ac:dyDescent="0.3">
      <c r="A31" s="74">
        <v>26</v>
      </c>
      <c r="B31" s="74" t="s">
        <v>148</v>
      </c>
      <c r="C31" s="74" t="s">
        <v>149</v>
      </c>
      <c r="D31" s="139">
        <v>46644261</v>
      </c>
      <c r="E31" s="74" t="s">
        <v>47</v>
      </c>
      <c r="F31" s="130"/>
      <c r="G31" s="130"/>
      <c r="H31" s="132"/>
      <c r="I31" s="132"/>
      <c r="J31" s="131"/>
      <c r="K31" s="130"/>
      <c r="L31" s="132"/>
      <c r="M31" s="132"/>
      <c r="N31" s="131"/>
      <c r="O31" s="130"/>
      <c r="P31" s="132"/>
      <c r="Q31" s="141"/>
      <c r="R31" s="131"/>
      <c r="S31" s="195"/>
      <c r="T31" s="195"/>
      <c r="U31" s="195"/>
      <c r="V31" s="195"/>
      <c r="W31" s="195"/>
      <c r="X31" s="195"/>
      <c r="Y31" s="195"/>
      <c r="Z31" s="195"/>
      <c r="AA31" s="199"/>
    </row>
    <row r="32" spans="1:34" ht="20.25" customHeight="1" x14ac:dyDescent="0.3">
      <c r="A32" s="74">
        <v>27</v>
      </c>
      <c r="B32" s="123" t="s">
        <v>150</v>
      </c>
      <c r="C32" s="74" t="s">
        <v>151</v>
      </c>
      <c r="D32" s="139">
        <v>53177290</v>
      </c>
      <c r="E32" s="265" t="s">
        <v>41</v>
      </c>
      <c r="F32" s="130"/>
      <c r="G32" s="130"/>
      <c r="H32" s="132"/>
      <c r="I32" s="141"/>
      <c r="J32" s="131"/>
      <c r="K32" s="130"/>
      <c r="L32" s="132"/>
      <c r="M32" s="141"/>
      <c r="N32" s="131"/>
      <c r="O32" s="74"/>
      <c r="P32" s="132"/>
      <c r="Q32" s="132"/>
      <c r="R32" s="131"/>
      <c r="S32" s="195"/>
      <c r="T32" s="195"/>
      <c r="U32" s="195"/>
      <c r="V32" s="195"/>
      <c r="W32" s="195"/>
      <c r="X32" s="195"/>
      <c r="Y32" s="195"/>
      <c r="Z32" s="195"/>
      <c r="AA32" s="199"/>
    </row>
    <row r="33" spans="1:27" ht="20.25" customHeight="1" x14ac:dyDescent="0.3">
      <c r="A33" s="74">
        <v>28</v>
      </c>
      <c r="B33" s="74" t="s">
        <v>152</v>
      </c>
      <c r="C33" s="74" t="s">
        <v>152</v>
      </c>
      <c r="D33" s="139">
        <v>8798107</v>
      </c>
      <c r="E33" s="74" t="s">
        <v>51</v>
      </c>
      <c r="F33" s="130"/>
      <c r="G33" s="130"/>
      <c r="H33" s="132"/>
      <c r="I33" s="132"/>
      <c r="J33" s="131"/>
      <c r="K33" s="130"/>
      <c r="L33" s="132"/>
      <c r="M33" s="141"/>
      <c r="N33" s="131"/>
      <c r="O33" s="130"/>
      <c r="P33" s="132"/>
      <c r="Q33" s="132"/>
      <c r="R33" s="131"/>
      <c r="S33" s="195"/>
      <c r="T33" s="195"/>
      <c r="U33" s="195"/>
      <c r="V33" s="195"/>
      <c r="W33" s="195"/>
      <c r="X33" s="195"/>
      <c r="Y33" s="195"/>
      <c r="Z33" s="195"/>
      <c r="AA33" s="199"/>
    </row>
    <row r="34" spans="1:27" ht="20.25" customHeight="1" x14ac:dyDescent="0.3">
      <c r="A34" s="74">
        <v>29</v>
      </c>
      <c r="B34" s="123" t="s">
        <v>153</v>
      </c>
      <c r="C34" s="74" t="s">
        <v>154</v>
      </c>
      <c r="D34" s="139">
        <v>79451764</v>
      </c>
      <c r="E34" s="74" t="s">
        <v>41</v>
      </c>
      <c r="F34" s="130">
        <v>2</v>
      </c>
      <c r="G34" s="130" t="s">
        <v>155</v>
      </c>
      <c r="H34" s="132" t="s">
        <v>54</v>
      </c>
      <c r="I34" s="141" t="s">
        <v>156</v>
      </c>
      <c r="J34" s="131">
        <v>0.95</v>
      </c>
      <c r="K34" s="130" t="s">
        <v>157</v>
      </c>
      <c r="L34" s="132" t="s">
        <v>54</v>
      </c>
      <c r="M34" s="132" t="s">
        <v>158</v>
      </c>
      <c r="N34" s="131">
        <v>0.05</v>
      </c>
      <c r="O34" s="130"/>
      <c r="P34" s="132"/>
      <c r="Q34" s="132"/>
      <c r="R34" s="131"/>
      <c r="S34" s="195"/>
      <c r="T34" s="195"/>
      <c r="U34" s="195"/>
      <c r="V34" s="195"/>
      <c r="W34" s="195"/>
      <c r="X34" s="195"/>
      <c r="Y34" s="195"/>
      <c r="Z34" s="195"/>
      <c r="AA34" s="199"/>
    </row>
    <row r="35" spans="1:27" ht="20.25" customHeight="1" x14ac:dyDescent="0.3">
      <c r="A35" s="74">
        <v>30</v>
      </c>
      <c r="B35" s="74" t="s">
        <v>159</v>
      </c>
      <c r="C35" s="130" t="s">
        <v>160</v>
      </c>
      <c r="D35" s="139">
        <v>16077530</v>
      </c>
      <c r="E35" s="74" t="s">
        <v>41</v>
      </c>
      <c r="F35" s="130">
        <v>2</v>
      </c>
      <c r="G35" s="130" t="s">
        <v>161</v>
      </c>
      <c r="H35" s="132" t="s">
        <v>54</v>
      </c>
      <c r="I35" s="139" t="s">
        <v>162</v>
      </c>
      <c r="J35" s="131">
        <v>0.5</v>
      </c>
      <c r="K35" s="130" t="s">
        <v>163</v>
      </c>
      <c r="L35" s="132" t="s">
        <v>54</v>
      </c>
      <c r="M35" s="141" t="s">
        <v>164</v>
      </c>
      <c r="N35" s="131">
        <v>0.5</v>
      </c>
      <c r="O35" s="130"/>
      <c r="P35" s="132"/>
      <c r="Q35" s="132"/>
      <c r="R35" s="131"/>
      <c r="S35" s="195"/>
      <c r="T35" s="195"/>
      <c r="U35" s="195"/>
      <c r="V35" s="195"/>
      <c r="W35" s="195"/>
      <c r="X35" s="195"/>
      <c r="Y35" s="195"/>
      <c r="Z35" s="195"/>
      <c r="AA35" s="199"/>
    </row>
    <row r="36" spans="1:27" ht="20.25" customHeight="1" x14ac:dyDescent="0.3">
      <c r="A36" s="74">
        <v>31</v>
      </c>
      <c r="B36" s="123" t="s">
        <v>165</v>
      </c>
      <c r="C36" s="74" t="s">
        <v>166</v>
      </c>
      <c r="D36" s="139">
        <v>79792527</v>
      </c>
      <c r="E36" s="74" t="s">
        <v>41</v>
      </c>
      <c r="F36" s="130">
        <v>2</v>
      </c>
      <c r="G36" s="130" t="s">
        <v>167</v>
      </c>
      <c r="H36" s="132" t="s">
        <v>34</v>
      </c>
      <c r="I36" s="141">
        <v>19342296</v>
      </c>
      <c r="J36" s="131">
        <v>0.95</v>
      </c>
      <c r="K36" s="130" t="s">
        <v>168</v>
      </c>
      <c r="L36" s="132" t="s">
        <v>54</v>
      </c>
      <c r="M36" s="132" t="s">
        <v>169</v>
      </c>
      <c r="N36" s="131"/>
      <c r="O36" s="130"/>
      <c r="P36" s="132"/>
      <c r="Q36" s="141"/>
      <c r="R36" s="131"/>
      <c r="S36" s="195"/>
      <c r="T36" s="195"/>
      <c r="U36" s="195"/>
      <c r="V36" s="195"/>
      <c r="W36" s="195"/>
      <c r="X36" s="195"/>
      <c r="Y36" s="195"/>
      <c r="Z36" s="195"/>
      <c r="AA36" s="199"/>
    </row>
    <row r="37" spans="1:27" ht="20.25" customHeight="1" x14ac:dyDescent="0.3">
      <c r="A37" s="74">
        <v>32</v>
      </c>
      <c r="B37" s="74" t="s">
        <v>170</v>
      </c>
      <c r="C37" s="74" t="s">
        <v>171</v>
      </c>
      <c r="D37" s="139">
        <v>1098697084</v>
      </c>
      <c r="E37" s="74" t="s">
        <v>41</v>
      </c>
      <c r="F37" s="130">
        <v>2</v>
      </c>
      <c r="G37" s="130" t="s">
        <v>172</v>
      </c>
      <c r="H37" s="132" t="s">
        <v>54</v>
      </c>
      <c r="I37" s="132" t="s">
        <v>173</v>
      </c>
      <c r="J37" s="131">
        <v>0.95</v>
      </c>
      <c r="K37" s="140" t="s">
        <v>174</v>
      </c>
      <c r="L37" s="132" t="s">
        <v>54</v>
      </c>
      <c r="M37" s="132" t="s">
        <v>175</v>
      </c>
      <c r="N37" s="131">
        <v>0.05</v>
      </c>
      <c r="O37" s="130"/>
      <c r="P37" s="132"/>
      <c r="Q37" s="132"/>
      <c r="R37" s="131"/>
      <c r="S37" s="195"/>
      <c r="T37" s="195"/>
      <c r="U37" s="195"/>
      <c r="V37" s="195"/>
      <c r="W37" s="195"/>
      <c r="X37" s="195"/>
      <c r="Y37" s="195"/>
      <c r="Z37" s="195"/>
      <c r="AA37" s="199"/>
    </row>
    <row r="38" spans="1:27" ht="20.25" customHeight="1" x14ac:dyDescent="0.3">
      <c r="A38" s="74">
        <v>33</v>
      </c>
      <c r="B38" s="74" t="s">
        <v>176</v>
      </c>
      <c r="C38" s="74" t="s">
        <v>177</v>
      </c>
      <c r="D38" s="139">
        <v>91232278</v>
      </c>
      <c r="E38" s="74" t="s">
        <v>41</v>
      </c>
      <c r="F38" s="130">
        <v>2</v>
      </c>
      <c r="G38" s="130" t="s">
        <v>178</v>
      </c>
      <c r="H38" s="132" t="s">
        <v>54</v>
      </c>
      <c r="I38" s="132" t="s">
        <v>179</v>
      </c>
      <c r="J38" s="131">
        <v>0.6</v>
      </c>
      <c r="K38" s="130" t="s">
        <v>180</v>
      </c>
      <c r="L38" s="132" t="s">
        <v>54</v>
      </c>
      <c r="M38" s="132" t="s">
        <v>181</v>
      </c>
      <c r="N38" s="131">
        <v>0.4</v>
      </c>
      <c r="O38" s="130"/>
      <c r="P38" s="132"/>
      <c r="Q38" s="132"/>
      <c r="R38" s="131"/>
      <c r="S38" s="195"/>
      <c r="T38" s="195"/>
      <c r="U38" s="195"/>
      <c r="V38" s="195"/>
      <c r="W38" s="195"/>
      <c r="X38" s="195"/>
      <c r="Y38" s="195"/>
      <c r="Z38" s="195"/>
      <c r="AA38" s="199"/>
    </row>
    <row r="39" spans="1:27" ht="20.25" customHeight="1" x14ac:dyDescent="0.3">
      <c r="A39" s="74">
        <v>34</v>
      </c>
      <c r="B39" s="123" t="s">
        <v>182</v>
      </c>
      <c r="C39" s="74" t="s">
        <v>183</v>
      </c>
      <c r="D39" s="139" t="s">
        <v>184</v>
      </c>
      <c r="E39" s="74" t="s">
        <v>47</v>
      </c>
      <c r="F39" s="130">
        <v>1</v>
      </c>
      <c r="G39" s="130" t="s">
        <v>182</v>
      </c>
      <c r="H39" s="132" t="s">
        <v>54</v>
      </c>
      <c r="I39" s="132" t="s">
        <v>184</v>
      </c>
      <c r="J39" s="131">
        <v>1</v>
      </c>
      <c r="K39" s="130"/>
      <c r="L39" s="132"/>
      <c r="M39" s="132"/>
      <c r="N39" s="131"/>
      <c r="O39" s="130"/>
      <c r="P39" s="132"/>
      <c r="Q39" s="132"/>
      <c r="R39" s="131"/>
      <c r="S39" s="195"/>
      <c r="T39" s="195"/>
      <c r="U39" s="195"/>
      <c r="V39" s="195"/>
      <c r="W39" s="195"/>
      <c r="X39" s="195"/>
      <c r="Y39" s="195"/>
      <c r="Z39" s="195"/>
      <c r="AA39" s="199"/>
    </row>
    <row r="40" spans="1:27" ht="20.25" customHeight="1" x14ac:dyDescent="0.3">
      <c r="A40" s="74">
        <v>35</v>
      </c>
      <c r="B40" s="74" t="s">
        <v>185</v>
      </c>
      <c r="C40" s="74" t="s">
        <v>186</v>
      </c>
      <c r="D40" s="139">
        <v>1030676323</v>
      </c>
      <c r="E40" s="74" t="s">
        <v>41</v>
      </c>
      <c r="F40" s="130">
        <v>3</v>
      </c>
      <c r="G40" s="130" t="s">
        <v>187</v>
      </c>
      <c r="H40" s="132" t="s">
        <v>54</v>
      </c>
      <c r="I40" s="132" t="s">
        <v>188</v>
      </c>
      <c r="J40" s="131">
        <v>0.45</v>
      </c>
      <c r="K40" s="130" t="s">
        <v>189</v>
      </c>
      <c r="L40" s="132" t="s">
        <v>54</v>
      </c>
      <c r="M40" s="132" t="s">
        <v>190</v>
      </c>
      <c r="N40" s="131">
        <v>0.5</v>
      </c>
      <c r="O40" s="140" t="s">
        <v>191</v>
      </c>
      <c r="P40" s="132" t="s">
        <v>54</v>
      </c>
      <c r="Q40" s="132" t="s">
        <v>192</v>
      </c>
      <c r="R40" s="131">
        <v>0.05</v>
      </c>
      <c r="S40" s="195"/>
      <c r="T40" s="195"/>
      <c r="U40" s="195"/>
      <c r="V40" s="195"/>
      <c r="W40" s="195"/>
      <c r="X40" s="195"/>
      <c r="Y40" s="195"/>
      <c r="Z40" s="195"/>
      <c r="AA40" s="199"/>
    </row>
    <row r="41" spans="1:27" ht="20.25" customHeight="1" x14ac:dyDescent="0.3">
      <c r="A41" s="74">
        <v>36</v>
      </c>
      <c r="B41" s="123" t="s">
        <v>193</v>
      </c>
      <c r="C41" s="74" t="s">
        <v>194</v>
      </c>
      <c r="D41" s="139">
        <v>1098682166</v>
      </c>
      <c r="E41" s="74" t="s">
        <v>41</v>
      </c>
      <c r="F41" s="130">
        <v>3</v>
      </c>
      <c r="G41" s="130" t="s">
        <v>195</v>
      </c>
      <c r="H41" s="132" t="s">
        <v>54</v>
      </c>
      <c r="I41" s="132" t="s">
        <v>196</v>
      </c>
      <c r="J41" s="131">
        <v>0.48</v>
      </c>
      <c r="K41" s="130" t="s">
        <v>197</v>
      </c>
      <c r="L41" s="132" t="s">
        <v>54</v>
      </c>
      <c r="M41" s="132" t="s">
        <v>198</v>
      </c>
      <c r="N41" s="131">
        <v>0.48</v>
      </c>
      <c r="O41" s="130" t="s">
        <v>199</v>
      </c>
      <c r="P41" s="132" t="s">
        <v>54</v>
      </c>
      <c r="Q41" s="141" t="s">
        <v>200</v>
      </c>
      <c r="R41" s="131">
        <v>0.05</v>
      </c>
      <c r="S41" s="195"/>
      <c r="T41" s="195"/>
      <c r="U41" s="195"/>
      <c r="V41" s="195"/>
      <c r="W41" s="195"/>
      <c r="X41" s="195"/>
      <c r="Y41" s="195"/>
      <c r="Z41" s="195"/>
      <c r="AA41" s="199"/>
    </row>
    <row r="42" spans="1:27" ht="20.25" customHeight="1" x14ac:dyDescent="0.3">
      <c r="A42" s="74">
        <v>37</v>
      </c>
      <c r="B42" s="74" t="s">
        <v>201</v>
      </c>
      <c r="C42" s="74" t="s">
        <v>202</v>
      </c>
      <c r="D42" s="139">
        <v>1221971456</v>
      </c>
      <c r="E42" s="74" t="s">
        <v>41</v>
      </c>
      <c r="F42" s="130">
        <v>3</v>
      </c>
      <c r="G42" s="130" t="s">
        <v>203</v>
      </c>
      <c r="H42" s="132" t="s">
        <v>54</v>
      </c>
      <c r="I42" s="132" t="s">
        <v>204</v>
      </c>
      <c r="J42" s="131">
        <v>0.4</v>
      </c>
      <c r="K42" s="130" t="s">
        <v>205</v>
      </c>
      <c r="L42" s="132" t="s">
        <v>54</v>
      </c>
      <c r="M42" s="132" t="s">
        <v>206</v>
      </c>
      <c r="N42" s="131">
        <v>0.4</v>
      </c>
      <c r="O42" s="130" t="s">
        <v>207</v>
      </c>
      <c r="P42" s="132" t="s">
        <v>54</v>
      </c>
      <c r="Q42" s="132" t="s">
        <v>208</v>
      </c>
      <c r="R42" s="131">
        <v>0.2</v>
      </c>
      <c r="S42" s="195"/>
      <c r="T42" s="195"/>
      <c r="U42" s="195"/>
      <c r="V42" s="195"/>
      <c r="W42" s="195"/>
      <c r="X42" s="195"/>
      <c r="Y42" s="195"/>
      <c r="Z42" s="195"/>
      <c r="AA42" s="199"/>
    </row>
    <row r="43" spans="1:27" ht="24" customHeight="1" x14ac:dyDescent="0.3">
      <c r="A43" s="74">
        <v>38</v>
      </c>
      <c r="B43" s="74" t="s">
        <v>209</v>
      </c>
      <c r="C43" s="74" t="s">
        <v>210</v>
      </c>
      <c r="D43" s="139">
        <v>1023876148</v>
      </c>
      <c r="E43" s="74" t="s">
        <v>47</v>
      </c>
      <c r="F43" s="130">
        <v>1</v>
      </c>
      <c r="G43" s="130" t="s">
        <v>209</v>
      </c>
      <c r="H43" s="132" t="s">
        <v>54</v>
      </c>
      <c r="I43" s="132" t="s">
        <v>211</v>
      </c>
      <c r="J43" s="131">
        <v>1</v>
      </c>
      <c r="K43" s="130"/>
      <c r="L43" s="132"/>
      <c r="M43" s="132"/>
      <c r="N43" s="131"/>
      <c r="O43" s="130"/>
      <c r="P43" s="132"/>
      <c r="Q43" s="132"/>
      <c r="R43" s="131"/>
      <c r="S43" s="195"/>
      <c r="T43" s="195"/>
      <c r="U43" s="195"/>
      <c r="V43" s="195"/>
      <c r="W43" s="195"/>
      <c r="X43" s="195"/>
      <c r="Y43" s="195"/>
      <c r="Z43" s="195"/>
      <c r="AA43" s="199"/>
    </row>
  </sheetData>
  <mergeCells count="14">
    <mergeCell ref="O4:R4"/>
    <mergeCell ref="AA3:AA5"/>
    <mergeCell ref="A1:AA1"/>
    <mergeCell ref="A2:AA2"/>
    <mergeCell ref="A3:A5"/>
    <mergeCell ref="B3:B5"/>
    <mergeCell ref="C3:D4"/>
    <mergeCell ref="E3:E5"/>
    <mergeCell ref="F3:R3"/>
    <mergeCell ref="F4:F5"/>
    <mergeCell ref="G4:J4"/>
    <mergeCell ref="K4:N4"/>
    <mergeCell ref="S4:V4"/>
    <mergeCell ref="W4:Z4"/>
  </mergeCells>
  <dataValidations count="2">
    <dataValidation type="list" allowBlank="1" showInputMessage="1" showErrorMessage="1" sqref="E6:E43" xr:uid="{00000000-0002-0000-0000-000000000000}">
      <formula1>$AH$7:$AH$11</formula1>
    </dataValidation>
    <dataValidation type="list" allowBlank="1" showInputMessage="1" showErrorMessage="1" sqref="P6:P43 L6:L43 H6:H43" xr:uid="{00000000-0002-0000-0000-000001000000}">
      <formula1>$AH$13:$AH$15</formula1>
    </dataValidation>
  </dataValidations>
  <pageMargins left="0.25" right="0.25" top="0.75" bottom="0.75" header="0.3" footer="0.3"/>
  <pageSetup paperSize="5" scale="3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579CF-E5B5-4C87-BC79-A7014807069E}">
  <sheetPr>
    <tabColor rgb="FFFFFFFF"/>
  </sheetPr>
  <dimension ref="A1:S576"/>
  <sheetViews>
    <sheetView topLeftCell="A375" zoomScale="55" zoomScaleNormal="55" zoomScaleSheetLayoutView="55" zoomScalePageLayoutView="70" workbookViewId="0">
      <selection activeCell="O386" sqref="O386"/>
    </sheetView>
  </sheetViews>
  <sheetFormatPr baseColWidth="10" defaultColWidth="9.109375" defaultRowHeight="14.4" x14ac:dyDescent="0.3"/>
  <cols>
    <col min="1" max="1" width="77.88671875" style="26" customWidth="1"/>
    <col min="2" max="2" width="27.88671875" style="26" bestFit="1" customWidth="1"/>
    <col min="3" max="3" width="46.88671875" style="26" bestFit="1" customWidth="1"/>
    <col min="4" max="6" width="34.33203125" style="26" customWidth="1"/>
    <col min="7" max="7" width="43.44140625" style="26" customWidth="1"/>
    <col min="8" max="8" width="20.109375" style="26" customWidth="1"/>
    <col min="9" max="9" width="20.88671875" style="26" customWidth="1"/>
    <col min="10" max="10" width="26.44140625" style="26" customWidth="1"/>
    <col min="11" max="11" width="28.109375" style="26" customWidth="1"/>
    <col min="12" max="12" width="21.44140625" style="26" customWidth="1"/>
    <col min="13" max="13" width="23.33203125" style="26" customWidth="1"/>
    <col min="14" max="17" width="37.33203125" style="26" customWidth="1"/>
    <col min="18" max="18" width="97.44140625" style="26" customWidth="1"/>
    <col min="19" max="19" width="17.6640625" style="26" customWidth="1"/>
    <col min="20" max="16384" width="9.109375" style="26"/>
  </cols>
  <sheetData>
    <row r="1" spans="1:19" s="25" customFormat="1" ht="59.25" customHeight="1" x14ac:dyDescent="0.4">
      <c r="A1" s="432" t="s">
        <v>19</v>
      </c>
      <c r="B1" s="433"/>
      <c r="C1" s="433"/>
      <c r="D1" s="433"/>
      <c r="E1" s="433"/>
      <c r="F1" s="433"/>
      <c r="G1" s="433"/>
      <c r="H1" s="433"/>
      <c r="I1" s="433"/>
      <c r="J1" s="433"/>
      <c r="K1" s="433"/>
      <c r="L1" s="433"/>
      <c r="M1" s="433"/>
      <c r="N1" s="433"/>
      <c r="O1" s="433"/>
      <c r="P1" s="433"/>
      <c r="Q1" s="433"/>
      <c r="R1" s="434"/>
    </row>
    <row r="2" spans="1:19" ht="35.25" customHeight="1" x14ac:dyDescent="0.4">
      <c r="A2" s="435" t="s">
        <v>20</v>
      </c>
      <c r="B2" s="436"/>
      <c r="C2" s="436"/>
      <c r="D2" s="436"/>
      <c r="E2" s="436"/>
      <c r="F2" s="436"/>
      <c r="G2" s="436"/>
      <c r="H2" s="436"/>
      <c r="I2" s="436"/>
      <c r="J2" s="436"/>
      <c r="K2" s="436"/>
      <c r="L2" s="436"/>
      <c r="M2" s="436"/>
      <c r="N2" s="436"/>
      <c r="O2" s="436"/>
      <c r="P2" s="436"/>
      <c r="Q2" s="436"/>
      <c r="R2" s="437"/>
    </row>
    <row r="3" spans="1:19" ht="35.25" customHeight="1" x14ac:dyDescent="0.6">
      <c r="A3" s="438" t="s">
        <v>212</v>
      </c>
      <c r="B3" s="439"/>
      <c r="C3" s="439"/>
      <c r="D3" s="439"/>
      <c r="E3" s="439"/>
      <c r="F3" s="439"/>
      <c r="G3" s="439"/>
      <c r="H3" s="439"/>
      <c r="I3" s="439"/>
      <c r="J3" s="439"/>
      <c r="K3" s="439"/>
      <c r="L3" s="439"/>
      <c r="M3" s="439"/>
      <c r="N3" s="439"/>
      <c r="O3" s="439"/>
      <c r="P3" s="439"/>
      <c r="Q3" s="439"/>
      <c r="R3" s="440"/>
      <c r="S3" s="27" t="s">
        <v>213</v>
      </c>
    </row>
    <row r="4" spans="1:19" ht="27.75" customHeight="1" x14ac:dyDescent="0.3">
      <c r="A4" s="441"/>
      <c r="B4" s="441"/>
      <c r="C4" s="441"/>
      <c r="D4" s="441"/>
      <c r="E4" s="441"/>
      <c r="F4" s="441"/>
      <c r="G4" s="441"/>
      <c r="H4" s="441"/>
      <c r="I4" s="441"/>
      <c r="J4" s="441"/>
      <c r="K4" s="441"/>
      <c r="L4" s="441"/>
      <c r="M4" s="441"/>
      <c r="N4" s="441"/>
      <c r="O4" s="441"/>
      <c r="P4" s="441"/>
      <c r="Q4" s="441"/>
      <c r="R4" s="441"/>
      <c r="S4" s="27" t="s">
        <v>214</v>
      </c>
    </row>
    <row r="5" spans="1:19" ht="15.6" x14ac:dyDescent="0.3">
      <c r="A5" s="4"/>
      <c r="B5" s="4"/>
      <c r="C5" s="4"/>
      <c r="D5" s="4"/>
      <c r="E5" s="4"/>
      <c r="F5" s="4"/>
      <c r="G5" s="4"/>
      <c r="H5" s="4"/>
      <c r="I5" s="4"/>
      <c r="J5" s="4"/>
      <c r="K5" s="4"/>
      <c r="L5" s="4"/>
      <c r="M5" s="4"/>
      <c r="N5" s="5"/>
      <c r="O5" s="5"/>
      <c r="P5" s="5"/>
      <c r="Q5" s="5"/>
      <c r="R5" s="6"/>
    </row>
    <row r="6" spans="1:19" ht="15.6" x14ac:dyDescent="0.3">
      <c r="A6" s="4"/>
      <c r="B6" s="4"/>
      <c r="C6" s="4"/>
      <c r="D6" s="4"/>
      <c r="E6" s="4"/>
      <c r="F6" s="4"/>
      <c r="G6" s="4"/>
      <c r="H6" s="4"/>
      <c r="I6" s="4"/>
      <c r="J6" s="4"/>
      <c r="K6" s="4"/>
      <c r="L6" s="4"/>
      <c r="M6" s="4"/>
      <c r="N6" s="5"/>
      <c r="O6" s="5"/>
      <c r="P6" s="5"/>
      <c r="Q6" s="5"/>
      <c r="R6" s="5"/>
    </row>
    <row r="7" spans="1:19" ht="15.6" x14ac:dyDescent="0.3">
      <c r="A7" s="4"/>
      <c r="B7" s="4"/>
      <c r="C7" s="4"/>
      <c r="D7" s="4"/>
      <c r="E7" s="4"/>
      <c r="F7" s="4"/>
      <c r="G7" s="4"/>
      <c r="H7" s="4"/>
      <c r="I7" s="4"/>
      <c r="J7" s="4"/>
      <c r="K7" s="4"/>
      <c r="L7" s="4"/>
      <c r="M7" s="4"/>
      <c r="N7" s="5"/>
      <c r="O7" s="5"/>
      <c r="P7" s="5"/>
      <c r="Q7" s="5"/>
      <c r="R7" s="5"/>
    </row>
    <row r="8" spans="1:19" ht="30.75" customHeight="1" x14ac:dyDescent="0.3">
      <c r="A8" s="442">
        <v>1</v>
      </c>
      <c r="B8" s="443"/>
      <c r="C8" s="443"/>
      <c r="D8" s="444"/>
      <c r="E8" s="445" t="str">
        <f>VLOOKUP(A8,'LISTA DE OFERENTES'!$A$6:$B$38,2,FALSE)</f>
        <v>CONSORCIO ESTRUCTURAS Y OBRAS</v>
      </c>
      <c r="F8" s="446"/>
      <c r="G8" s="446"/>
      <c r="H8" s="446"/>
      <c r="I8" s="446"/>
      <c r="J8" s="446"/>
      <c r="K8" s="446"/>
      <c r="L8" s="446"/>
      <c r="M8" s="446"/>
      <c r="N8" s="446"/>
      <c r="O8" s="446"/>
      <c r="P8" s="446"/>
      <c r="Q8" s="446"/>
      <c r="R8" s="447"/>
    </row>
    <row r="9" spans="1:19" ht="50.25" customHeight="1" x14ac:dyDescent="0.3">
      <c r="A9" s="28" t="s">
        <v>215</v>
      </c>
      <c r="B9" s="85">
        <v>2</v>
      </c>
      <c r="C9" s="29" t="s">
        <v>216</v>
      </c>
      <c r="D9" s="68">
        <f>+$E$506</f>
        <v>1649.6083550000001</v>
      </c>
      <c r="E9" s="448"/>
      <c r="F9" s="449"/>
      <c r="G9" s="449"/>
      <c r="H9" s="449"/>
      <c r="I9" s="449"/>
      <c r="J9" s="449"/>
      <c r="K9" s="449"/>
      <c r="L9" s="449"/>
      <c r="M9" s="449"/>
      <c r="N9" s="449"/>
      <c r="O9" s="449"/>
      <c r="P9" s="449"/>
      <c r="Q9" s="449"/>
      <c r="R9" s="450"/>
    </row>
    <row r="10" spans="1:19" ht="30" customHeight="1" x14ac:dyDescent="0.3">
      <c r="A10" s="454" t="s">
        <v>217</v>
      </c>
      <c r="B10" s="455"/>
      <c r="C10" s="70">
        <f>IF(B9&lt;3,0.75,IF(B9&lt;5,1.2,1.5))</f>
        <v>0.75</v>
      </c>
      <c r="D10" s="71">
        <f>+D9*C10</f>
        <v>1237.20626625</v>
      </c>
      <c r="E10" s="448"/>
      <c r="F10" s="449"/>
      <c r="G10" s="449"/>
      <c r="H10" s="449"/>
      <c r="I10" s="449"/>
      <c r="J10" s="449"/>
      <c r="K10" s="449"/>
      <c r="L10" s="449"/>
      <c r="M10" s="449"/>
      <c r="N10" s="449"/>
      <c r="O10" s="449"/>
      <c r="P10" s="449"/>
      <c r="Q10" s="449"/>
      <c r="R10" s="450"/>
    </row>
    <row r="11" spans="1:19" ht="30" customHeight="1" x14ac:dyDescent="0.3">
      <c r="A11" s="456" t="s">
        <v>218</v>
      </c>
      <c r="B11" s="455"/>
      <c r="C11" s="457">
        <v>44771</v>
      </c>
      <c r="D11" s="458"/>
      <c r="E11" s="448"/>
      <c r="F11" s="449"/>
      <c r="G11" s="449"/>
      <c r="H11" s="449"/>
      <c r="I11" s="449"/>
      <c r="J11" s="449"/>
      <c r="K11" s="449"/>
      <c r="L11" s="449"/>
      <c r="M11" s="449"/>
      <c r="N11" s="449"/>
      <c r="O11" s="449"/>
      <c r="P11" s="449"/>
      <c r="Q11" s="449"/>
      <c r="R11" s="450"/>
    </row>
    <row r="12" spans="1:19" ht="30" customHeight="1" x14ac:dyDescent="0.3">
      <c r="A12" s="459" t="s">
        <v>219</v>
      </c>
      <c r="B12" s="460"/>
      <c r="C12" s="472" t="str">
        <f>+IF(I19&gt;D10,"CUMPLE","NO CUMPLE")</f>
        <v>CUMPLE</v>
      </c>
      <c r="D12" s="473"/>
      <c r="E12" s="451"/>
      <c r="F12" s="452"/>
      <c r="G12" s="452"/>
      <c r="H12" s="452"/>
      <c r="I12" s="452"/>
      <c r="J12" s="452"/>
      <c r="K12" s="452"/>
      <c r="L12" s="452"/>
      <c r="M12" s="452"/>
      <c r="N12" s="452"/>
      <c r="O12" s="452"/>
      <c r="P12" s="452"/>
      <c r="Q12" s="452"/>
      <c r="R12" s="453"/>
    </row>
    <row r="13" spans="1:19" ht="55.5" customHeight="1" x14ac:dyDescent="0.3">
      <c r="A13" s="474" t="s">
        <v>220</v>
      </c>
      <c r="B13" s="475"/>
      <c r="C13" s="475"/>
      <c r="D13" s="475"/>
      <c r="E13" s="475"/>
      <c r="F13" s="475"/>
      <c r="G13" s="475"/>
      <c r="H13" s="475"/>
      <c r="I13" s="476"/>
      <c r="J13" s="81" t="s">
        <v>221</v>
      </c>
      <c r="K13" s="103" t="s">
        <v>222</v>
      </c>
      <c r="L13" s="477" t="s">
        <v>223</v>
      </c>
      <c r="M13" s="476"/>
      <c r="N13" s="478" t="s">
        <v>224</v>
      </c>
      <c r="O13" s="480" t="s">
        <v>225</v>
      </c>
      <c r="P13" s="481"/>
      <c r="Q13" s="478" t="s">
        <v>226</v>
      </c>
      <c r="R13" s="461" t="s">
        <v>227</v>
      </c>
    </row>
    <row r="14" spans="1:19" ht="77.25" customHeight="1" x14ac:dyDescent="0.3">
      <c r="A14" s="82" t="s">
        <v>228</v>
      </c>
      <c r="B14" s="463" t="s">
        <v>229</v>
      </c>
      <c r="C14" s="464"/>
      <c r="D14" s="83" t="s">
        <v>230</v>
      </c>
      <c r="E14" s="83" t="s">
        <v>231</v>
      </c>
      <c r="F14" s="83" t="s">
        <v>232</v>
      </c>
      <c r="G14" s="83" t="s">
        <v>233</v>
      </c>
      <c r="H14" s="116" t="s">
        <v>234</v>
      </c>
      <c r="I14" s="116" t="s">
        <v>235</v>
      </c>
      <c r="J14" s="84" t="s">
        <v>236</v>
      </c>
      <c r="K14" s="84" t="s">
        <v>237</v>
      </c>
      <c r="L14" s="191" t="s">
        <v>238</v>
      </c>
      <c r="M14" s="84" t="s">
        <v>239</v>
      </c>
      <c r="N14" s="479"/>
      <c r="O14" s="482"/>
      <c r="P14" s="483"/>
      <c r="Q14" s="479"/>
      <c r="R14" s="462"/>
    </row>
    <row r="15" spans="1:19" ht="39.9" customHeight="1" x14ac:dyDescent="0.3">
      <c r="A15" s="213" t="s">
        <v>240</v>
      </c>
      <c r="B15" s="87"/>
      <c r="C15" s="87"/>
      <c r="D15" s="87"/>
      <c r="E15" s="87"/>
      <c r="F15" s="87"/>
      <c r="G15" s="87"/>
      <c r="H15" s="87"/>
      <c r="I15" s="87"/>
      <c r="J15" s="87"/>
      <c r="K15" s="87"/>
      <c r="L15" s="465" t="str">
        <f>+A15</f>
        <v>ESTRUCTURAS DE HORMIGON LTDA ; OBRAS LTDA</v>
      </c>
      <c r="M15" s="87"/>
      <c r="N15" s="87"/>
      <c r="O15" s="162" t="s">
        <v>241</v>
      </c>
      <c r="P15" s="87"/>
      <c r="Q15" s="159"/>
      <c r="R15" s="90"/>
    </row>
    <row r="16" spans="1:19" s="33" customFormat="1" ht="150" customHeight="1" x14ac:dyDescent="0.3">
      <c r="A16" s="317" t="s">
        <v>242</v>
      </c>
      <c r="B16" s="466" t="s">
        <v>243</v>
      </c>
      <c r="C16" s="467"/>
      <c r="D16" s="23">
        <v>636550279</v>
      </c>
      <c r="E16" s="69">
        <v>2013</v>
      </c>
      <c r="F16" s="185">
        <v>5106.1099999999997</v>
      </c>
      <c r="G16" s="24">
        <f>D16/(VLOOKUP(E16,$D$533:$E$564,2,FALSE))</f>
        <v>1079.8138744698897</v>
      </c>
      <c r="H16" s="3">
        <v>0.9</v>
      </c>
      <c r="I16" s="24">
        <f>H16*G16</f>
        <v>971.83248702290075</v>
      </c>
      <c r="J16" s="100">
        <v>41450</v>
      </c>
      <c r="K16" s="255">
        <v>72153100</v>
      </c>
      <c r="L16" s="465"/>
      <c r="M16" s="31">
        <f>I16</f>
        <v>971.83248702290075</v>
      </c>
      <c r="N16" s="119" t="s">
        <v>213</v>
      </c>
      <c r="O16" s="186" t="str">
        <f>+CONCATENATE(FIXED(F16*H16,2)," ","m2")</f>
        <v>4.595,50 m2</v>
      </c>
      <c r="P16" s="150" t="s">
        <v>213</v>
      </c>
      <c r="Q16" s="158" t="s">
        <v>213</v>
      </c>
      <c r="R16" s="32" t="s">
        <v>244</v>
      </c>
    </row>
    <row r="17" spans="1:18" s="247" customFormat="1" ht="150" customHeight="1" x14ac:dyDescent="0.3">
      <c r="A17" s="318" t="str">
        <f>+'LISTA DE OFERENTES'!G6</f>
        <v>ESTRUCTURAS DE CONCRETO S.A.</v>
      </c>
      <c r="B17" s="468"/>
      <c r="C17" s="469"/>
      <c r="D17" s="248"/>
      <c r="E17" s="248"/>
      <c r="F17" s="248"/>
      <c r="G17" s="248"/>
      <c r="H17" s="248"/>
      <c r="I17" s="248"/>
      <c r="J17" s="248"/>
      <c r="K17" s="249"/>
      <c r="L17" s="465"/>
      <c r="M17" s="250"/>
      <c r="N17" s="248"/>
      <c r="O17" s="248"/>
      <c r="P17" s="248"/>
      <c r="Q17" s="316"/>
      <c r="R17" s="252"/>
    </row>
    <row r="18" spans="1:18" s="33" customFormat="1" ht="162.75" customHeight="1" x14ac:dyDescent="0.3">
      <c r="A18" s="319" t="s">
        <v>245</v>
      </c>
      <c r="B18" s="470" t="s">
        <v>246</v>
      </c>
      <c r="C18" s="471"/>
      <c r="D18" s="238">
        <v>307683830.10000002</v>
      </c>
      <c r="E18" s="239">
        <v>2019</v>
      </c>
      <c r="F18" s="240">
        <v>597.36</v>
      </c>
      <c r="G18" s="241">
        <f>D18/(VLOOKUP(E18,$D$533:$E$564,2,FALSE))</f>
        <v>371.54677617628454</v>
      </c>
      <c r="H18" s="242">
        <v>1</v>
      </c>
      <c r="I18" s="241">
        <f>H18*G18</f>
        <v>371.54677617628454</v>
      </c>
      <c r="J18" s="243">
        <v>43539</v>
      </c>
      <c r="K18" s="255" t="s">
        <v>247</v>
      </c>
      <c r="L18" s="465"/>
      <c r="M18" s="244">
        <f>I18</f>
        <v>371.54677617628454</v>
      </c>
      <c r="N18" s="237" t="s">
        <v>213</v>
      </c>
      <c r="O18" s="245" t="str">
        <f>+CONCATENATE(FIXED(F18*H18,2)," ","m2")</f>
        <v>597,36 m2</v>
      </c>
      <c r="P18" s="313"/>
      <c r="Q18" s="315" t="s">
        <v>213</v>
      </c>
      <c r="R18" s="246" t="s">
        <v>248</v>
      </c>
    </row>
    <row r="19" spans="1:18" s="33" customFormat="1" ht="125.25" customHeight="1" x14ac:dyDescent="0.3">
      <c r="A19" s="484" t="s">
        <v>249</v>
      </c>
      <c r="B19" s="485"/>
      <c r="C19" s="485"/>
      <c r="D19" s="485"/>
      <c r="E19" s="485"/>
      <c r="F19" s="485"/>
      <c r="G19" s="485"/>
      <c r="H19" s="486"/>
      <c r="I19" s="72">
        <f>SUM(I16:I18)</f>
        <v>1343.3792631991853</v>
      </c>
      <c r="J19" s="487" t="s">
        <v>250</v>
      </c>
      <c r="K19" s="488"/>
      <c r="L19" s="489"/>
      <c r="M19" s="488"/>
      <c r="N19" s="488"/>
      <c r="O19" s="488"/>
      <c r="P19" s="490"/>
      <c r="Q19" s="161"/>
      <c r="R19" s="92" t="s">
        <v>213</v>
      </c>
    </row>
    <row r="20" spans="1:18" ht="15.6" x14ac:dyDescent="0.3">
      <c r="A20" s="4"/>
      <c r="B20" s="4"/>
      <c r="C20" s="4"/>
      <c r="D20" s="4"/>
      <c r="E20" s="4"/>
      <c r="F20" s="4"/>
      <c r="G20" s="4"/>
      <c r="H20" s="4"/>
      <c r="I20" s="4"/>
      <c r="J20" s="4"/>
      <c r="K20" s="4"/>
      <c r="L20" s="4"/>
      <c r="M20" s="4"/>
      <c r="N20" s="5"/>
      <c r="O20" s="5"/>
      <c r="P20" s="5"/>
      <c r="Q20" s="5"/>
      <c r="R20" s="5"/>
    </row>
    <row r="21" spans="1:18" ht="30.75" customHeight="1" x14ac:dyDescent="0.3">
      <c r="A21" s="442">
        <f>A8+1</f>
        <v>2</v>
      </c>
      <c r="B21" s="443"/>
      <c r="C21" s="443"/>
      <c r="D21" s="444"/>
      <c r="E21" s="445" t="str">
        <f>VLOOKUP(A21,'LISTA DE OFERENTES'!$A$6:$B$38,2,FALSE)</f>
        <v>HAPIL INGENIERIA SAS</v>
      </c>
      <c r="F21" s="446"/>
      <c r="G21" s="446"/>
      <c r="H21" s="446"/>
      <c r="I21" s="446"/>
      <c r="J21" s="446"/>
      <c r="K21" s="446"/>
      <c r="L21" s="446"/>
      <c r="M21" s="446"/>
      <c r="N21" s="446"/>
      <c r="O21" s="446"/>
      <c r="P21" s="446"/>
      <c r="Q21" s="446"/>
      <c r="R21" s="447"/>
    </row>
    <row r="22" spans="1:18" ht="50.25" customHeight="1" x14ac:dyDescent="0.3">
      <c r="A22" s="28" t="s">
        <v>215</v>
      </c>
      <c r="B22" s="85"/>
      <c r="C22" s="29" t="s">
        <v>216</v>
      </c>
      <c r="D22" s="68">
        <f>+$E$506</f>
        <v>1649.6083550000001</v>
      </c>
      <c r="E22" s="448"/>
      <c r="F22" s="449"/>
      <c r="G22" s="449"/>
      <c r="H22" s="449"/>
      <c r="I22" s="449"/>
      <c r="J22" s="449"/>
      <c r="K22" s="449"/>
      <c r="L22" s="449"/>
      <c r="M22" s="449"/>
      <c r="N22" s="449"/>
      <c r="O22" s="449"/>
      <c r="P22" s="449"/>
      <c r="Q22" s="449"/>
      <c r="R22" s="450"/>
    </row>
    <row r="23" spans="1:18" ht="30" customHeight="1" x14ac:dyDescent="0.3">
      <c r="A23" s="454" t="s">
        <v>217</v>
      </c>
      <c r="B23" s="455"/>
      <c r="C23" s="70">
        <f>IF(B22&lt;3,0.75,IF(B22&lt;5,1.2,1.5))</f>
        <v>0.75</v>
      </c>
      <c r="D23" s="71">
        <f>+D22*C23</f>
        <v>1237.20626625</v>
      </c>
      <c r="E23" s="448"/>
      <c r="F23" s="449"/>
      <c r="G23" s="449"/>
      <c r="H23" s="449"/>
      <c r="I23" s="449"/>
      <c r="J23" s="449"/>
      <c r="K23" s="449"/>
      <c r="L23" s="449"/>
      <c r="M23" s="449"/>
      <c r="N23" s="449"/>
      <c r="O23" s="449"/>
      <c r="P23" s="449"/>
      <c r="Q23" s="449"/>
      <c r="R23" s="450"/>
    </row>
    <row r="24" spans="1:18" ht="30" customHeight="1" x14ac:dyDescent="0.3">
      <c r="A24" s="456" t="s">
        <v>218</v>
      </c>
      <c r="B24" s="455"/>
      <c r="C24" s="457">
        <v>44771</v>
      </c>
      <c r="D24" s="458"/>
      <c r="E24" s="448"/>
      <c r="F24" s="449"/>
      <c r="G24" s="449"/>
      <c r="H24" s="449"/>
      <c r="I24" s="449"/>
      <c r="J24" s="449"/>
      <c r="K24" s="449"/>
      <c r="L24" s="449"/>
      <c r="M24" s="449"/>
      <c r="N24" s="449"/>
      <c r="O24" s="449"/>
      <c r="P24" s="449"/>
      <c r="Q24" s="449"/>
      <c r="R24" s="450"/>
    </row>
    <row r="25" spans="1:18" ht="30" customHeight="1" x14ac:dyDescent="0.3">
      <c r="A25" s="459" t="s">
        <v>219</v>
      </c>
      <c r="B25" s="460"/>
      <c r="C25" s="472" t="str">
        <f>+IF(I30&gt;D23,"CUMPLE","NO CUMPLE")</f>
        <v>CUMPLE</v>
      </c>
      <c r="D25" s="473"/>
      <c r="E25" s="451"/>
      <c r="F25" s="452"/>
      <c r="G25" s="452"/>
      <c r="H25" s="452"/>
      <c r="I25" s="452"/>
      <c r="J25" s="452"/>
      <c r="K25" s="452"/>
      <c r="L25" s="452"/>
      <c r="M25" s="452"/>
      <c r="N25" s="452"/>
      <c r="O25" s="452"/>
      <c r="P25" s="452"/>
      <c r="Q25" s="452"/>
      <c r="R25" s="453"/>
    </row>
    <row r="26" spans="1:18" ht="55.5" customHeight="1" x14ac:dyDescent="0.3">
      <c r="A26" s="474" t="s">
        <v>220</v>
      </c>
      <c r="B26" s="475"/>
      <c r="C26" s="475"/>
      <c r="D26" s="475"/>
      <c r="E26" s="475"/>
      <c r="F26" s="475"/>
      <c r="G26" s="475"/>
      <c r="H26" s="475"/>
      <c r="I26" s="476"/>
      <c r="J26" s="81" t="s">
        <v>221</v>
      </c>
      <c r="K26" s="103" t="s">
        <v>222</v>
      </c>
      <c r="L26" s="477" t="s">
        <v>223</v>
      </c>
      <c r="M26" s="476"/>
      <c r="N26" s="478" t="s">
        <v>224</v>
      </c>
      <c r="O26" s="480" t="s">
        <v>225</v>
      </c>
      <c r="P26" s="481"/>
      <c r="Q26" s="478" t="s">
        <v>226</v>
      </c>
      <c r="R26" s="461" t="s">
        <v>227</v>
      </c>
    </row>
    <row r="27" spans="1:18" ht="77.25" customHeight="1" x14ac:dyDescent="0.3">
      <c r="A27" s="82" t="s">
        <v>228</v>
      </c>
      <c r="B27" s="463" t="s">
        <v>229</v>
      </c>
      <c r="C27" s="464"/>
      <c r="D27" s="83" t="s">
        <v>230</v>
      </c>
      <c r="E27" s="83" t="s">
        <v>231</v>
      </c>
      <c r="F27" s="83" t="s">
        <v>232</v>
      </c>
      <c r="G27" s="83" t="s">
        <v>233</v>
      </c>
      <c r="H27" s="116" t="s">
        <v>234</v>
      </c>
      <c r="I27" s="116" t="s">
        <v>235</v>
      </c>
      <c r="J27" s="84" t="s">
        <v>236</v>
      </c>
      <c r="K27" s="84" t="s">
        <v>237</v>
      </c>
      <c r="L27" s="84" t="s">
        <v>238</v>
      </c>
      <c r="M27" s="84" t="s">
        <v>239</v>
      </c>
      <c r="N27" s="479"/>
      <c r="O27" s="482"/>
      <c r="P27" s="483"/>
      <c r="Q27" s="479"/>
      <c r="R27" s="462"/>
    </row>
    <row r="28" spans="1:18" ht="39.9" customHeight="1" x14ac:dyDescent="0.3">
      <c r="A28" s="86" t="str">
        <f>VLOOKUP(A21,'LISTA DE OFERENTES'!$A$6:$R$38,2,FALSE)</f>
        <v>HAPIL INGENIERIA SAS</v>
      </c>
      <c r="B28" s="87"/>
      <c r="C28" s="87"/>
      <c r="D28" s="87"/>
      <c r="E28" s="87"/>
      <c r="F28" s="87"/>
      <c r="G28" s="87"/>
      <c r="H28" s="87"/>
      <c r="I28" s="87"/>
      <c r="J28" s="87"/>
      <c r="K28" s="87"/>
      <c r="L28" s="491" t="str">
        <f>+A28</f>
        <v>HAPIL INGENIERIA SAS</v>
      </c>
      <c r="M28" s="87"/>
      <c r="N28" s="87"/>
      <c r="O28" s="162" t="s">
        <v>241</v>
      </c>
      <c r="P28" s="87"/>
      <c r="Q28" s="87"/>
      <c r="R28" s="90"/>
    </row>
    <row r="29" spans="1:18" ht="150" customHeight="1" x14ac:dyDescent="0.3">
      <c r="A29" s="119" t="s">
        <v>251</v>
      </c>
      <c r="B29" s="493" t="s">
        <v>252</v>
      </c>
      <c r="C29" s="494"/>
      <c r="D29" s="23">
        <v>4593093036.3470955</v>
      </c>
      <c r="E29" s="69">
        <v>2021</v>
      </c>
      <c r="F29" s="185">
        <v>19301.22</v>
      </c>
      <c r="G29" s="24">
        <f>D29/(VLOOKUP(E29,$D$533:$E$564,2,FALSE))</f>
        <v>5055.5438549332603</v>
      </c>
      <c r="H29" s="187">
        <v>0.33339999999999997</v>
      </c>
      <c r="I29" s="24">
        <f>H29*G29</f>
        <v>1685.5183212347488</v>
      </c>
      <c r="J29" s="100">
        <v>44531</v>
      </c>
      <c r="K29" s="167" t="s">
        <v>253</v>
      </c>
      <c r="L29" s="492"/>
      <c r="M29" s="31">
        <f t="shared" ref="M29" si="0">I29</f>
        <v>1685.5183212347488</v>
      </c>
      <c r="N29" s="119" t="s">
        <v>213</v>
      </c>
      <c r="O29" s="186" t="str">
        <f>+CONCATENATE(FIXED(F29*H29,2)," ","m2")</f>
        <v>6.435,03 m2</v>
      </c>
      <c r="P29" s="119" t="s">
        <v>213</v>
      </c>
      <c r="Q29" s="142" t="s">
        <v>213</v>
      </c>
      <c r="R29" s="32" t="s">
        <v>244</v>
      </c>
    </row>
    <row r="30" spans="1:18" s="33" customFormat="1" ht="48" customHeight="1" x14ac:dyDescent="0.3">
      <c r="A30" s="495" t="s">
        <v>249</v>
      </c>
      <c r="B30" s="485"/>
      <c r="C30" s="485"/>
      <c r="D30" s="485"/>
      <c r="E30" s="485"/>
      <c r="F30" s="485"/>
      <c r="G30" s="485"/>
      <c r="H30" s="486"/>
      <c r="I30" s="72">
        <f>SUM(I29:I29)</f>
        <v>1685.5183212347488</v>
      </c>
      <c r="J30" s="487" t="s">
        <v>250</v>
      </c>
      <c r="K30" s="488"/>
      <c r="L30" s="488"/>
      <c r="M30" s="488"/>
      <c r="N30" s="488"/>
      <c r="O30" s="488"/>
      <c r="P30" s="490"/>
      <c r="Q30" s="136"/>
      <c r="R30" s="92" t="s">
        <v>213</v>
      </c>
    </row>
    <row r="31" spans="1:18" ht="15.6" x14ac:dyDescent="0.3">
      <c r="A31" s="4"/>
      <c r="B31" s="4"/>
      <c r="C31" s="4"/>
      <c r="D31" s="4"/>
      <c r="E31" s="4"/>
      <c r="F31" s="4"/>
      <c r="G31" s="4"/>
      <c r="H31" s="4"/>
      <c r="I31" s="4"/>
      <c r="J31" s="4"/>
      <c r="K31" s="4"/>
      <c r="L31" s="4"/>
      <c r="M31" s="4"/>
      <c r="N31" s="5"/>
      <c r="O31" s="5"/>
      <c r="P31" s="5"/>
      <c r="Q31" s="5"/>
      <c r="R31" s="5"/>
    </row>
    <row r="32" spans="1:18" ht="30.75" customHeight="1" x14ac:dyDescent="0.3">
      <c r="A32" s="442">
        <f>A21+1</f>
        <v>3</v>
      </c>
      <c r="B32" s="443"/>
      <c r="C32" s="443"/>
      <c r="D32" s="444"/>
      <c r="E32" s="445" t="str">
        <f>VLOOKUP(A32,'LISTA DE OFERENTES'!$A$6:$B$38,2,FALSE)</f>
        <v>CONSORCIO SAN FIORANO</v>
      </c>
      <c r="F32" s="446"/>
      <c r="G32" s="446"/>
      <c r="H32" s="446"/>
      <c r="I32" s="446"/>
      <c r="J32" s="446"/>
      <c r="K32" s="446"/>
      <c r="L32" s="446"/>
      <c r="M32" s="446"/>
      <c r="N32" s="446"/>
      <c r="O32" s="446"/>
      <c r="P32" s="446"/>
      <c r="Q32" s="446"/>
      <c r="R32" s="447"/>
    </row>
    <row r="33" spans="1:18" ht="50.25" customHeight="1" x14ac:dyDescent="0.3">
      <c r="A33" s="28" t="s">
        <v>215</v>
      </c>
      <c r="B33" s="85">
        <v>2</v>
      </c>
      <c r="C33" s="29" t="s">
        <v>216</v>
      </c>
      <c r="D33" s="68">
        <f>+$E$506</f>
        <v>1649.6083550000001</v>
      </c>
      <c r="E33" s="448"/>
      <c r="F33" s="449"/>
      <c r="G33" s="449"/>
      <c r="H33" s="449"/>
      <c r="I33" s="449"/>
      <c r="J33" s="449"/>
      <c r="K33" s="449"/>
      <c r="L33" s="449"/>
      <c r="M33" s="449"/>
      <c r="N33" s="449"/>
      <c r="O33" s="449"/>
      <c r="P33" s="449"/>
      <c r="Q33" s="449"/>
      <c r="R33" s="450"/>
    </row>
    <row r="34" spans="1:18" ht="30" customHeight="1" x14ac:dyDescent="0.3">
      <c r="A34" s="454" t="s">
        <v>217</v>
      </c>
      <c r="B34" s="455"/>
      <c r="C34" s="70">
        <f>IF(B33&lt;3,0.75,IF(B33&lt;5,1.2,1.5))</f>
        <v>0.75</v>
      </c>
      <c r="D34" s="71">
        <f>+D33*C34</f>
        <v>1237.20626625</v>
      </c>
      <c r="E34" s="448"/>
      <c r="F34" s="449"/>
      <c r="G34" s="449"/>
      <c r="H34" s="449"/>
      <c r="I34" s="449"/>
      <c r="J34" s="449"/>
      <c r="K34" s="449"/>
      <c r="L34" s="449"/>
      <c r="M34" s="449"/>
      <c r="N34" s="449"/>
      <c r="O34" s="449"/>
      <c r="P34" s="449"/>
      <c r="Q34" s="449"/>
      <c r="R34" s="450"/>
    </row>
    <row r="35" spans="1:18" ht="30" customHeight="1" x14ac:dyDescent="0.3">
      <c r="A35" s="456" t="s">
        <v>218</v>
      </c>
      <c r="B35" s="455"/>
      <c r="C35" s="457">
        <v>44771</v>
      </c>
      <c r="D35" s="458"/>
      <c r="E35" s="448"/>
      <c r="F35" s="449"/>
      <c r="G35" s="449"/>
      <c r="H35" s="449"/>
      <c r="I35" s="449"/>
      <c r="J35" s="449"/>
      <c r="K35" s="449"/>
      <c r="L35" s="449"/>
      <c r="M35" s="449"/>
      <c r="N35" s="449"/>
      <c r="O35" s="449"/>
      <c r="P35" s="449"/>
      <c r="Q35" s="449"/>
      <c r="R35" s="450"/>
    </row>
    <row r="36" spans="1:18" ht="30" customHeight="1" x14ac:dyDescent="0.3">
      <c r="A36" s="459" t="s">
        <v>219</v>
      </c>
      <c r="B36" s="460"/>
      <c r="C36" s="472" t="str">
        <f>+IF(I43&gt;D34,"CUMPLE","NO CUMPLE")</f>
        <v>CUMPLE</v>
      </c>
      <c r="D36" s="473"/>
      <c r="E36" s="451"/>
      <c r="F36" s="452"/>
      <c r="G36" s="452"/>
      <c r="H36" s="452"/>
      <c r="I36" s="452"/>
      <c r="J36" s="452"/>
      <c r="K36" s="452"/>
      <c r="L36" s="452"/>
      <c r="M36" s="452"/>
      <c r="N36" s="452"/>
      <c r="O36" s="452"/>
      <c r="P36" s="452"/>
      <c r="Q36" s="452"/>
      <c r="R36" s="453"/>
    </row>
    <row r="37" spans="1:18" ht="55.5" customHeight="1" x14ac:dyDescent="0.3">
      <c r="A37" s="474" t="s">
        <v>220</v>
      </c>
      <c r="B37" s="475"/>
      <c r="C37" s="475"/>
      <c r="D37" s="475"/>
      <c r="E37" s="475"/>
      <c r="F37" s="475"/>
      <c r="G37" s="475"/>
      <c r="H37" s="475"/>
      <c r="I37" s="476"/>
      <c r="J37" s="81" t="s">
        <v>221</v>
      </c>
      <c r="K37" s="103" t="s">
        <v>222</v>
      </c>
      <c r="L37" s="477" t="s">
        <v>223</v>
      </c>
      <c r="M37" s="476"/>
      <c r="N37" s="478" t="s">
        <v>224</v>
      </c>
      <c r="O37" s="480" t="s">
        <v>254</v>
      </c>
      <c r="P37" s="481"/>
      <c r="Q37" s="478" t="s">
        <v>226</v>
      </c>
      <c r="R37" s="461" t="s">
        <v>227</v>
      </c>
    </row>
    <row r="38" spans="1:18" ht="77.25" customHeight="1" x14ac:dyDescent="0.3">
      <c r="A38" s="82" t="s">
        <v>228</v>
      </c>
      <c r="B38" s="463" t="s">
        <v>229</v>
      </c>
      <c r="C38" s="464"/>
      <c r="D38" s="83" t="s">
        <v>230</v>
      </c>
      <c r="E38" s="83" t="s">
        <v>231</v>
      </c>
      <c r="F38" s="83" t="s">
        <v>232</v>
      </c>
      <c r="G38" s="83" t="s">
        <v>233</v>
      </c>
      <c r="H38" s="116" t="s">
        <v>234</v>
      </c>
      <c r="I38" s="116" t="s">
        <v>235</v>
      </c>
      <c r="J38" s="84" t="s">
        <v>236</v>
      </c>
      <c r="K38" s="84" t="s">
        <v>237</v>
      </c>
      <c r="L38" s="84" t="s">
        <v>238</v>
      </c>
      <c r="M38" s="84" t="s">
        <v>239</v>
      </c>
      <c r="N38" s="479"/>
      <c r="O38" s="482"/>
      <c r="P38" s="483"/>
      <c r="Q38" s="479"/>
      <c r="R38" s="462"/>
    </row>
    <row r="39" spans="1:18" ht="39.9" customHeight="1" x14ac:dyDescent="0.3">
      <c r="A39" s="86" t="str">
        <f>VLOOKUP(A32,'LISTA DE OFERENTES'!$A$6:$R$38,7,FALSE)</f>
        <v>ISAIAS VARGAS GONZALEZ</v>
      </c>
      <c r="B39" s="87"/>
      <c r="C39" s="87"/>
      <c r="D39" s="87"/>
      <c r="E39" s="87"/>
      <c r="F39" s="87"/>
      <c r="G39" s="87"/>
      <c r="H39" s="87"/>
      <c r="I39" s="87"/>
      <c r="J39" s="87"/>
      <c r="K39" s="87"/>
      <c r="L39" s="496"/>
      <c r="M39" s="87"/>
      <c r="N39" s="87"/>
      <c r="O39" s="162" t="s">
        <v>241</v>
      </c>
      <c r="P39" s="87"/>
      <c r="Q39" s="87"/>
      <c r="R39" s="90"/>
    </row>
    <row r="40" spans="1:18" s="33" customFormat="1" ht="150" customHeight="1" x14ac:dyDescent="0.3">
      <c r="A40" s="119" t="s">
        <v>255</v>
      </c>
      <c r="B40" s="498" t="s">
        <v>256</v>
      </c>
      <c r="C40" s="467"/>
      <c r="D40" s="23">
        <v>1779745873.6600001</v>
      </c>
      <c r="E40" s="69">
        <v>2015</v>
      </c>
      <c r="F40" s="185">
        <v>6738.73</v>
      </c>
      <c r="G40" s="24">
        <f>D40/(VLOOKUP(E40,$D$533:$E$564,2,FALSE))</f>
        <v>2762.0794190424458</v>
      </c>
      <c r="H40" s="3">
        <v>0.5</v>
      </c>
      <c r="I40" s="24">
        <f>H40*G40</f>
        <v>1381.0397095212229</v>
      </c>
      <c r="J40" s="100">
        <v>42368</v>
      </c>
      <c r="K40" s="167" t="s">
        <v>257</v>
      </c>
      <c r="L40" s="497"/>
      <c r="M40" s="31">
        <f>I40</f>
        <v>1381.0397095212229</v>
      </c>
      <c r="N40" s="119" t="s">
        <v>213</v>
      </c>
      <c r="O40" s="186" t="str">
        <f>+CONCATENATE(FIXED(F40*H40,2)," ","m2")</f>
        <v>3.369,37 m2</v>
      </c>
      <c r="P40" s="119" t="s">
        <v>213</v>
      </c>
      <c r="Q40" s="142" t="s">
        <v>213</v>
      </c>
      <c r="R40" s="32" t="s">
        <v>258</v>
      </c>
    </row>
    <row r="41" spans="1:18" ht="39.9" customHeight="1" x14ac:dyDescent="0.3">
      <c r="A41" s="88" t="str">
        <f>+'LISTA DE OFERENTES'!K8</f>
        <v>JOHN EDISON JORDAN TEJADA</v>
      </c>
      <c r="B41" s="499"/>
      <c r="C41" s="500"/>
      <c r="D41" s="88"/>
      <c r="E41" s="88"/>
      <c r="F41" s="88"/>
      <c r="G41" s="88"/>
      <c r="H41" s="88"/>
      <c r="I41" s="147"/>
      <c r="J41" s="88"/>
      <c r="K41" s="89"/>
      <c r="L41" s="497"/>
      <c r="M41" s="91"/>
      <c r="N41" s="88"/>
      <c r="O41" s="88"/>
      <c r="P41" s="88"/>
      <c r="Q41" s="87"/>
      <c r="R41" s="90"/>
    </row>
    <row r="42" spans="1:18" s="33" customFormat="1" ht="150" customHeight="1" x14ac:dyDescent="0.3">
      <c r="A42" s="119" t="s">
        <v>259</v>
      </c>
      <c r="B42" s="498" t="s">
        <v>256</v>
      </c>
      <c r="C42" s="467"/>
      <c r="D42" s="23">
        <v>3252998080</v>
      </c>
      <c r="E42" s="69">
        <v>2020</v>
      </c>
      <c r="F42" s="69">
        <v>7465</v>
      </c>
      <c r="G42" s="24">
        <f>D42/(VLOOKUP(E42,$D$533:$E$564,2,FALSE))</f>
        <v>3705.8406954635607</v>
      </c>
      <c r="H42" s="3">
        <v>0.51</v>
      </c>
      <c r="I42" s="24">
        <f>H42*G42</f>
        <v>1889.9787546864159</v>
      </c>
      <c r="J42" s="100">
        <v>44170</v>
      </c>
      <c r="K42" s="167" t="s">
        <v>260</v>
      </c>
      <c r="L42" s="497"/>
      <c r="M42" s="31">
        <f>I42</f>
        <v>1889.9787546864159</v>
      </c>
      <c r="N42" s="119" t="s">
        <v>213</v>
      </c>
      <c r="O42" s="186" t="str">
        <f>+CONCATENATE(FIXED(F42*H42,2)," ","m2")</f>
        <v>3.807,15 m2</v>
      </c>
      <c r="P42" s="119" t="s">
        <v>213</v>
      </c>
      <c r="Q42" s="142" t="s">
        <v>213</v>
      </c>
      <c r="R42" s="32" t="s">
        <v>258</v>
      </c>
    </row>
    <row r="43" spans="1:18" s="33" customFormat="1" ht="48" customHeight="1" x14ac:dyDescent="0.3">
      <c r="A43" s="495" t="s">
        <v>249</v>
      </c>
      <c r="B43" s="485"/>
      <c r="C43" s="485"/>
      <c r="D43" s="485"/>
      <c r="E43" s="485"/>
      <c r="F43" s="485"/>
      <c r="G43" s="485"/>
      <c r="H43" s="486"/>
      <c r="I43" s="72">
        <f>SUM(I40:I42)</f>
        <v>3271.0184642076388</v>
      </c>
      <c r="J43" s="487" t="s">
        <v>250</v>
      </c>
      <c r="K43" s="488"/>
      <c r="L43" s="488"/>
      <c r="M43" s="488"/>
      <c r="N43" s="488"/>
      <c r="O43" s="488"/>
      <c r="P43" s="490"/>
      <c r="Q43" s="136"/>
      <c r="R43" s="92" t="s">
        <v>213</v>
      </c>
    </row>
    <row r="44" spans="1:18" ht="15.6" x14ac:dyDescent="0.3">
      <c r="A44" s="4"/>
      <c r="B44" s="4"/>
      <c r="C44" s="4"/>
      <c r="D44" s="4"/>
      <c r="E44" s="4"/>
      <c r="F44" s="4"/>
      <c r="G44" s="4"/>
      <c r="H44" s="4"/>
      <c r="I44" s="4"/>
      <c r="J44" s="4"/>
      <c r="K44" s="4"/>
      <c r="L44" s="4"/>
      <c r="M44" s="4"/>
      <c r="N44" s="5"/>
      <c r="O44" s="5"/>
      <c r="P44" s="5"/>
      <c r="Q44" s="5"/>
      <c r="R44" s="5"/>
    </row>
    <row r="45" spans="1:18" ht="30.75" customHeight="1" x14ac:dyDescent="0.3">
      <c r="A45" s="442">
        <f>A32+1</f>
        <v>4</v>
      </c>
      <c r="B45" s="443"/>
      <c r="C45" s="443"/>
      <c r="D45" s="444"/>
      <c r="E45" s="445" t="str">
        <f>VLOOKUP(A45,'LISTA DE OFERENTES'!$A$6:$B$38,2,FALSE)</f>
        <v>INVERSIONES GUERFOR S.A.S</v>
      </c>
      <c r="F45" s="446"/>
      <c r="G45" s="446"/>
      <c r="H45" s="446"/>
      <c r="I45" s="446"/>
      <c r="J45" s="446"/>
      <c r="K45" s="446"/>
      <c r="L45" s="446"/>
      <c r="M45" s="446"/>
      <c r="N45" s="446"/>
      <c r="O45" s="446"/>
      <c r="P45" s="446"/>
      <c r="Q45" s="446"/>
      <c r="R45" s="447"/>
    </row>
    <row r="46" spans="1:18" ht="50.25" customHeight="1" x14ac:dyDescent="0.3">
      <c r="A46" s="152" t="s">
        <v>215</v>
      </c>
      <c r="B46" s="259">
        <v>4</v>
      </c>
      <c r="C46" s="154" t="s">
        <v>216</v>
      </c>
      <c r="D46" s="155">
        <f>+$E$506</f>
        <v>1649.6083550000001</v>
      </c>
      <c r="E46" s="448"/>
      <c r="F46" s="449"/>
      <c r="G46" s="449"/>
      <c r="H46" s="449"/>
      <c r="I46" s="449"/>
      <c r="J46" s="449"/>
      <c r="K46" s="449"/>
      <c r="L46" s="449"/>
      <c r="M46" s="449"/>
      <c r="N46" s="449"/>
      <c r="O46" s="449"/>
      <c r="P46" s="449"/>
      <c r="Q46" s="449"/>
      <c r="R46" s="450"/>
    </row>
    <row r="47" spans="1:18" ht="30" customHeight="1" x14ac:dyDescent="0.3">
      <c r="A47" s="454" t="s">
        <v>217</v>
      </c>
      <c r="B47" s="455"/>
      <c r="C47" s="70">
        <f>IF(B46&lt;3,0.75,IF(B46&lt;5,1.2,1.5))</f>
        <v>1.2</v>
      </c>
      <c r="D47" s="71">
        <f>+D46*C47</f>
        <v>1979.5300259999999</v>
      </c>
      <c r="E47" s="448"/>
      <c r="F47" s="449"/>
      <c r="G47" s="449"/>
      <c r="H47" s="449"/>
      <c r="I47" s="449"/>
      <c r="J47" s="449"/>
      <c r="K47" s="449"/>
      <c r="L47" s="449"/>
      <c r="M47" s="449"/>
      <c r="N47" s="449"/>
      <c r="O47" s="449"/>
      <c r="P47" s="449"/>
      <c r="Q47" s="449"/>
      <c r="R47" s="450"/>
    </row>
    <row r="48" spans="1:18" ht="30" customHeight="1" x14ac:dyDescent="0.3">
      <c r="A48" s="456" t="s">
        <v>218</v>
      </c>
      <c r="B48" s="455"/>
      <c r="C48" s="457">
        <v>44771</v>
      </c>
      <c r="D48" s="458"/>
      <c r="E48" s="448"/>
      <c r="F48" s="449"/>
      <c r="G48" s="449"/>
      <c r="H48" s="449"/>
      <c r="I48" s="449"/>
      <c r="J48" s="449"/>
      <c r="K48" s="449"/>
      <c r="L48" s="449"/>
      <c r="M48" s="449"/>
      <c r="N48" s="449"/>
      <c r="O48" s="449"/>
      <c r="P48" s="449"/>
      <c r="Q48" s="449"/>
      <c r="R48" s="450"/>
    </row>
    <row r="49" spans="1:18" ht="30" customHeight="1" x14ac:dyDescent="0.3">
      <c r="A49" s="459" t="s">
        <v>219</v>
      </c>
      <c r="B49" s="460"/>
      <c r="C49" s="472" t="str">
        <f>+IF(I57&gt;D47,"CUMPLE","NO CUMPLE")</f>
        <v>CUMPLE</v>
      </c>
      <c r="D49" s="473"/>
      <c r="E49" s="451"/>
      <c r="F49" s="452"/>
      <c r="G49" s="452"/>
      <c r="H49" s="452"/>
      <c r="I49" s="452"/>
      <c r="J49" s="452"/>
      <c r="K49" s="452"/>
      <c r="L49" s="452"/>
      <c r="M49" s="452"/>
      <c r="N49" s="452"/>
      <c r="O49" s="452"/>
      <c r="P49" s="452"/>
      <c r="Q49" s="452"/>
      <c r="R49" s="453"/>
    </row>
    <row r="50" spans="1:18" ht="55.5" customHeight="1" x14ac:dyDescent="0.3">
      <c r="A50" s="474" t="s">
        <v>220</v>
      </c>
      <c r="B50" s="475"/>
      <c r="C50" s="475"/>
      <c r="D50" s="475"/>
      <c r="E50" s="475"/>
      <c r="F50" s="475"/>
      <c r="G50" s="475"/>
      <c r="H50" s="475"/>
      <c r="I50" s="476"/>
      <c r="J50" s="81" t="s">
        <v>221</v>
      </c>
      <c r="K50" s="103" t="s">
        <v>222</v>
      </c>
      <c r="L50" s="477" t="s">
        <v>223</v>
      </c>
      <c r="M50" s="476"/>
      <c r="N50" s="478" t="s">
        <v>224</v>
      </c>
      <c r="O50" s="480" t="s">
        <v>225</v>
      </c>
      <c r="P50" s="481"/>
      <c r="Q50" s="478" t="s">
        <v>226</v>
      </c>
      <c r="R50" s="461" t="s">
        <v>227</v>
      </c>
    </row>
    <row r="51" spans="1:18" ht="77.25" customHeight="1" x14ac:dyDescent="0.3">
      <c r="A51" s="82" t="s">
        <v>228</v>
      </c>
      <c r="B51" s="463" t="s">
        <v>229</v>
      </c>
      <c r="C51" s="464"/>
      <c r="D51" s="83" t="s">
        <v>230</v>
      </c>
      <c r="E51" s="83" t="s">
        <v>231</v>
      </c>
      <c r="F51" s="83" t="s">
        <v>232</v>
      </c>
      <c r="G51" s="83" t="s">
        <v>233</v>
      </c>
      <c r="H51" s="116" t="s">
        <v>234</v>
      </c>
      <c r="I51" s="116" t="s">
        <v>235</v>
      </c>
      <c r="J51" s="84" t="s">
        <v>236</v>
      </c>
      <c r="K51" s="84" t="s">
        <v>237</v>
      </c>
      <c r="L51" s="84" t="s">
        <v>238</v>
      </c>
      <c r="M51" s="84" t="s">
        <v>239</v>
      </c>
      <c r="N51" s="479"/>
      <c r="O51" s="482"/>
      <c r="P51" s="483"/>
      <c r="Q51" s="479"/>
      <c r="R51" s="462"/>
    </row>
    <row r="52" spans="1:18" ht="36.75" customHeight="1" x14ac:dyDescent="0.3">
      <c r="A52" s="86" t="s">
        <v>52</v>
      </c>
      <c r="B52" s="87"/>
      <c r="C52" s="87"/>
      <c r="D52" s="87"/>
      <c r="E52" s="87"/>
      <c r="F52" s="87"/>
      <c r="G52" s="87"/>
      <c r="H52" s="87"/>
      <c r="I52" s="87"/>
      <c r="J52" s="87"/>
      <c r="K52" s="87"/>
      <c r="L52" s="491" t="s">
        <v>261</v>
      </c>
      <c r="M52" s="87"/>
      <c r="N52" s="87"/>
      <c r="O52" s="162" t="s">
        <v>241</v>
      </c>
      <c r="P52" s="87"/>
      <c r="Q52" s="159"/>
      <c r="R52" s="188"/>
    </row>
    <row r="53" spans="1:18" s="33" customFormat="1" ht="150" customHeight="1" x14ac:dyDescent="0.3">
      <c r="A53" s="119" t="s">
        <v>262</v>
      </c>
      <c r="B53" s="498" t="s">
        <v>243</v>
      </c>
      <c r="C53" s="467"/>
      <c r="D53" s="23" t="s">
        <v>263</v>
      </c>
      <c r="E53" s="69">
        <v>2019</v>
      </c>
      <c r="F53" s="69">
        <v>0</v>
      </c>
      <c r="G53" s="24">
        <v>7075.07</v>
      </c>
      <c r="H53" s="3">
        <v>0.4</v>
      </c>
      <c r="I53" s="24">
        <v>2830.03</v>
      </c>
      <c r="J53" s="100">
        <v>43663</v>
      </c>
      <c r="K53" s="30" t="s">
        <v>264</v>
      </c>
      <c r="L53" s="492"/>
      <c r="M53" s="31">
        <v>2830.03</v>
      </c>
      <c r="N53" s="119" t="s">
        <v>213</v>
      </c>
      <c r="O53" s="186" t="s">
        <v>265</v>
      </c>
      <c r="P53" s="150" t="s">
        <v>214</v>
      </c>
      <c r="Q53" s="158" t="s">
        <v>214</v>
      </c>
      <c r="R53" s="158" t="s">
        <v>266</v>
      </c>
    </row>
    <row r="54" spans="1:18" s="33" customFormat="1" ht="150.75" customHeight="1" x14ac:dyDescent="0.3">
      <c r="A54" s="119" t="s">
        <v>267</v>
      </c>
      <c r="B54" s="498" t="s">
        <v>243</v>
      </c>
      <c r="C54" s="467"/>
      <c r="D54" s="23" t="s">
        <v>268</v>
      </c>
      <c r="E54" s="69">
        <v>2019</v>
      </c>
      <c r="F54" s="69">
        <v>0</v>
      </c>
      <c r="G54" s="24">
        <v>5310.41</v>
      </c>
      <c r="H54" s="3">
        <v>0.4</v>
      </c>
      <c r="I54" s="24">
        <v>2124.16</v>
      </c>
      <c r="J54" s="100">
        <v>43646</v>
      </c>
      <c r="K54" s="30" t="s">
        <v>264</v>
      </c>
      <c r="L54" s="492"/>
      <c r="M54" s="31">
        <v>2124.16</v>
      </c>
      <c r="N54" s="119" t="s">
        <v>213</v>
      </c>
      <c r="O54" s="186" t="s">
        <v>265</v>
      </c>
      <c r="P54" s="150" t="s">
        <v>214</v>
      </c>
      <c r="Q54" s="158" t="s">
        <v>214</v>
      </c>
      <c r="R54" s="158" t="s">
        <v>266</v>
      </c>
    </row>
    <row r="55" spans="1:18" s="33" customFormat="1" ht="150.75" customHeight="1" x14ac:dyDescent="0.3">
      <c r="A55" s="119" t="s">
        <v>269</v>
      </c>
      <c r="B55" s="498" t="s">
        <v>243</v>
      </c>
      <c r="C55" s="467"/>
      <c r="D55" s="23" t="s">
        <v>270</v>
      </c>
      <c r="E55" s="69">
        <v>2019</v>
      </c>
      <c r="F55" s="69">
        <v>0</v>
      </c>
      <c r="G55" s="24">
        <v>6745.4</v>
      </c>
      <c r="H55" s="3">
        <v>0.4</v>
      </c>
      <c r="I55" s="24">
        <v>2698.16</v>
      </c>
      <c r="J55" s="100">
        <v>43665</v>
      </c>
      <c r="K55" s="30" t="s">
        <v>264</v>
      </c>
      <c r="L55" s="492"/>
      <c r="M55" s="31">
        <v>2698.16</v>
      </c>
      <c r="N55" s="119" t="s">
        <v>213</v>
      </c>
      <c r="O55" s="186" t="s">
        <v>265</v>
      </c>
      <c r="P55" s="150" t="s">
        <v>214</v>
      </c>
      <c r="Q55" s="158" t="s">
        <v>214</v>
      </c>
      <c r="R55" s="158" t="s">
        <v>266</v>
      </c>
    </row>
    <row r="56" spans="1:18" s="33" customFormat="1" ht="150" customHeight="1" x14ac:dyDescent="0.3">
      <c r="A56" s="119" t="s">
        <v>271</v>
      </c>
      <c r="B56" s="498" t="s">
        <v>272</v>
      </c>
      <c r="C56" s="467"/>
      <c r="D56" s="23" t="s">
        <v>273</v>
      </c>
      <c r="E56" s="69">
        <v>2021</v>
      </c>
      <c r="F56" s="69">
        <v>0</v>
      </c>
      <c r="G56" s="24">
        <v>1845.33</v>
      </c>
      <c r="H56" s="3">
        <v>0.5</v>
      </c>
      <c r="I56" s="24">
        <v>922.67</v>
      </c>
      <c r="J56" s="100">
        <v>44525</v>
      </c>
      <c r="K56" s="167" t="s">
        <v>274</v>
      </c>
      <c r="L56" s="501"/>
      <c r="M56" s="31">
        <v>922.67</v>
      </c>
      <c r="N56" s="119" t="s">
        <v>213</v>
      </c>
      <c r="O56" s="186" t="s">
        <v>265</v>
      </c>
      <c r="P56" s="150" t="s">
        <v>214</v>
      </c>
      <c r="Q56" s="158" t="s">
        <v>214</v>
      </c>
      <c r="R56" s="158" t="s">
        <v>266</v>
      </c>
    </row>
    <row r="57" spans="1:18" s="33" customFormat="1" ht="48" customHeight="1" x14ac:dyDescent="0.3">
      <c r="A57" s="495" t="s">
        <v>249</v>
      </c>
      <c r="B57" s="485"/>
      <c r="C57" s="485"/>
      <c r="D57" s="485"/>
      <c r="E57" s="485"/>
      <c r="F57" s="485"/>
      <c r="G57" s="485"/>
      <c r="H57" s="486"/>
      <c r="I57" s="72">
        <v>8575.02</v>
      </c>
      <c r="J57" s="487" t="s">
        <v>250</v>
      </c>
      <c r="K57" s="488"/>
      <c r="L57" s="488"/>
      <c r="M57" s="488"/>
      <c r="N57" s="488"/>
      <c r="O57" s="488"/>
      <c r="P57" s="490"/>
      <c r="Q57" s="161"/>
      <c r="R57" s="190" t="s">
        <v>214</v>
      </c>
    </row>
    <row r="58" spans="1:18" ht="15.6" x14ac:dyDescent="0.3">
      <c r="A58" s="4"/>
      <c r="B58" s="4"/>
      <c r="C58" s="4"/>
      <c r="D58" s="4"/>
      <c r="E58" s="4"/>
      <c r="F58" s="4"/>
      <c r="G58" s="4"/>
      <c r="H58" s="4"/>
      <c r="I58" s="4"/>
      <c r="J58" s="4"/>
      <c r="K58" s="4"/>
      <c r="L58" s="4"/>
      <c r="M58" s="4"/>
      <c r="N58" s="5"/>
      <c r="O58" s="5"/>
      <c r="P58" s="5"/>
      <c r="Q58" s="5"/>
      <c r="R58" s="5"/>
    </row>
    <row r="59" spans="1:18" ht="30.75" customHeight="1" x14ac:dyDescent="0.3">
      <c r="A59" s="442">
        <f>A45+1</f>
        <v>5</v>
      </c>
      <c r="B59" s="443"/>
      <c r="C59" s="443"/>
      <c r="D59" s="444"/>
      <c r="E59" s="445" t="str">
        <f>VLOOKUP(A59,'LISTA DE OFERENTES'!$A$6:$B$38,2,FALSE)</f>
        <v>CONSORCIO PARQUES C&amp;A</v>
      </c>
      <c r="F59" s="446"/>
      <c r="G59" s="446"/>
      <c r="H59" s="446"/>
      <c r="I59" s="446"/>
      <c r="J59" s="446"/>
      <c r="K59" s="446"/>
      <c r="L59" s="446"/>
      <c r="M59" s="446"/>
      <c r="N59" s="446"/>
      <c r="O59" s="446"/>
      <c r="P59" s="446"/>
      <c r="Q59" s="446"/>
      <c r="R59" s="447"/>
    </row>
    <row r="60" spans="1:18" ht="50.25" customHeight="1" x14ac:dyDescent="0.3">
      <c r="A60" s="28" t="s">
        <v>215</v>
      </c>
      <c r="B60" s="85">
        <v>4</v>
      </c>
      <c r="C60" s="29" t="s">
        <v>216</v>
      </c>
      <c r="D60" s="68">
        <f>+$E$506</f>
        <v>1649.6083550000001</v>
      </c>
      <c r="E60" s="448"/>
      <c r="F60" s="449"/>
      <c r="G60" s="449"/>
      <c r="H60" s="449"/>
      <c r="I60" s="449"/>
      <c r="J60" s="449"/>
      <c r="K60" s="449"/>
      <c r="L60" s="449"/>
      <c r="M60" s="449"/>
      <c r="N60" s="449"/>
      <c r="O60" s="449"/>
      <c r="P60" s="449"/>
      <c r="Q60" s="449"/>
      <c r="R60" s="450"/>
    </row>
    <row r="61" spans="1:18" ht="30" customHeight="1" x14ac:dyDescent="0.3">
      <c r="A61" s="454" t="s">
        <v>217</v>
      </c>
      <c r="B61" s="455"/>
      <c r="C61" s="70">
        <f>IF(B60&lt;3,0.75,IF(B60&lt;5,1.2,1.5))</f>
        <v>1.2</v>
      </c>
      <c r="D61" s="71">
        <f>+D60*C61</f>
        <v>1979.5300259999999</v>
      </c>
      <c r="E61" s="448"/>
      <c r="F61" s="449"/>
      <c r="G61" s="449"/>
      <c r="H61" s="449"/>
      <c r="I61" s="449"/>
      <c r="J61" s="449"/>
      <c r="K61" s="449"/>
      <c r="L61" s="449"/>
      <c r="M61" s="449"/>
      <c r="N61" s="449"/>
      <c r="O61" s="449"/>
      <c r="P61" s="449"/>
      <c r="Q61" s="449"/>
      <c r="R61" s="450"/>
    </row>
    <row r="62" spans="1:18" ht="30" customHeight="1" x14ac:dyDescent="0.3">
      <c r="A62" s="456" t="s">
        <v>218</v>
      </c>
      <c r="B62" s="455"/>
      <c r="C62" s="457">
        <v>44771</v>
      </c>
      <c r="D62" s="458"/>
      <c r="E62" s="448"/>
      <c r="F62" s="449"/>
      <c r="G62" s="449"/>
      <c r="H62" s="449"/>
      <c r="I62" s="449"/>
      <c r="J62" s="449"/>
      <c r="K62" s="449"/>
      <c r="L62" s="449"/>
      <c r="M62" s="449"/>
      <c r="N62" s="449"/>
      <c r="O62" s="449"/>
      <c r="P62" s="449"/>
      <c r="Q62" s="449"/>
      <c r="R62" s="450"/>
    </row>
    <row r="63" spans="1:18" ht="30" customHeight="1" x14ac:dyDescent="0.3">
      <c r="A63" s="459" t="s">
        <v>219</v>
      </c>
      <c r="B63" s="460"/>
      <c r="C63" s="472" t="str">
        <f>+IF(I72&gt;D61,"CUMPLE","NO CUMPLE")</f>
        <v>CUMPLE</v>
      </c>
      <c r="D63" s="473"/>
      <c r="E63" s="451"/>
      <c r="F63" s="452"/>
      <c r="G63" s="452"/>
      <c r="H63" s="452"/>
      <c r="I63" s="452"/>
      <c r="J63" s="452"/>
      <c r="K63" s="452"/>
      <c r="L63" s="452"/>
      <c r="M63" s="452"/>
      <c r="N63" s="452"/>
      <c r="O63" s="452"/>
      <c r="P63" s="452"/>
      <c r="Q63" s="452"/>
      <c r="R63" s="453"/>
    </row>
    <row r="64" spans="1:18" ht="55.5" customHeight="1" x14ac:dyDescent="0.3">
      <c r="A64" s="474" t="s">
        <v>220</v>
      </c>
      <c r="B64" s="475"/>
      <c r="C64" s="475"/>
      <c r="D64" s="475"/>
      <c r="E64" s="475"/>
      <c r="F64" s="475"/>
      <c r="G64" s="475"/>
      <c r="H64" s="475"/>
      <c r="I64" s="476"/>
      <c r="J64" s="81" t="s">
        <v>221</v>
      </c>
      <c r="K64" s="103" t="s">
        <v>222</v>
      </c>
      <c r="L64" s="477" t="s">
        <v>223</v>
      </c>
      <c r="M64" s="476"/>
      <c r="N64" s="478" t="s">
        <v>224</v>
      </c>
      <c r="O64" s="480" t="s">
        <v>225</v>
      </c>
      <c r="P64" s="481"/>
      <c r="Q64" s="478" t="s">
        <v>226</v>
      </c>
      <c r="R64" s="461" t="s">
        <v>227</v>
      </c>
    </row>
    <row r="65" spans="1:18" ht="77.25" customHeight="1" x14ac:dyDescent="0.3">
      <c r="A65" s="82" t="s">
        <v>228</v>
      </c>
      <c r="B65" s="463" t="s">
        <v>229</v>
      </c>
      <c r="C65" s="464"/>
      <c r="D65" s="83" t="s">
        <v>230</v>
      </c>
      <c r="E65" s="83" t="s">
        <v>231</v>
      </c>
      <c r="F65" s="83" t="s">
        <v>232</v>
      </c>
      <c r="G65" s="83" t="s">
        <v>233</v>
      </c>
      <c r="H65" s="116" t="s">
        <v>234</v>
      </c>
      <c r="I65" s="116" t="s">
        <v>235</v>
      </c>
      <c r="J65" s="84" t="s">
        <v>236</v>
      </c>
      <c r="K65" s="84" t="s">
        <v>237</v>
      </c>
      <c r="L65" s="84" t="s">
        <v>238</v>
      </c>
      <c r="M65" s="84" t="s">
        <v>239</v>
      </c>
      <c r="N65" s="479"/>
      <c r="O65" s="482"/>
      <c r="P65" s="483"/>
      <c r="Q65" s="479"/>
      <c r="R65" s="462"/>
    </row>
    <row r="66" spans="1:18" ht="36.75" customHeight="1" x14ac:dyDescent="0.3">
      <c r="A66" s="86" t="str">
        <f>+'LISTA DE OFERENTES'!G10</f>
        <v>AGORASPORT SA SUCURSAL COLOMBIA</v>
      </c>
      <c r="B66" s="87"/>
      <c r="C66" s="87"/>
      <c r="D66" s="87"/>
      <c r="E66" s="87"/>
      <c r="F66" s="87"/>
      <c r="G66" s="87"/>
      <c r="H66" s="87"/>
      <c r="I66" s="87"/>
      <c r="J66" s="87"/>
      <c r="K66" s="87"/>
      <c r="L66" s="491" t="str">
        <f>+A66</f>
        <v>AGORASPORT SA SUCURSAL COLOMBIA</v>
      </c>
      <c r="M66" s="87"/>
      <c r="N66" s="87"/>
      <c r="O66" s="162" t="s">
        <v>241</v>
      </c>
      <c r="P66" s="87"/>
      <c r="Q66" s="87"/>
      <c r="R66" s="90"/>
    </row>
    <row r="67" spans="1:18" s="33" customFormat="1" ht="107.25" customHeight="1" x14ac:dyDescent="0.3">
      <c r="A67" s="119" t="s">
        <v>275</v>
      </c>
      <c r="B67" s="498" t="s">
        <v>276</v>
      </c>
      <c r="C67" s="467"/>
      <c r="D67" s="238">
        <f>18008440575.8-(935101481+82429000)*1.3</f>
        <v>16685650950.5</v>
      </c>
      <c r="E67" s="69">
        <v>2015</v>
      </c>
      <c r="F67" s="185">
        <f>1517.25+4020.57+433.44+401.28+669.8</f>
        <v>7042.3399999999992</v>
      </c>
      <c r="G67" s="24">
        <f>D67/(VLOOKUP(E67,$D$533:$E$564,2,FALSE))</f>
        <v>25895.322341118957</v>
      </c>
      <c r="H67" s="3">
        <v>1</v>
      </c>
      <c r="I67" s="24">
        <f>H67*G67</f>
        <v>25895.322341118957</v>
      </c>
      <c r="J67" s="100">
        <v>42357</v>
      </c>
      <c r="K67" s="30" t="s">
        <v>247</v>
      </c>
      <c r="L67" s="492"/>
      <c r="M67" s="31">
        <f>I67</f>
        <v>25895.322341118957</v>
      </c>
      <c r="N67" s="119" t="s">
        <v>213</v>
      </c>
      <c r="O67" s="186" t="str">
        <f>+CONCATENATE(FIXED(F67*H67,2)," ","m2")</f>
        <v>7.042,34 m2</v>
      </c>
      <c r="P67" s="119" t="s">
        <v>213</v>
      </c>
      <c r="Q67" s="142" t="s">
        <v>213</v>
      </c>
      <c r="R67" s="32" t="s">
        <v>277</v>
      </c>
    </row>
    <row r="68" spans="1:18" s="33" customFormat="1" ht="107.25" customHeight="1" x14ac:dyDescent="0.3">
      <c r="A68" s="119" t="s">
        <v>278</v>
      </c>
      <c r="B68" s="502" t="s">
        <v>276</v>
      </c>
      <c r="C68" s="471"/>
      <c r="D68" s="23">
        <f>(559738963+126792745+13976865+29119620+19042902.93+11755800+21790080.78)*1.3</f>
        <v>1016882069.7229999</v>
      </c>
      <c r="E68" s="69">
        <v>2015</v>
      </c>
      <c r="F68" s="185">
        <v>0</v>
      </c>
      <c r="G68" s="24">
        <f>D68/(VLOOKUP(E68,$D$533:$E$564,2,FALSE))</f>
        <v>1578.1517338759991</v>
      </c>
      <c r="H68" s="3">
        <v>1</v>
      </c>
      <c r="I68" s="24">
        <f>H68*G68</f>
        <v>1578.1517338759991</v>
      </c>
      <c r="J68" s="100">
        <v>42308</v>
      </c>
      <c r="K68" s="30" t="s">
        <v>247</v>
      </c>
      <c r="L68" s="492"/>
      <c r="M68" s="31">
        <f>I68</f>
        <v>1578.1517338759991</v>
      </c>
      <c r="N68" s="119" t="s">
        <v>213</v>
      </c>
      <c r="O68" s="186" t="str">
        <f>+CONCATENATE(FIXED(F68*H68,2)," ","m2")</f>
        <v>0,00 m2</v>
      </c>
      <c r="P68" s="119"/>
      <c r="Q68" s="142" t="s">
        <v>213</v>
      </c>
      <c r="R68" s="32" t="s">
        <v>279</v>
      </c>
    </row>
    <row r="69" spans="1:18" s="247" customFormat="1" ht="107.25" customHeight="1" x14ac:dyDescent="0.3">
      <c r="A69" s="248" t="str">
        <f>+'LISTA DE OFERENTES'!K10</f>
        <v>INGENIERIA, CONSULTORIA, SUMINISTROS Y SERVICIOS INTEGRALES S.A.S</v>
      </c>
      <c r="B69" s="503"/>
      <c r="C69" s="469"/>
      <c r="D69" s="248"/>
      <c r="E69" s="248"/>
      <c r="F69" s="248"/>
      <c r="G69" s="248"/>
      <c r="H69" s="248"/>
      <c r="I69" s="248"/>
      <c r="J69" s="248"/>
      <c r="K69" s="249"/>
      <c r="L69" s="492"/>
      <c r="M69" s="250"/>
      <c r="N69" s="248"/>
      <c r="O69" s="248"/>
      <c r="P69" s="248"/>
      <c r="Q69" s="251"/>
      <c r="R69" s="252"/>
    </row>
    <row r="70" spans="1:18" s="33" customFormat="1" ht="111" customHeight="1" x14ac:dyDescent="0.3">
      <c r="A70" s="119" t="s">
        <v>280</v>
      </c>
      <c r="B70" s="498" t="s">
        <v>281</v>
      </c>
      <c r="C70" s="467"/>
      <c r="D70" s="23">
        <v>576366927</v>
      </c>
      <c r="E70" s="69">
        <v>2020</v>
      </c>
      <c r="F70" s="185">
        <v>1038</v>
      </c>
      <c r="G70" s="24">
        <f>D70/(VLOOKUP(E70,$D$533:$E$564,2,FALSE))</f>
        <v>656.601682837721</v>
      </c>
      <c r="H70" s="3">
        <v>1</v>
      </c>
      <c r="I70" s="24">
        <f>H70*G70</f>
        <v>656.601682837721</v>
      </c>
      <c r="J70" s="100">
        <v>43900</v>
      </c>
      <c r="K70" s="30" t="s">
        <v>247</v>
      </c>
      <c r="L70" s="492"/>
      <c r="M70" s="31">
        <f>I70</f>
        <v>656.601682837721</v>
      </c>
      <c r="N70" s="119" t="s">
        <v>213</v>
      </c>
      <c r="O70" s="186" t="str">
        <f>+CONCATENATE(FIXED(F70*H70,2)," ","m2")</f>
        <v>1.038,00 m2</v>
      </c>
      <c r="P70" s="119"/>
      <c r="Q70" s="142" t="s">
        <v>213</v>
      </c>
      <c r="R70" s="32" t="s">
        <v>282</v>
      </c>
    </row>
    <row r="71" spans="1:18" s="33" customFormat="1" ht="111" customHeight="1" x14ac:dyDescent="0.3">
      <c r="A71" s="119" t="s">
        <v>283</v>
      </c>
      <c r="B71" s="498" t="s">
        <v>284</v>
      </c>
      <c r="C71" s="467"/>
      <c r="D71" s="23">
        <v>4197495289</v>
      </c>
      <c r="E71" s="69">
        <v>2018</v>
      </c>
      <c r="F71" s="185">
        <v>436.82</v>
      </c>
      <c r="G71" s="24">
        <f>D71/(VLOOKUP(E71,$D$533:$E$564,2,FALSE))</f>
        <v>5372.8489878936361</v>
      </c>
      <c r="H71" s="3">
        <v>0.9</v>
      </c>
      <c r="I71" s="24">
        <f>H71*G71</f>
        <v>4835.5640891042731</v>
      </c>
      <c r="J71" s="100">
        <v>43455</v>
      </c>
      <c r="K71" s="30" t="s">
        <v>285</v>
      </c>
      <c r="L71" s="492"/>
      <c r="M71" s="31">
        <f>I71</f>
        <v>4835.5640891042731</v>
      </c>
      <c r="N71" s="119" t="s">
        <v>213</v>
      </c>
      <c r="O71" s="186" t="str">
        <f>+CONCATENATE(FIXED(F71*H71,2)," ","m2")</f>
        <v>393,14 m2</v>
      </c>
      <c r="P71" s="119"/>
      <c r="Q71" s="142" t="s">
        <v>213</v>
      </c>
      <c r="R71" s="32" t="s">
        <v>282</v>
      </c>
    </row>
    <row r="72" spans="1:18" s="33" customFormat="1" ht="48" customHeight="1" x14ac:dyDescent="0.3">
      <c r="A72" s="495" t="s">
        <v>249</v>
      </c>
      <c r="B72" s="485"/>
      <c r="C72" s="485"/>
      <c r="D72" s="485"/>
      <c r="E72" s="485"/>
      <c r="F72" s="485"/>
      <c r="G72" s="485"/>
      <c r="H72" s="486"/>
      <c r="I72" s="72">
        <f>SUM(I67:I71)</f>
        <v>32965.639846936952</v>
      </c>
      <c r="J72" s="487" t="s">
        <v>250</v>
      </c>
      <c r="K72" s="488"/>
      <c r="L72" s="488"/>
      <c r="M72" s="488"/>
      <c r="N72" s="488"/>
      <c r="O72" s="488"/>
      <c r="P72" s="490"/>
      <c r="Q72" s="136"/>
      <c r="R72" s="92" t="s">
        <v>213</v>
      </c>
    </row>
    <row r="73" spans="1:18" ht="15.6" x14ac:dyDescent="0.3">
      <c r="A73" s="4"/>
      <c r="B73" s="4"/>
      <c r="C73" s="4"/>
      <c r="D73" s="4"/>
      <c r="E73" s="4"/>
      <c r="F73" s="4"/>
      <c r="G73" s="4"/>
      <c r="H73" s="4"/>
      <c r="I73" s="4"/>
      <c r="J73" s="4"/>
      <c r="K73" s="4"/>
      <c r="L73" s="4"/>
      <c r="M73" s="4"/>
      <c r="N73" s="5"/>
      <c r="O73" s="5"/>
      <c r="P73" s="5"/>
      <c r="Q73" s="5"/>
      <c r="R73" s="5"/>
    </row>
    <row r="74" spans="1:18" ht="30.75" customHeight="1" x14ac:dyDescent="0.3">
      <c r="A74" s="442">
        <f>A59+1</f>
        <v>6</v>
      </c>
      <c r="B74" s="443"/>
      <c r="C74" s="443"/>
      <c r="D74" s="444"/>
      <c r="E74" s="445" t="str">
        <f>VLOOKUP(A74,'LISTA DE OFERENTES'!$A$6:$B$38,2,FALSE)</f>
        <v>UNION TEMPORAL TUNAL 2022</v>
      </c>
      <c r="F74" s="446"/>
      <c r="G74" s="446"/>
      <c r="H74" s="446"/>
      <c r="I74" s="446"/>
      <c r="J74" s="446"/>
      <c r="K74" s="446"/>
      <c r="L74" s="446"/>
      <c r="M74" s="446"/>
      <c r="N74" s="446"/>
      <c r="O74" s="446"/>
      <c r="P74" s="446"/>
      <c r="Q74" s="446"/>
      <c r="R74" s="447"/>
    </row>
    <row r="75" spans="1:18" ht="50.25" customHeight="1" x14ac:dyDescent="0.3">
      <c r="A75" s="28" t="s">
        <v>215</v>
      </c>
      <c r="B75" s="85">
        <v>1</v>
      </c>
      <c r="C75" s="29" t="s">
        <v>216</v>
      </c>
      <c r="D75" s="68">
        <f>+$E$506</f>
        <v>1649.6083550000001</v>
      </c>
      <c r="E75" s="448"/>
      <c r="F75" s="449"/>
      <c r="G75" s="449"/>
      <c r="H75" s="449"/>
      <c r="I75" s="449"/>
      <c r="J75" s="449"/>
      <c r="K75" s="449"/>
      <c r="L75" s="449"/>
      <c r="M75" s="449"/>
      <c r="N75" s="449"/>
      <c r="O75" s="449"/>
      <c r="P75" s="449"/>
      <c r="Q75" s="449"/>
      <c r="R75" s="450"/>
    </row>
    <row r="76" spans="1:18" ht="30" customHeight="1" x14ac:dyDescent="0.3">
      <c r="A76" s="454" t="s">
        <v>217</v>
      </c>
      <c r="B76" s="455"/>
      <c r="C76" s="70">
        <f>IF(B75&lt;3,0.75,IF(B75&lt;5,1.2,1.5))</f>
        <v>0.75</v>
      </c>
      <c r="D76" s="71">
        <f>+D75*C76</f>
        <v>1237.20626625</v>
      </c>
      <c r="E76" s="448"/>
      <c r="F76" s="449"/>
      <c r="G76" s="449"/>
      <c r="H76" s="449"/>
      <c r="I76" s="449"/>
      <c r="J76" s="449"/>
      <c r="K76" s="449"/>
      <c r="L76" s="449"/>
      <c r="M76" s="449"/>
      <c r="N76" s="449"/>
      <c r="O76" s="449"/>
      <c r="P76" s="449"/>
      <c r="Q76" s="449"/>
      <c r="R76" s="450"/>
    </row>
    <row r="77" spans="1:18" ht="30" customHeight="1" x14ac:dyDescent="0.3">
      <c r="A77" s="456" t="s">
        <v>218</v>
      </c>
      <c r="B77" s="455"/>
      <c r="C77" s="457">
        <v>44771</v>
      </c>
      <c r="D77" s="458"/>
      <c r="E77" s="448"/>
      <c r="F77" s="449"/>
      <c r="G77" s="449"/>
      <c r="H77" s="449"/>
      <c r="I77" s="449"/>
      <c r="J77" s="449"/>
      <c r="K77" s="449"/>
      <c r="L77" s="449"/>
      <c r="M77" s="449"/>
      <c r="N77" s="449"/>
      <c r="O77" s="449"/>
      <c r="P77" s="449"/>
      <c r="Q77" s="449"/>
      <c r="R77" s="450"/>
    </row>
    <row r="78" spans="1:18" ht="30" customHeight="1" x14ac:dyDescent="0.3">
      <c r="A78" s="459" t="s">
        <v>219</v>
      </c>
      <c r="B78" s="460"/>
      <c r="C78" s="472" t="str">
        <f>+IF(I83&gt;D76,"CUMPLE","NO CUMPLE")</f>
        <v>CUMPLE</v>
      </c>
      <c r="D78" s="473"/>
      <c r="E78" s="451"/>
      <c r="F78" s="452"/>
      <c r="G78" s="452"/>
      <c r="H78" s="452"/>
      <c r="I78" s="452"/>
      <c r="J78" s="452"/>
      <c r="K78" s="452"/>
      <c r="L78" s="452"/>
      <c r="M78" s="452"/>
      <c r="N78" s="452"/>
      <c r="O78" s="452"/>
      <c r="P78" s="452"/>
      <c r="Q78" s="452"/>
      <c r="R78" s="453"/>
    </row>
    <row r="79" spans="1:18" ht="55.5" customHeight="1" x14ac:dyDescent="0.3">
      <c r="A79" s="474" t="s">
        <v>220</v>
      </c>
      <c r="B79" s="475"/>
      <c r="C79" s="475"/>
      <c r="D79" s="475"/>
      <c r="E79" s="475"/>
      <c r="F79" s="475"/>
      <c r="G79" s="475"/>
      <c r="H79" s="475"/>
      <c r="I79" s="476"/>
      <c r="J79" s="81" t="s">
        <v>221</v>
      </c>
      <c r="K79" s="103" t="s">
        <v>222</v>
      </c>
      <c r="L79" s="477" t="s">
        <v>223</v>
      </c>
      <c r="M79" s="476"/>
      <c r="N79" s="478" t="s">
        <v>224</v>
      </c>
      <c r="O79" s="480" t="s">
        <v>225</v>
      </c>
      <c r="P79" s="481"/>
      <c r="Q79" s="478" t="s">
        <v>226</v>
      </c>
      <c r="R79" s="461" t="s">
        <v>227</v>
      </c>
    </row>
    <row r="80" spans="1:18" ht="77.25" customHeight="1" x14ac:dyDescent="0.3">
      <c r="A80" s="82" t="s">
        <v>228</v>
      </c>
      <c r="B80" s="463" t="s">
        <v>229</v>
      </c>
      <c r="C80" s="464"/>
      <c r="D80" s="83" t="s">
        <v>230</v>
      </c>
      <c r="E80" s="83" t="s">
        <v>231</v>
      </c>
      <c r="F80" s="83" t="s">
        <v>232</v>
      </c>
      <c r="G80" s="83" t="s">
        <v>233</v>
      </c>
      <c r="H80" s="116" t="s">
        <v>234</v>
      </c>
      <c r="I80" s="116" t="s">
        <v>235</v>
      </c>
      <c r="J80" s="84" t="s">
        <v>236</v>
      </c>
      <c r="K80" s="84" t="s">
        <v>237</v>
      </c>
      <c r="L80" s="84" t="s">
        <v>238</v>
      </c>
      <c r="M80" s="84" t="s">
        <v>239</v>
      </c>
      <c r="N80" s="479"/>
      <c r="O80" s="482"/>
      <c r="P80" s="483"/>
      <c r="Q80" s="479"/>
      <c r="R80" s="462"/>
    </row>
    <row r="81" spans="1:18" ht="39.9" customHeight="1" x14ac:dyDescent="0.3">
      <c r="A81" s="86" t="s">
        <v>286</v>
      </c>
      <c r="B81" s="87"/>
      <c r="C81" s="87"/>
      <c r="D81" s="87"/>
      <c r="E81" s="87"/>
      <c r="F81" s="87"/>
      <c r="G81" s="87"/>
      <c r="H81" s="87"/>
      <c r="I81" s="87"/>
      <c r="J81" s="87"/>
      <c r="K81" s="87"/>
      <c r="L81" s="491" t="str">
        <f>+A81</f>
        <v>ASOCIACION DE MUNICIPIOS DE LA SUBREGION CIENAGA GRANDE DE SANTAMARTA “ASOCIENAGA”</v>
      </c>
      <c r="M81" s="87"/>
      <c r="N81" s="87"/>
      <c r="O81" s="162" t="s">
        <v>241</v>
      </c>
      <c r="P81" s="87"/>
      <c r="Q81" s="87"/>
      <c r="R81" s="90"/>
    </row>
    <row r="82" spans="1:18" s="33" customFormat="1" ht="150" customHeight="1" x14ac:dyDescent="0.3">
      <c r="A82" s="119" t="s">
        <v>287</v>
      </c>
      <c r="B82" s="498" t="s">
        <v>288</v>
      </c>
      <c r="C82" s="467"/>
      <c r="D82" s="23">
        <v>3679625955</v>
      </c>
      <c r="E82" s="69">
        <v>2018</v>
      </c>
      <c r="F82" s="69">
        <v>3765.77</v>
      </c>
      <c r="G82" s="24">
        <f>D82/(VLOOKUP(E82,$D$533:$E$564,2,FALSE))</f>
        <v>4709.9694524871938</v>
      </c>
      <c r="H82" s="3">
        <v>1</v>
      </c>
      <c r="I82" s="24">
        <f>H82*G82</f>
        <v>4709.9694524871938</v>
      </c>
      <c r="J82" s="100">
        <v>43452</v>
      </c>
      <c r="K82" s="30" t="s">
        <v>257</v>
      </c>
      <c r="L82" s="492"/>
      <c r="M82" s="31">
        <f>I82</f>
        <v>4709.9694524871938</v>
      </c>
      <c r="N82" s="119" t="s">
        <v>213</v>
      </c>
      <c r="O82" s="186" t="str">
        <f>+CONCATENATE(FIXED(F82*H82,2)," ","m2")</f>
        <v>3.765,77 m2</v>
      </c>
      <c r="P82" s="119" t="s">
        <v>213</v>
      </c>
      <c r="Q82" s="142" t="s">
        <v>213</v>
      </c>
      <c r="R82" s="32" t="s">
        <v>289</v>
      </c>
    </row>
    <row r="83" spans="1:18" s="33" customFormat="1" ht="48" customHeight="1" x14ac:dyDescent="0.3">
      <c r="A83" s="495" t="s">
        <v>249</v>
      </c>
      <c r="B83" s="485"/>
      <c r="C83" s="485"/>
      <c r="D83" s="485"/>
      <c r="E83" s="485"/>
      <c r="F83" s="485"/>
      <c r="G83" s="485"/>
      <c r="H83" s="486"/>
      <c r="I83" s="72">
        <f>SUM(I82:I82)</f>
        <v>4709.9694524871938</v>
      </c>
      <c r="J83" s="487" t="s">
        <v>250</v>
      </c>
      <c r="K83" s="488"/>
      <c r="L83" s="488"/>
      <c r="M83" s="488"/>
      <c r="N83" s="488"/>
      <c r="O83" s="488"/>
      <c r="P83" s="490"/>
      <c r="Q83" s="136"/>
      <c r="R83" s="92" t="s">
        <v>213</v>
      </c>
    </row>
    <row r="84" spans="1:18" ht="15.75" customHeight="1" x14ac:dyDescent="0.3">
      <c r="A84" s="4"/>
      <c r="B84" s="4"/>
      <c r="C84" s="120"/>
      <c r="D84" s="120"/>
      <c r="E84" s="120"/>
      <c r="F84" s="120"/>
      <c r="G84" s="120"/>
      <c r="H84" s="120"/>
      <c r="I84" s="120"/>
      <c r="J84" s="120"/>
      <c r="K84" s="120"/>
      <c r="L84" s="120"/>
      <c r="M84" s="120"/>
      <c r="N84" s="120"/>
      <c r="O84" s="120"/>
      <c r="P84" s="120"/>
      <c r="Q84" s="120"/>
      <c r="R84" s="5"/>
    </row>
    <row r="85" spans="1:18" ht="30.75" customHeight="1" x14ac:dyDescent="0.3">
      <c r="A85" s="442">
        <f>A74+1</f>
        <v>7</v>
      </c>
      <c r="B85" s="443"/>
      <c r="C85" s="443"/>
      <c r="D85" s="444"/>
      <c r="E85" s="445" t="str">
        <f>VLOOKUP(A85,'LISTA DE OFERENTES'!$A$6:$B$38,2,FALSE)</f>
        <v>CONSORCIO TUNJUELO 2022</v>
      </c>
      <c r="F85" s="446"/>
      <c r="G85" s="446"/>
      <c r="H85" s="446"/>
      <c r="I85" s="446"/>
      <c r="J85" s="446"/>
      <c r="K85" s="446"/>
      <c r="L85" s="446"/>
      <c r="M85" s="446"/>
      <c r="N85" s="446"/>
      <c r="O85" s="446"/>
      <c r="P85" s="446"/>
      <c r="Q85" s="446"/>
      <c r="R85" s="447"/>
    </row>
    <row r="86" spans="1:18" ht="50.25" customHeight="1" x14ac:dyDescent="0.3">
      <c r="A86" s="28" t="s">
        <v>215</v>
      </c>
      <c r="B86" s="85">
        <v>3</v>
      </c>
      <c r="C86" s="29" t="s">
        <v>216</v>
      </c>
      <c r="D86" s="68">
        <f>+$E$506</f>
        <v>1649.6083550000001</v>
      </c>
      <c r="E86" s="448"/>
      <c r="F86" s="449"/>
      <c r="G86" s="449"/>
      <c r="H86" s="449"/>
      <c r="I86" s="449"/>
      <c r="J86" s="449"/>
      <c r="K86" s="449"/>
      <c r="L86" s="449"/>
      <c r="M86" s="449"/>
      <c r="N86" s="449"/>
      <c r="O86" s="449"/>
      <c r="P86" s="449"/>
      <c r="Q86" s="449"/>
      <c r="R86" s="450"/>
    </row>
    <row r="87" spans="1:18" ht="30" customHeight="1" x14ac:dyDescent="0.3">
      <c r="A87" s="454" t="s">
        <v>217</v>
      </c>
      <c r="B87" s="455"/>
      <c r="C87" s="70">
        <f>IF(B86&lt;3,0.75,IF(B86&lt;5,1.2,1.5))</f>
        <v>1.2</v>
      </c>
      <c r="D87" s="71">
        <f>+D86*C87</f>
        <v>1979.5300259999999</v>
      </c>
      <c r="E87" s="448"/>
      <c r="F87" s="449"/>
      <c r="G87" s="449"/>
      <c r="H87" s="449"/>
      <c r="I87" s="449"/>
      <c r="J87" s="449"/>
      <c r="K87" s="449"/>
      <c r="L87" s="449"/>
      <c r="M87" s="449"/>
      <c r="N87" s="449"/>
      <c r="O87" s="449"/>
      <c r="P87" s="449"/>
      <c r="Q87" s="449"/>
      <c r="R87" s="450"/>
    </row>
    <row r="88" spans="1:18" ht="30" customHeight="1" x14ac:dyDescent="0.3">
      <c r="A88" s="456" t="s">
        <v>218</v>
      </c>
      <c r="B88" s="455"/>
      <c r="C88" s="457">
        <v>44771</v>
      </c>
      <c r="D88" s="458"/>
      <c r="E88" s="448"/>
      <c r="F88" s="449"/>
      <c r="G88" s="449"/>
      <c r="H88" s="449"/>
      <c r="I88" s="449"/>
      <c r="J88" s="449"/>
      <c r="K88" s="449"/>
      <c r="L88" s="449"/>
      <c r="M88" s="449"/>
      <c r="N88" s="449"/>
      <c r="O88" s="449"/>
      <c r="P88" s="449"/>
      <c r="Q88" s="449"/>
      <c r="R88" s="450"/>
    </row>
    <row r="89" spans="1:18" ht="30" customHeight="1" x14ac:dyDescent="0.3">
      <c r="A89" s="459" t="s">
        <v>219</v>
      </c>
      <c r="B89" s="460"/>
      <c r="C89" s="472" t="str">
        <f>+IF(I98&gt;D87,"CUMPLE","NO CUMPLE")</f>
        <v>CUMPLE</v>
      </c>
      <c r="D89" s="473"/>
      <c r="E89" s="451"/>
      <c r="F89" s="452"/>
      <c r="G89" s="452"/>
      <c r="H89" s="452"/>
      <c r="I89" s="452"/>
      <c r="J89" s="452"/>
      <c r="K89" s="452"/>
      <c r="L89" s="452"/>
      <c r="M89" s="452"/>
      <c r="N89" s="452"/>
      <c r="O89" s="452"/>
      <c r="P89" s="452"/>
      <c r="Q89" s="452"/>
      <c r="R89" s="453"/>
    </row>
    <row r="90" spans="1:18" ht="55.5" customHeight="1" x14ac:dyDescent="0.3">
      <c r="A90" s="474" t="s">
        <v>220</v>
      </c>
      <c r="B90" s="475"/>
      <c r="C90" s="475"/>
      <c r="D90" s="475"/>
      <c r="E90" s="475"/>
      <c r="F90" s="475"/>
      <c r="G90" s="475"/>
      <c r="H90" s="475"/>
      <c r="I90" s="476"/>
      <c r="J90" s="81" t="s">
        <v>221</v>
      </c>
      <c r="K90" s="103" t="s">
        <v>222</v>
      </c>
      <c r="L90" s="477" t="s">
        <v>223</v>
      </c>
      <c r="M90" s="476"/>
      <c r="N90" s="478" t="s">
        <v>224</v>
      </c>
      <c r="O90" s="480" t="s">
        <v>225</v>
      </c>
      <c r="P90" s="481"/>
      <c r="Q90" s="478" t="s">
        <v>226</v>
      </c>
      <c r="R90" s="461" t="s">
        <v>227</v>
      </c>
    </row>
    <row r="91" spans="1:18" ht="77.25" customHeight="1" x14ac:dyDescent="0.3">
      <c r="A91" s="82" t="s">
        <v>228</v>
      </c>
      <c r="B91" s="463" t="s">
        <v>229</v>
      </c>
      <c r="C91" s="464"/>
      <c r="D91" s="83" t="s">
        <v>230</v>
      </c>
      <c r="E91" s="83" t="s">
        <v>231</v>
      </c>
      <c r="F91" s="83" t="s">
        <v>232</v>
      </c>
      <c r="G91" s="83" t="s">
        <v>233</v>
      </c>
      <c r="H91" s="116" t="s">
        <v>234</v>
      </c>
      <c r="I91" s="116" t="s">
        <v>235</v>
      </c>
      <c r="J91" s="84" t="s">
        <v>236</v>
      </c>
      <c r="K91" s="84" t="s">
        <v>237</v>
      </c>
      <c r="L91" s="84" t="s">
        <v>238</v>
      </c>
      <c r="M91" s="84" t="s">
        <v>239</v>
      </c>
      <c r="N91" s="479"/>
      <c r="O91" s="482"/>
      <c r="P91" s="483"/>
      <c r="Q91" s="479"/>
      <c r="R91" s="462"/>
    </row>
    <row r="92" spans="1:18" ht="15.6" x14ac:dyDescent="0.3">
      <c r="A92" s="86" t="str">
        <f>VLOOKUP(A85,'LISTA DE OFERENTES'!$A$6:$R$38,7,FALSE)</f>
        <v>JOHN WILLIAM CASALLAS JURADO</v>
      </c>
      <c r="B92" s="87"/>
      <c r="C92" s="87"/>
      <c r="D92" s="87"/>
      <c r="E92" s="87"/>
      <c r="F92" s="87"/>
      <c r="G92" s="87"/>
      <c r="H92" s="87"/>
      <c r="I92" s="87"/>
      <c r="J92" s="87"/>
      <c r="K92" s="87"/>
      <c r="L92" s="496" t="str">
        <f>+A96</f>
        <v>PROCIVIN S.A.S</v>
      </c>
      <c r="M92" s="87"/>
      <c r="N92" s="87"/>
      <c r="O92" s="162" t="s">
        <v>241</v>
      </c>
      <c r="P92" s="87"/>
      <c r="Q92" s="87"/>
      <c r="R92" s="90"/>
    </row>
    <row r="93" spans="1:18" s="33" customFormat="1" ht="150" customHeight="1" x14ac:dyDescent="0.3">
      <c r="A93" s="119" t="s">
        <v>290</v>
      </c>
      <c r="B93" s="498" t="s">
        <v>243</v>
      </c>
      <c r="C93" s="467"/>
      <c r="D93" s="23">
        <v>4737787374</v>
      </c>
      <c r="E93" s="69">
        <v>2018</v>
      </c>
      <c r="F93" s="69">
        <f>17732.95+9012</f>
        <v>26744.95</v>
      </c>
      <c r="G93" s="24">
        <f>D93/(VLOOKUP(E93,$D$533:$E$564,2,FALSE))</f>
        <v>6064.4299384825699</v>
      </c>
      <c r="H93" s="3">
        <v>0.34</v>
      </c>
      <c r="I93" s="24">
        <f>H93*G93</f>
        <v>2061.9061790840738</v>
      </c>
      <c r="J93" s="100">
        <v>43452</v>
      </c>
      <c r="K93" s="30" t="s">
        <v>257</v>
      </c>
      <c r="L93" s="497"/>
      <c r="M93" s="31">
        <f>I93</f>
        <v>2061.9061790840738</v>
      </c>
      <c r="N93" s="119" t="s">
        <v>213</v>
      </c>
      <c r="O93" s="186" t="str">
        <f>+CONCATENATE(FIXED(F93*H93,2)," ","m2")</f>
        <v>9.093,28 m2</v>
      </c>
      <c r="P93" s="119" t="s">
        <v>213</v>
      </c>
      <c r="Q93" s="142" t="s">
        <v>213</v>
      </c>
      <c r="R93" s="32" t="s">
        <v>291</v>
      </c>
    </row>
    <row r="94" spans="1:18" ht="15.6" x14ac:dyDescent="0.3">
      <c r="A94" s="88" t="str">
        <f>VLOOKUP(A85,'LISTA DE OFERENTES'!$A$6:$R$38,11,FALSE)</f>
        <v>EDILEBERTO MATEUS ALVAREZ</v>
      </c>
      <c r="B94" s="499"/>
      <c r="C94" s="500"/>
      <c r="D94" s="88"/>
      <c r="E94" s="88"/>
      <c r="F94" s="88"/>
      <c r="G94" s="88"/>
      <c r="H94" s="88"/>
      <c r="I94" s="147"/>
      <c r="J94" s="88"/>
      <c r="K94" s="89"/>
      <c r="L94" s="497"/>
      <c r="M94" s="91"/>
      <c r="N94" s="88"/>
      <c r="O94" s="88"/>
      <c r="P94" s="88"/>
      <c r="Q94" s="87"/>
      <c r="R94" s="90"/>
    </row>
    <row r="95" spans="1:18" s="33" customFormat="1" ht="150" customHeight="1" x14ac:dyDescent="0.3">
      <c r="A95" s="119" t="s">
        <v>292</v>
      </c>
      <c r="B95" s="498" t="s">
        <v>243</v>
      </c>
      <c r="C95" s="467"/>
      <c r="D95" s="23">
        <v>1122116902</v>
      </c>
      <c r="E95" s="69">
        <v>2009</v>
      </c>
      <c r="F95" s="69">
        <v>6348</v>
      </c>
      <c r="G95" s="24">
        <f>D95/(VLOOKUP(E95,$D$533:$E$564,2,FALSE))</f>
        <v>2258.2348601328235</v>
      </c>
      <c r="H95" s="3">
        <v>0.67</v>
      </c>
      <c r="I95" s="24">
        <f>H95*G95</f>
        <v>1513.0173562889918</v>
      </c>
      <c r="J95" s="100">
        <v>40091</v>
      </c>
      <c r="K95" s="30" t="s">
        <v>257</v>
      </c>
      <c r="L95" s="497"/>
      <c r="M95" s="31">
        <f>I95</f>
        <v>1513.0173562889918</v>
      </c>
      <c r="N95" s="119" t="s">
        <v>213</v>
      </c>
      <c r="O95" s="186" t="str">
        <f>+CONCATENATE(FIXED(F95*H95,2)," ","m2")</f>
        <v>4.253,16 m2</v>
      </c>
      <c r="P95" s="119" t="s">
        <v>213</v>
      </c>
      <c r="Q95" s="142" t="s">
        <v>213</v>
      </c>
      <c r="R95" s="32" t="s">
        <v>291</v>
      </c>
    </row>
    <row r="96" spans="1:18" ht="15.6" x14ac:dyDescent="0.3">
      <c r="A96" s="88" t="str">
        <f>VLOOKUP(A85,'LISTA DE OFERENTES'!$A$6:$R$38,15,FALSE)</f>
        <v>PROCIVIN S.A.S</v>
      </c>
      <c r="B96" s="499"/>
      <c r="C96" s="500"/>
      <c r="D96" s="88"/>
      <c r="E96" s="88"/>
      <c r="F96" s="88"/>
      <c r="G96" s="88"/>
      <c r="H96" s="88"/>
      <c r="I96" s="147"/>
      <c r="J96" s="88"/>
      <c r="K96" s="89"/>
      <c r="L96" s="497"/>
      <c r="M96" s="91"/>
      <c r="N96" s="88"/>
      <c r="O96" s="88"/>
      <c r="P96" s="88"/>
      <c r="Q96" s="87"/>
      <c r="R96" s="90"/>
    </row>
    <row r="97" spans="1:18" s="33" customFormat="1" ht="150" customHeight="1" x14ac:dyDescent="0.3">
      <c r="A97" s="119" t="s">
        <v>293</v>
      </c>
      <c r="B97" s="498" t="s">
        <v>243</v>
      </c>
      <c r="C97" s="467"/>
      <c r="D97" s="23">
        <v>9925109755</v>
      </c>
      <c r="E97" s="69">
        <v>2019</v>
      </c>
      <c r="F97" s="69">
        <v>23145</v>
      </c>
      <c r="G97" s="24">
        <f>D97/(VLOOKUP(E97,$D$533:$E$564,2,FALSE))</f>
        <v>11985.168448623141</v>
      </c>
      <c r="H97" s="3">
        <v>0.25</v>
      </c>
      <c r="I97" s="24">
        <f>H97*G97</f>
        <v>2996.2921121557852</v>
      </c>
      <c r="J97" s="100">
        <v>43828</v>
      </c>
      <c r="K97" s="30" t="s">
        <v>257</v>
      </c>
      <c r="L97" s="497"/>
      <c r="M97" s="31">
        <f>I97</f>
        <v>2996.2921121557852</v>
      </c>
      <c r="N97" s="119" t="s">
        <v>213</v>
      </c>
      <c r="O97" s="186" t="str">
        <f>+CONCATENATE(FIXED(F97*H97,2)," ","m2")</f>
        <v>5.786,25 m2</v>
      </c>
      <c r="P97" s="119" t="s">
        <v>213</v>
      </c>
      <c r="Q97" s="142" t="s">
        <v>213</v>
      </c>
      <c r="R97" s="32" t="s">
        <v>294</v>
      </c>
    </row>
    <row r="98" spans="1:18" s="33" customFormat="1" ht="48" customHeight="1" x14ac:dyDescent="0.3">
      <c r="A98" s="495" t="s">
        <v>249</v>
      </c>
      <c r="B98" s="485"/>
      <c r="C98" s="485"/>
      <c r="D98" s="485"/>
      <c r="E98" s="485"/>
      <c r="F98" s="485"/>
      <c r="G98" s="485"/>
      <c r="H98" s="486"/>
      <c r="I98" s="72">
        <f>SUM(I93:I97)</f>
        <v>6571.2156475288502</v>
      </c>
      <c r="J98" s="487" t="s">
        <v>250</v>
      </c>
      <c r="K98" s="488"/>
      <c r="L98" s="488"/>
      <c r="M98" s="488"/>
      <c r="N98" s="488"/>
      <c r="O98" s="488"/>
      <c r="P98" s="490"/>
      <c r="Q98" s="136"/>
      <c r="R98" s="92" t="s">
        <v>213</v>
      </c>
    </row>
    <row r="99" spans="1:18" ht="15.6" x14ac:dyDescent="0.3">
      <c r="A99" s="4"/>
      <c r="B99" s="4"/>
      <c r="C99" s="4"/>
      <c r="D99" s="4"/>
      <c r="E99" s="4"/>
      <c r="F99" s="4"/>
      <c r="G99" s="4"/>
      <c r="H99" s="4"/>
      <c r="I99" s="4"/>
      <c r="J99" s="4"/>
      <c r="K99" s="4"/>
      <c r="L99" s="4"/>
      <c r="M99" s="4"/>
      <c r="N99" s="5"/>
      <c r="O99" s="5"/>
      <c r="P99" s="5"/>
      <c r="Q99" s="5"/>
      <c r="R99" s="5"/>
    </row>
    <row r="100" spans="1:18" ht="30.75" customHeight="1" x14ac:dyDescent="0.3">
      <c r="A100" s="442">
        <f>A85+1</f>
        <v>8</v>
      </c>
      <c r="B100" s="443"/>
      <c r="C100" s="443"/>
      <c r="D100" s="444"/>
      <c r="E100" s="445" t="str">
        <f>VLOOKUP(A100,'LISTA DE OFERENTES'!$A$6:$B$38,2,FALSE)</f>
        <v>CONSORCIO INGENIERÍA I</v>
      </c>
      <c r="F100" s="446"/>
      <c r="G100" s="446"/>
      <c r="H100" s="446"/>
      <c r="I100" s="446"/>
      <c r="J100" s="446"/>
      <c r="K100" s="446"/>
      <c r="L100" s="446"/>
      <c r="M100" s="446"/>
      <c r="N100" s="446"/>
      <c r="O100" s="446"/>
      <c r="P100" s="446"/>
      <c r="Q100" s="446"/>
      <c r="R100" s="447"/>
    </row>
    <row r="101" spans="1:18" ht="50.25" customHeight="1" x14ac:dyDescent="0.3">
      <c r="A101" s="28" t="s">
        <v>215</v>
      </c>
      <c r="B101" s="85">
        <v>2</v>
      </c>
      <c r="C101" s="29" t="s">
        <v>216</v>
      </c>
      <c r="D101" s="68">
        <f>+$E$506</f>
        <v>1649.6083550000001</v>
      </c>
      <c r="E101" s="448"/>
      <c r="F101" s="449"/>
      <c r="G101" s="449"/>
      <c r="H101" s="449"/>
      <c r="I101" s="449"/>
      <c r="J101" s="449"/>
      <c r="K101" s="449"/>
      <c r="L101" s="449"/>
      <c r="M101" s="449"/>
      <c r="N101" s="449"/>
      <c r="O101" s="449"/>
      <c r="P101" s="449"/>
      <c r="Q101" s="449"/>
      <c r="R101" s="450"/>
    </row>
    <row r="102" spans="1:18" ht="30" customHeight="1" x14ac:dyDescent="0.3">
      <c r="A102" s="454" t="s">
        <v>217</v>
      </c>
      <c r="B102" s="455"/>
      <c r="C102" s="70">
        <f>IF(B101&lt;3,0.75,IF(B101&lt;5,1.2,1.5))</f>
        <v>0.75</v>
      </c>
      <c r="D102" s="71">
        <f>+D101*C102</f>
        <v>1237.20626625</v>
      </c>
      <c r="E102" s="448"/>
      <c r="F102" s="449"/>
      <c r="G102" s="449"/>
      <c r="H102" s="449"/>
      <c r="I102" s="449"/>
      <c r="J102" s="449"/>
      <c r="K102" s="449"/>
      <c r="L102" s="449"/>
      <c r="M102" s="449"/>
      <c r="N102" s="449"/>
      <c r="O102" s="449"/>
      <c r="P102" s="449"/>
      <c r="Q102" s="449"/>
      <c r="R102" s="450"/>
    </row>
    <row r="103" spans="1:18" ht="30" customHeight="1" x14ac:dyDescent="0.3">
      <c r="A103" s="456" t="s">
        <v>218</v>
      </c>
      <c r="B103" s="455"/>
      <c r="C103" s="457">
        <v>44771</v>
      </c>
      <c r="D103" s="458"/>
      <c r="E103" s="448"/>
      <c r="F103" s="449"/>
      <c r="G103" s="449"/>
      <c r="H103" s="449"/>
      <c r="I103" s="449"/>
      <c r="J103" s="449"/>
      <c r="K103" s="449"/>
      <c r="L103" s="449"/>
      <c r="M103" s="449"/>
      <c r="N103" s="449"/>
      <c r="O103" s="449"/>
      <c r="P103" s="449"/>
      <c r="Q103" s="449"/>
      <c r="R103" s="450"/>
    </row>
    <row r="104" spans="1:18" ht="30" customHeight="1" x14ac:dyDescent="0.3">
      <c r="A104" s="459" t="s">
        <v>219</v>
      </c>
      <c r="B104" s="460"/>
      <c r="C104" s="472" t="str">
        <f>+IF(I111&gt;D102,"CUMPLE","NO CUMPLE")</f>
        <v>CUMPLE</v>
      </c>
      <c r="D104" s="473"/>
      <c r="E104" s="451"/>
      <c r="F104" s="452"/>
      <c r="G104" s="452"/>
      <c r="H104" s="452"/>
      <c r="I104" s="452"/>
      <c r="J104" s="452"/>
      <c r="K104" s="452"/>
      <c r="L104" s="452"/>
      <c r="M104" s="452"/>
      <c r="N104" s="452"/>
      <c r="O104" s="452"/>
      <c r="P104" s="452"/>
      <c r="Q104" s="452"/>
      <c r="R104" s="453"/>
    </row>
    <row r="105" spans="1:18" ht="55.5" customHeight="1" x14ac:dyDescent="0.3">
      <c r="A105" s="474" t="s">
        <v>220</v>
      </c>
      <c r="B105" s="475"/>
      <c r="C105" s="475"/>
      <c r="D105" s="475"/>
      <c r="E105" s="475"/>
      <c r="F105" s="475"/>
      <c r="G105" s="475"/>
      <c r="H105" s="475"/>
      <c r="I105" s="476"/>
      <c r="J105" s="81" t="s">
        <v>221</v>
      </c>
      <c r="K105" s="103" t="s">
        <v>222</v>
      </c>
      <c r="L105" s="477" t="s">
        <v>223</v>
      </c>
      <c r="M105" s="476"/>
      <c r="N105" s="478" t="s">
        <v>224</v>
      </c>
      <c r="O105" s="480" t="s">
        <v>225</v>
      </c>
      <c r="P105" s="481"/>
      <c r="Q105" s="478" t="s">
        <v>226</v>
      </c>
      <c r="R105" s="461" t="s">
        <v>227</v>
      </c>
    </row>
    <row r="106" spans="1:18" ht="77.25" customHeight="1" x14ac:dyDescent="0.3">
      <c r="A106" s="82" t="s">
        <v>228</v>
      </c>
      <c r="B106" s="463" t="s">
        <v>229</v>
      </c>
      <c r="C106" s="464"/>
      <c r="D106" s="83" t="s">
        <v>230</v>
      </c>
      <c r="E106" s="83" t="s">
        <v>231</v>
      </c>
      <c r="F106" s="83" t="s">
        <v>232</v>
      </c>
      <c r="G106" s="83" t="s">
        <v>233</v>
      </c>
      <c r="H106" s="116" t="s">
        <v>234</v>
      </c>
      <c r="I106" s="116" t="s">
        <v>235</v>
      </c>
      <c r="J106" s="84" t="s">
        <v>236</v>
      </c>
      <c r="K106" s="84" t="s">
        <v>237</v>
      </c>
      <c r="L106" s="84" t="s">
        <v>238</v>
      </c>
      <c r="M106" s="84" t="s">
        <v>239</v>
      </c>
      <c r="N106" s="479"/>
      <c r="O106" s="482"/>
      <c r="P106" s="483"/>
      <c r="Q106" s="479"/>
      <c r="R106" s="462"/>
    </row>
    <row r="107" spans="1:18" ht="39.9" customHeight="1" x14ac:dyDescent="0.3">
      <c r="A107" s="86" t="s">
        <v>77</v>
      </c>
      <c r="B107" s="87"/>
      <c r="C107" s="87"/>
      <c r="D107" s="87"/>
      <c r="E107" s="87"/>
      <c r="F107" s="87"/>
      <c r="G107" s="162"/>
      <c r="H107" s="162"/>
      <c r="I107" s="162"/>
      <c r="J107" s="162"/>
      <c r="K107" s="162"/>
      <c r="L107" s="491"/>
      <c r="M107" s="162"/>
      <c r="N107" s="87"/>
      <c r="O107" s="162" t="s">
        <v>241</v>
      </c>
      <c r="P107" s="87"/>
      <c r="Q107" s="159"/>
      <c r="R107" s="90"/>
    </row>
    <row r="108" spans="1:18" s="33" customFormat="1" ht="215.25" customHeight="1" x14ac:dyDescent="0.3">
      <c r="A108" s="119"/>
      <c r="B108" s="498"/>
      <c r="C108" s="467"/>
      <c r="D108" s="23"/>
      <c r="E108" s="156"/>
      <c r="F108" s="156"/>
      <c r="G108" s="24" t="s">
        <v>295</v>
      </c>
      <c r="H108" s="166"/>
      <c r="I108" s="163" t="s">
        <v>295</v>
      </c>
      <c r="J108" s="100"/>
      <c r="K108" s="157"/>
      <c r="L108" s="492"/>
      <c r="M108" s="31" t="s">
        <v>295</v>
      </c>
      <c r="N108" s="119" t="s">
        <v>213</v>
      </c>
      <c r="O108" s="186" t="s">
        <v>265</v>
      </c>
      <c r="P108" s="150" t="s">
        <v>213</v>
      </c>
      <c r="Q108" s="158" t="s">
        <v>213</v>
      </c>
      <c r="R108" s="32" t="s">
        <v>296</v>
      </c>
    </row>
    <row r="109" spans="1:18" ht="39.9" customHeight="1" x14ac:dyDescent="0.3">
      <c r="A109" s="86" t="s">
        <v>78</v>
      </c>
      <c r="B109" s="499"/>
      <c r="C109" s="500"/>
      <c r="D109" s="88"/>
      <c r="E109" s="88"/>
      <c r="F109" s="88"/>
      <c r="G109" s="164"/>
      <c r="H109" s="165"/>
      <c r="I109" s="165"/>
      <c r="J109" s="164"/>
      <c r="K109" s="117"/>
      <c r="L109" s="492"/>
      <c r="M109" s="118"/>
      <c r="N109" s="88"/>
      <c r="O109" s="88"/>
      <c r="P109" s="88"/>
      <c r="Q109" s="160"/>
      <c r="R109" s="90"/>
    </row>
    <row r="110" spans="1:18" s="33" customFormat="1" ht="165.75" customHeight="1" x14ac:dyDescent="0.3">
      <c r="A110" s="119"/>
      <c r="B110" s="498"/>
      <c r="C110" s="467"/>
      <c r="D110" s="23"/>
      <c r="E110" s="156"/>
      <c r="F110" s="156"/>
      <c r="G110" s="24" t="s">
        <v>295</v>
      </c>
      <c r="H110" s="166"/>
      <c r="I110" s="163" t="s">
        <v>295</v>
      </c>
      <c r="J110" s="100"/>
      <c r="K110" s="157"/>
      <c r="L110" s="501"/>
      <c r="M110" s="31" t="s">
        <v>295</v>
      </c>
      <c r="N110" s="119" t="s">
        <v>213</v>
      </c>
      <c r="O110" s="186" t="s">
        <v>265</v>
      </c>
      <c r="P110" s="150" t="s">
        <v>214</v>
      </c>
      <c r="Q110" s="158" t="s">
        <v>214</v>
      </c>
      <c r="R110" s="32" t="s">
        <v>296</v>
      </c>
    </row>
    <row r="111" spans="1:18" s="33" customFormat="1" ht="48" customHeight="1" x14ac:dyDescent="0.3">
      <c r="A111" s="495" t="s">
        <v>249</v>
      </c>
      <c r="B111" s="485"/>
      <c r="C111" s="485"/>
      <c r="D111" s="485"/>
      <c r="E111" s="485"/>
      <c r="F111" s="485"/>
      <c r="G111" s="485"/>
      <c r="H111" s="486"/>
      <c r="I111" s="72" t="s">
        <v>295</v>
      </c>
      <c r="J111" s="487" t="s">
        <v>250</v>
      </c>
      <c r="K111" s="488"/>
      <c r="L111" s="488"/>
      <c r="M111" s="488"/>
      <c r="N111" s="488"/>
      <c r="O111" s="488"/>
      <c r="P111" s="490"/>
      <c r="Q111" s="161"/>
      <c r="R111" s="92"/>
    </row>
    <row r="112" spans="1:18" ht="15.6" x14ac:dyDescent="0.3">
      <c r="A112" s="4"/>
      <c r="B112" s="4"/>
      <c r="C112" s="4"/>
      <c r="D112" s="4"/>
      <c r="E112" s="4"/>
      <c r="F112" s="4"/>
      <c r="G112" s="4"/>
      <c r="H112" s="4"/>
      <c r="I112" s="4"/>
      <c r="J112" s="4"/>
      <c r="K112" s="4"/>
      <c r="L112" s="4"/>
      <c r="M112" s="4"/>
      <c r="N112" s="5"/>
      <c r="O112" s="5"/>
      <c r="P112" s="5"/>
      <c r="Q112" s="5"/>
      <c r="R112" s="5"/>
    </row>
    <row r="113" spans="1:18" ht="30.75" customHeight="1" x14ac:dyDescent="0.3">
      <c r="A113" s="442">
        <f>A100+1</f>
        <v>9</v>
      </c>
      <c r="B113" s="443"/>
      <c r="C113" s="443"/>
      <c r="D113" s="444"/>
      <c r="E113" s="445" t="str">
        <f>VLOOKUP(A113,'LISTA DE OFERENTES'!$A$6:$B$38,2,FALSE)</f>
        <v>UNIÓN TEMPORAL BCC PARQUES BOGOTA 2022</v>
      </c>
      <c r="F113" s="446"/>
      <c r="G113" s="446"/>
      <c r="H113" s="446"/>
      <c r="I113" s="446"/>
      <c r="J113" s="446"/>
      <c r="K113" s="446"/>
      <c r="L113" s="446"/>
      <c r="M113" s="446"/>
      <c r="N113" s="446"/>
      <c r="O113" s="446"/>
      <c r="P113" s="446"/>
      <c r="Q113" s="446"/>
      <c r="R113" s="447"/>
    </row>
    <row r="114" spans="1:18" ht="50.25" customHeight="1" x14ac:dyDescent="0.3">
      <c r="A114" s="28" t="s">
        <v>215</v>
      </c>
      <c r="B114" s="85">
        <v>3</v>
      </c>
      <c r="C114" s="29" t="s">
        <v>216</v>
      </c>
      <c r="D114" s="68">
        <f>+$E$506</f>
        <v>1649.6083550000001</v>
      </c>
      <c r="E114" s="448"/>
      <c r="F114" s="449"/>
      <c r="G114" s="449"/>
      <c r="H114" s="449"/>
      <c r="I114" s="449"/>
      <c r="J114" s="449"/>
      <c r="K114" s="449"/>
      <c r="L114" s="449"/>
      <c r="M114" s="449"/>
      <c r="N114" s="449"/>
      <c r="O114" s="449"/>
      <c r="P114" s="449"/>
      <c r="Q114" s="449"/>
      <c r="R114" s="450"/>
    </row>
    <row r="115" spans="1:18" ht="30" customHeight="1" x14ac:dyDescent="0.3">
      <c r="A115" s="454" t="s">
        <v>217</v>
      </c>
      <c r="B115" s="455"/>
      <c r="C115" s="70">
        <f>IF(B114&lt;3,0.75,IF(B114&lt;5,1.2,1.5))</f>
        <v>1.2</v>
      </c>
      <c r="D115" s="71">
        <f>+D114*C115</f>
        <v>1979.5300259999999</v>
      </c>
      <c r="E115" s="448"/>
      <c r="F115" s="449"/>
      <c r="G115" s="449"/>
      <c r="H115" s="449"/>
      <c r="I115" s="449"/>
      <c r="J115" s="449"/>
      <c r="K115" s="449"/>
      <c r="L115" s="449"/>
      <c r="M115" s="449"/>
      <c r="N115" s="449"/>
      <c r="O115" s="449"/>
      <c r="P115" s="449"/>
      <c r="Q115" s="449"/>
      <c r="R115" s="450"/>
    </row>
    <row r="116" spans="1:18" ht="30" customHeight="1" x14ac:dyDescent="0.3">
      <c r="A116" s="456" t="s">
        <v>218</v>
      </c>
      <c r="B116" s="455"/>
      <c r="C116" s="457">
        <v>44771</v>
      </c>
      <c r="D116" s="458"/>
      <c r="E116" s="448"/>
      <c r="F116" s="449"/>
      <c r="G116" s="449"/>
      <c r="H116" s="449"/>
      <c r="I116" s="449"/>
      <c r="J116" s="449"/>
      <c r="K116" s="449"/>
      <c r="L116" s="449"/>
      <c r="M116" s="449"/>
      <c r="N116" s="449"/>
      <c r="O116" s="449"/>
      <c r="P116" s="449"/>
      <c r="Q116" s="449"/>
      <c r="R116" s="450"/>
    </row>
    <row r="117" spans="1:18" ht="30" customHeight="1" x14ac:dyDescent="0.3">
      <c r="A117" s="459" t="s">
        <v>219</v>
      </c>
      <c r="B117" s="460"/>
      <c r="C117" s="472" t="str">
        <f>+IF(I126&gt;D115,"CUMPLE","NO CUMPLE")</f>
        <v>CUMPLE</v>
      </c>
      <c r="D117" s="473"/>
      <c r="E117" s="451"/>
      <c r="F117" s="452"/>
      <c r="G117" s="452"/>
      <c r="H117" s="452"/>
      <c r="I117" s="452"/>
      <c r="J117" s="452"/>
      <c r="K117" s="452"/>
      <c r="L117" s="452"/>
      <c r="M117" s="452"/>
      <c r="N117" s="452"/>
      <c r="O117" s="452"/>
      <c r="P117" s="452"/>
      <c r="Q117" s="452"/>
      <c r="R117" s="453"/>
    </row>
    <row r="118" spans="1:18" ht="55.5" customHeight="1" x14ac:dyDescent="0.3">
      <c r="A118" s="474" t="s">
        <v>220</v>
      </c>
      <c r="B118" s="475"/>
      <c r="C118" s="475"/>
      <c r="D118" s="475"/>
      <c r="E118" s="475"/>
      <c r="F118" s="475"/>
      <c r="G118" s="475"/>
      <c r="H118" s="475"/>
      <c r="I118" s="476"/>
      <c r="J118" s="81" t="s">
        <v>221</v>
      </c>
      <c r="K118" s="103" t="s">
        <v>222</v>
      </c>
      <c r="L118" s="477" t="s">
        <v>223</v>
      </c>
      <c r="M118" s="476"/>
      <c r="N118" s="478" t="s">
        <v>224</v>
      </c>
      <c r="O118" s="480" t="s">
        <v>225</v>
      </c>
      <c r="P118" s="481"/>
      <c r="Q118" s="478" t="s">
        <v>226</v>
      </c>
      <c r="R118" s="461" t="s">
        <v>227</v>
      </c>
    </row>
    <row r="119" spans="1:18" ht="77.25" customHeight="1" x14ac:dyDescent="0.3">
      <c r="A119" s="82" t="s">
        <v>228</v>
      </c>
      <c r="B119" s="463" t="s">
        <v>229</v>
      </c>
      <c r="C119" s="464"/>
      <c r="D119" s="83" t="s">
        <v>230</v>
      </c>
      <c r="E119" s="83" t="s">
        <v>231</v>
      </c>
      <c r="F119" s="83" t="s">
        <v>232</v>
      </c>
      <c r="G119" s="83" t="s">
        <v>233</v>
      </c>
      <c r="H119" s="116" t="s">
        <v>234</v>
      </c>
      <c r="I119" s="116" t="s">
        <v>235</v>
      </c>
      <c r="J119" s="84" t="s">
        <v>236</v>
      </c>
      <c r="K119" s="84" t="s">
        <v>237</v>
      </c>
      <c r="L119" s="84" t="s">
        <v>238</v>
      </c>
      <c r="M119" s="84" t="s">
        <v>239</v>
      </c>
      <c r="N119" s="479"/>
      <c r="O119" s="482"/>
      <c r="P119" s="483"/>
      <c r="Q119" s="479"/>
      <c r="R119" s="462"/>
    </row>
    <row r="120" spans="1:18" ht="39.9" customHeight="1" x14ac:dyDescent="0.3">
      <c r="A120" s="86" t="str">
        <f>VLOOKUP(A113,'LISTA DE OFERENTES'!$A$6:$R$38,7,FALSE)</f>
        <v>Construlinea Ingeniería S.A.S</v>
      </c>
      <c r="B120" s="87"/>
      <c r="C120" s="87"/>
      <c r="D120" s="87"/>
      <c r="E120" s="87"/>
      <c r="F120" s="87"/>
      <c r="G120" s="87"/>
      <c r="H120" s="87"/>
      <c r="I120" s="87"/>
      <c r="J120" s="87"/>
      <c r="K120" s="87"/>
      <c r="L120" s="491" t="str">
        <f>+A124</f>
        <v>Carlos Arturo Arango Salazar</v>
      </c>
      <c r="M120" s="87"/>
      <c r="N120" s="87"/>
      <c r="O120" s="162" t="s">
        <v>241</v>
      </c>
      <c r="P120" s="87"/>
      <c r="Q120" s="87"/>
      <c r="R120" s="90"/>
    </row>
    <row r="121" spans="1:18" s="33" customFormat="1" ht="150" customHeight="1" x14ac:dyDescent="0.3">
      <c r="A121" s="119" t="s">
        <v>297</v>
      </c>
      <c r="B121" s="498" t="s">
        <v>298</v>
      </c>
      <c r="C121" s="467"/>
      <c r="D121" s="299">
        <v>2402017730.6905003</v>
      </c>
      <c r="E121" s="69">
        <v>2020</v>
      </c>
      <c r="F121" s="185">
        <v>4436.76</v>
      </c>
      <c r="G121" s="24">
        <f>D121/(VLOOKUP(E121,$D$533:$E$564,2,FALSE))</f>
        <v>2736.3972675993364</v>
      </c>
      <c r="H121" s="3">
        <v>0.34</v>
      </c>
      <c r="I121" s="24">
        <f>H121*G121</f>
        <v>930.37507098377444</v>
      </c>
      <c r="J121" s="100">
        <v>44177</v>
      </c>
      <c r="K121" s="30" t="s">
        <v>299</v>
      </c>
      <c r="L121" s="492"/>
      <c r="M121" s="31">
        <f>I121</f>
        <v>930.37507098377444</v>
      </c>
      <c r="N121" s="119" t="s">
        <v>213</v>
      </c>
      <c r="O121" s="186"/>
      <c r="P121" s="119"/>
      <c r="Q121" s="142" t="s">
        <v>213</v>
      </c>
      <c r="R121" s="32" t="s">
        <v>300</v>
      </c>
    </row>
    <row r="122" spans="1:18" ht="39.9" customHeight="1" x14ac:dyDescent="0.3">
      <c r="A122" s="86" t="str">
        <f>VLOOKUP(A113,'LISTA DE OFERENTES'!$A$6:$R$38,11,FALSE)</f>
        <v>Braycon Ingeniería S.A.S</v>
      </c>
      <c r="B122" s="87"/>
      <c r="C122" s="87"/>
      <c r="D122" s="87"/>
      <c r="E122" s="87"/>
      <c r="F122" s="87"/>
      <c r="G122" s="87"/>
      <c r="H122" s="87"/>
      <c r="I122" s="87"/>
      <c r="J122" s="87"/>
      <c r="K122" s="87"/>
      <c r="L122" s="492"/>
      <c r="M122" s="87"/>
      <c r="N122" s="87"/>
      <c r="O122" s="162" t="s">
        <v>241</v>
      </c>
      <c r="P122" s="87"/>
      <c r="Q122" s="87"/>
      <c r="R122" s="90"/>
    </row>
    <row r="123" spans="1:18" s="33" customFormat="1" ht="150" customHeight="1" x14ac:dyDescent="0.3">
      <c r="A123" s="119" t="s">
        <v>301</v>
      </c>
      <c r="B123" s="498" t="s">
        <v>302</v>
      </c>
      <c r="C123" s="467"/>
      <c r="D123" s="23">
        <v>1260204502.4300001</v>
      </c>
      <c r="E123" s="69">
        <v>2019</v>
      </c>
      <c r="F123" s="185">
        <v>4299.68</v>
      </c>
      <c r="G123" s="24">
        <f>D123/(VLOOKUP(E123,$D$533:$E$564,2,FALSE))</f>
        <v>1521.7729188060612</v>
      </c>
      <c r="H123" s="3">
        <v>0.95</v>
      </c>
      <c r="I123" s="24">
        <f t="shared" ref="I123:I125" si="1">H123*G123</f>
        <v>1445.684272865758</v>
      </c>
      <c r="J123" s="100">
        <v>43763</v>
      </c>
      <c r="K123" s="30" t="s">
        <v>303</v>
      </c>
      <c r="L123" s="492"/>
      <c r="M123" s="31">
        <f t="shared" ref="M123:M125" si="2">I123</f>
        <v>1445.684272865758</v>
      </c>
      <c r="N123" s="119" t="s">
        <v>213</v>
      </c>
      <c r="O123" s="186" t="str">
        <f>+CONCATENATE(FIXED(F123*H123,2)," ","m2")</f>
        <v>4.084,70 m2</v>
      </c>
      <c r="P123" s="119" t="s">
        <v>213</v>
      </c>
      <c r="Q123" s="142" t="s">
        <v>213</v>
      </c>
      <c r="R123" s="32" t="s">
        <v>304</v>
      </c>
    </row>
    <row r="124" spans="1:18" ht="39.9" customHeight="1" x14ac:dyDescent="0.3">
      <c r="A124" s="86" t="str">
        <f>VLOOKUP(A113,'LISTA DE OFERENTES'!$A$6:$R$38,15,FALSE)</f>
        <v>Carlos Arturo Arango Salazar</v>
      </c>
      <c r="B124" s="87"/>
      <c r="C124" s="87"/>
      <c r="D124" s="87"/>
      <c r="E124" s="87"/>
      <c r="F124" s="290"/>
      <c r="G124" s="87"/>
      <c r="H124" s="87"/>
      <c r="I124" s="87"/>
      <c r="J124" s="87"/>
      <c r="K124" s="87"/>
      <c r="L124" s="492"/>
      <c r="M124" s="87"/>
      <c r="N124" s="87"/>
      <c r="O124" s="162" t="s">
        <v>241</v>
      </c>
      <c r="P124" s="87"/>
      <c r="Q124" s="87"/>
      <c r="R124" s="90"/>
    </row>
    <row r="125" spans="1:18" s="33" customFormat="1" ht="150" customHeight="1" x14ac:dyDescent="0.3">
      <c r="A125" s="119" t="s">
        <v>305</v>
      </c>
      <c r="B125" s="498" t="s">
        <v>302</v>
      </c>
      <c r="C125" s="467"/>
      <c r="D125" s="23">
        <v>5361459944.5299997</v>
      </c>
      <c r="E125" s="69">
        <v>2015</v>
      </c>
      <c r="F125" s="185">
        <v>7845.44</v>
      </c>
      <c r="G125" s="24">
        <f>D125/(VLOOKUP(E125,$D$533:$E$564,2,FALSE))</f>
        <v>8320.7262272522694</v>
      </c>
      <c r="H125" s="3">
        <v>0.5</v>
      </c>
      <c r="I125" s="24">
        <f t="shared" si="1"/>
        <v>4160.3631136261347</v>
      </c>
      <c r="J125" s="100">
        <v>42270</v>
      </c>
      <c r="K125" s="30" t="s">
        <v>306</v>
      </c>
      <c r="L125" s="501"/>
      <c r="M125" s="31">
        <f t="shared" si="2"/>
        <v>4160.3631136261347</v>
      </c>
      <c r="N125" s="119" t="s">
        <v>213</v>
      </c>
      <c r="O125" s="186" t="str">
        <f>+CONCATENATE(FIXED(F125*H125,2)," ","m2")</f>
        <v>3.922,72 m2</v>
      </c>
      <c r="P125" s="119" t="s">
        <v>213</v>
      </c>
      <c r="Q125" s="142" t="s">
        <v>213</v>
      </c>
      <c r="R125" s="32" t="s">
        <v>307</v>
      </c>
    </row>
    <row r="126" spans="1:18" s="33" customFormat="1" ht="48" customHeight="1" x14ac:dyDescent="0.3">
      <c r="A126" s="495" t="s">
        <v>249</v>
      </c>
      <c r="B126" s="485"/>
      <c r="C126" s="485"/>
      <c r="D126" s="485"/>
      <c r="E126" s="485"/>
      <c r="F126" s="485"/>
      <c r="G126" s="485"/>
      <c r="H126" s="486"/>
      <c r="I126" s="72">
        <f>SUM(I121:I125)</f>
        <v>6536.4224574756672</v>
      </c>
      <c r="J126" s="487" t="s">
        <v>250</v>
      </c>
      <c r="K126" s="488"/>
      <c r="L126" s="488"/>
      <c r="M126" s="488"/>
      <c r="N126" s="488"/>
      <c r="O126" s="488"/>
      <c r="P126" s="490"/>
      <c r="Q126" s="136"/>
      <c r="R126" s="92" t="s">
        <v>213</v>
      </c>
    </row>
    <row r="127" spans="1:18" ht="15.75" customHeight="1" x14ac:dyDescent="0.3">
      <c r="A127" s="4"/>
      <c r="B127" s="4"/>
      <c r="C127" s="120"/>
      <c r="D127" s="120"/>
      <c r="E127" s="120"/>
      <c r="F127" s="120"/>
      <c r="G127" s="120"/>
      <c r="H127" s="120"/>
      <c r="I127" s="120"/>
      <c r="J127" s="120"/>
      <c r="K127" s="120"/>
      <c r="L127" s="120"/>
      <c r="M127" s="120"/>
      <c r="N127" s="120"/>
      <c r="O127" s="120"/>
      <c r="P127" s="120"/>
      <c r="Q127" s="120"/>
      <c r="R127" s="5"/>
    </row>
    <row r="128" spans="1:18" ht="30.75" customHeight="1" x14ac:dyDescent="0.3">
      <c r="A128" s="442">
        <f>A113+1</f>
        <v>10</v>
      </c>
      <c r="B128" s="443"/>
      <c r="C128" s="443"/>
      <c r="D128" s="444"/>
      <c r="E128" s="445" t="str">
        <f>VLOOKUP(A128,'LISTA DE OFERENTES'!$A$6:$B$38,2,FALSE)</f>
        <v>LAM CONSTRUCCIONES S.A.S</v>
      </c>
      <c r="F128" s="446"/>
      <c r="G128" s="446"/>
      <c r="H128" s="446"/>
      <c r="I128" s="446"/>
      <c r="J128" s="446"/>
      <c r="K128" s="446"/>
      <c r="L128" s="446"/>
      <c r="M128" s="446"/>
      <c r="N128" s="446"/>
      <c r="O128" s="446"/>
      <c r="P128" s="446"/>
      <c r="Q128" s="446"/>
      <c r="R128" s="447"/>
    </row>
    <row r="129" spans="1:18" ht="50.25" customHeight="1" x14ac:dyDescent="0.3">
      <c r="A129" s="28" t="s">
        <v>215</v>
      </c>
      <c r="B129" s="85">
        <v>2</v>
      </c>
      <c r="C129" s="29" t="s">
        <v>216</v>
      </c>
      <c r="D129" s="68">
        <f>+$E$506</f>
        <v>1649.6083550000001</v>
      </c>
      <c r="E129" s="448"/>
      <c r="F129" s="449"/>
      <c r="G129" s="449"/>
      <c r="H129" s="449"/>
      <c r="I129" s="449"/>
      <c r="J129" s="449"/>
      <c r="K129" s="449"/>
      <c r="L129" s="449"/>
      <c r="M129" s="449"/>
      <c r="N129" s="449"/>
      <c r="O129" s="449"/>
      <c r="P129" s="449"/>
      <c r="Q129" s="449"/>
      <c r="R129" s="450"/>
    </row>
    <row r="130" spans="1:18" ht="30" customHeight="1" x14ac:dyDescent="0.3">
      <c r="A130" s="454" t="s">
        <v>217</v>
      </c>
      <c r="B130" s="455"/>
      <c r="C130" s="70">
        <f>IF(B129&lt;3,0.75,IF(B129&lt;5,1.2,1.5))</f>
        <v>0.75</v>
      </c>
      <c r="D130" s="71">
        <f>+D129*C130</f>
        <v>1237.20626625</v>
      </c>
      <c r="E130" s="448"/>
      <c r="F130" s="449"/>
      <c r="G130" s="449"/>
      <c r="H130" s="449"/>
      <c r="I130" s="449"/>
      <c r="J130" s="449"/>
      <c r="K130" s="449"/>
      <c r="L130" s="449"/>
      <c r="M130" s="449"/>
      <c r="N130" s="449"/>
      <c r="O130" s="449"/>
      <c r="P130" s="449"/>
      <c r="Q130" s="449"/>
      <c r="R130" s="450"/>
    </row>
    <row r="131" spans="1:18" ht="30" customHeight="1" x14ac:dyDescent="0.3">
      <c r="A131" s="456" t="s">
        <v>218</v>
      </c>
      <c r="B131" s="455"/>
      <c r="C131" s="457">
        <v>44771</v>
      </c>
      <c r="D131" s="458"/>
      <c r="E131" s="448"/>
      <c r="F131" s="449"/>
      <c r="G131" s="449"/>
      <c r="H131" s="449"/>
      <c r="I131" s="449"/>
      <c r="J131" s="449"/>
      <c r="K131" s="449"/>
      <c r="L131" s="449"/>
      <c r="M131" s="449"/>
      <c r="N131" s="449"/>
      <c r="O131" s="449"/>
      <c r="P131" s="449"/>
      <c r="Q131" s="449"/>
      <c r="R131" s="450"/>
    </row>
    <row r="132" spans="1:18" ht="30" customHeight="1" x14ac:dyDescent="0.3">
      <c r="A132" s="459" t="s">
        <v>219</v>
      </c>
      <c r="B132" s="460"/>
      <c r="C132" s="472" t="str">
        <f>+IF(I138&gt;D130,"CUMPLE","NO CUMPLE")</f>
        <v>CUMPLE</v>
      </c>
      <c r="D132" s="473"/>
      <c r="E132" s="451"/>
      <c r="F132" s="452"/>
      <c r="G132" s="452"/>
      <c r="H132" s="452"/>
      <c r="I132" s="452"/>
      <c r="J132" s="452"/>
      <c r="K132" s="452"/>
      <c r="L132" s="452"/>
      <c r="M132" s="452"/>
      <c r="N132" s="452"/>
      <c r="O132" s="452"/>
      <c r="P132" s="452"/>
      <c r="Q132" s="452"/>
      <c r="R132" s="453"/>
    </row>
    <row r="133" spans="1:18" ht="55.5" customHeight="1" x14ac:dyDescent="0.3">
      <c r="A133" s="474" t="s">
        <v>220</v>
      </c>
      <c r="B133" s="475"/>
      <c r="C133" s="475"/>
      <c r="D133" s="475"/>
      <c r="E133" s="475"/>
      <c r="F133" s="475"/>
      <c r="G133" s="475"/>
      <c r="H133" s="475"/>
      <c r="I133" s="476"/>
      <c r="J133" s="81" t="s">
        <v>221</v>
      </c>
      <c r="K133" s="103" t="s">
        <v>222</v>
      </c>
      <c r="L133" s="477" t="s">
        <v>223</v>
      </c>
      <c r="M133" s="476"/>
      <c r="N133" s="478" t="s">
        <v>224</v>
      </c>
      <c r="O133" s="480" t="s">
        <v>225</v>
      </c>
      <c r="P133" s="481"/>
      <c r="Q133" s="478" t="s">
        <v>226</v>
      </c>
      <c r="R133" s="461" t="s">
        <v>227</v>
      </c>
    </row>
    <row r="134" spans="1:18" ht="77.25" customHeight="1" x14ac:dyDescent="0.3">
      <c r="A134" s="82" t="s">
        <v>228</v>
      </c>
      <c r="B134" s="463" t="s">
        <v>229</v>
      </c>
      <c r="C134" s="464"/>
      <c r="D134" s="83" t="s">
        <v>230</v>
      </c>
      <c r="E134" s="83" t="s">
        <v>231</v>
      </c>
      <c r="F134" s="83" t="s">
        <v>232</v>
      </c>
      <c r="G134" s="83" t="s">
        <v>233</v>
      </c>
      <c r="H134" s="116" t="s">
        <v>234</v>
      </c>
      <c r="I134" s="116" t="s">
        <v>235</v>
      </c>
      <c r="J134" s="84" t="s">
        <v>236</v>
      </c>
      <c r="K134" s="84" t="s">
        <v>237</v>
      </c>
      <c r="L134" s="191" t="s">
        <v>238</v>
      </c>
      <c r="M134" s="84" t="s">
        <v>239</v>
      </c>
      <c r="N134" s="479"/>
      <c r="O134" s="482"/>
      <c r="P134" s="483"/>
      <c r="Q134" s="479"/>
      <c r="R134" s="462"/>
    </row>
    <row r="135" spans="1:18" ht="39.9" customHeight="1" x14ac:dyDescent="0.3">
      <c r="A135" s="86" t="str">
        <f>VLOOKUP(A128,'LISTA DE OFERENTES'!$A$6:$R$38,2,FALSE)</f>
        <v>LAM CONSTRUCCIONES S.A.S</v>
      </c>
      <c r="B135" s="87"/>
      <c r="C135" s="87"/>
      <c r="D135" s="87"/>
      <c r="E135" s="87"/>
      <c r="F135" s="87"/>
      <c r="G135" s="87"/>
      <c r="H135" s="87"/>
      <c r="I135" s="87"/>
      <c r="J135" s="87"/>
      <c r="K135" s="87"/>
      <c r="L135" s="504" t="str">
        <f>+A135</f>
        <v>LAM CONSTRUCCIONES S.A.S</v>
      </c>
      <c r="M135" s="87"/>
      <c r="N135" s="87"/>
      <c r="O135" s="162" t="s">
        <v>241</v>
      </c>
      <c r="P135" s="87"/>
      <c r="Q135" s="159"/>
      <c r="R135" s="188"/>
    </row>
    <row r="136" spans="1:18" s="33" customFormat="1" ht="150" customHeight="1" x14ac:dyDescent="0.3">
      <c r="A136" s="119" t="s">
        <v>308</v>
      </c>
      <c r="B136" s="498" t="s">
        <v>309</v>
      </c>
      <c r="C136" s="467"/>
      <c r="D136" s="23">
        <v>9335856175</v>
      </c>
      <c r="E136" s="69">
        <v>2022</v>
      </c>
      <c r="F136" s="185">
        <v>39246.85</v>
      </c>
      <c r="G136" s="24">
        <f>D136/(VLOOKUP(E136,$D$533:$E$564,2,FALSE))</f>
        <v>9335.8561750000008</v>
      </c>
      <c r="H136" s="3">
        <v>1</v>
      </c>
      <c r="I136" s="24">
        <f>H136*G136</f>
        <v>9335.8561750000008</v>
      </c>
      <c r="J136" s="100">
        <v>44697</v>
      </c>
      <c r="K136" s="30" t="s">
        <v>310</v>
      </c>
      <c r="L136" s="504"/>
      <c r="M136" s="31">
        <f>I136</f>
        <v>9335.8561750000008</v>
      </c>
      <c r="N136" s="320" t="s">
        <v>214</v>
      </c>
      <c r="O136" s="186"/>
      <c r="P136" s="150" t="s">
        <v>213</v>
      </c>
      <c r="Q136" s="158" t="s">
        <v>213</v>
      </c>
      <c r="R136" s="158" t="s">
        <v>311</v>
      </c>
    </row>
    <row r="137" spans="1:18" s="33" customFormat="1" ht="150" customHeight="1" x14ac:dyDescent="0.3">
      <c r="A137" s="119" t="s">
        <v>312</v>
      </c>
      <c r="B137" s="498" t="s">
        <v>313</v>
      </c>
      <c r="C137" s="467"/>
      <c r="D137" s="23">
        <v>2099999430</v>
      </c>
      <c r="E137" s="69">
        <v>2013</v>
      </c>
      <c r="F137" s="185">
        <v>5217</v>
      </c>
      <c r="G137" s="24">
        <f>D137/(VLOOKUP(E137,$D$533:$E$564,2,FALSE))</f>
        <v>3562.34</v>
      </c>
      <c r="H137" s="3">
        <v>1</v>
      </c>
      <c r="I137" s="24">
        <f>H137*G137</f>
        <v>3562.34</v>
      </c>
      <c r="J137" s="100">
        <v>41355</v>
      </c>
      <c r="K137" s="30" t="s">
        <v>310</v>
      </c>
      <c r="L137" s="504"/>
      <c r="M137" s="31">
        <f>I137</f>
        <v>3562.34</v>
      </c>
      <c r="N137" s="119" t="s">
        <v>213</v>
      </c>
      <c r="O137" s="186" t="str">
        <f>+CONCATENATE(FIXED(F137*H137,2)," ","m2")</f>
        <v>5.217,00 m2</v>
      </c>
      <c r="P137" s="150" t="s">
        <v>213</v>
      </c>
      <c r="Q137" s="158" t="s">
        <v>213</v>
      </c>
      <c r="R137" s="158" t="s">
        <v>314</v>
      </c>
    </row>
    <row r="138" spans="1:18" s="33" customFormat="1" ht="48" customHeight="1" x14ac:dyDescent="0.3">
      <c r="A138" s="495" t="s">
        <v>249</v>
      </c>
      <c r="B138" s="485"/>
      <c r="C138" s="485"/>
      <c r="D138" s="485"/>
      <c r="E138" s="485"/>
      <c r="F138" s="485"/>
      <c r="G138" s="485"/>
      <c r="H138" s="486"/>
      <c r="I138" s="72">
        <f>SUM(I136:I137)</f>
        <v>12898.196175000001</v>
      </c>
      <c r="J138" s="487" t="s">
        <v>250</v>
      </c>
      <c r="K138" s="488"/>
      <c r="L138" s="489"/>
      <c r="M138" s="488"/>
      <c r="N138" s="488"/>
      <c r="O138" s="488"/>
      <c r="P138" s="490"/>
      <c r="Q138" s="161"/>
      <c r="R138" s="190" t="s">
        <v>213</v>
      </c>
    </row>
    <row r="139" spans="1:18" ht="15.6" x14ac:dyDescent="0.3">
      <c r="A139" s="4"/>
      <c r="B139" s="4"/>
      <c r="C139" s="4"/>
      <c r="D139" s="4"/>
      <c r="E139" s="4"/>
      <c r="F139" s="4"/>
      <c r="G139" s="4"/>
      <c r="H139" s="4"/>
      <c r="I139" s="4"/>
      <c r="J139" s="4"/>
      <c r="K139" s="4"/>
      <c r="L139" s="4"/>
      <c r="M139" s="4"/>
      <c r="N139" s="5"/>
      <c r="O139" s="5"/>
      <c r="P139" s="5"/>
      <c r="Q139" s="5"/>
      <c r="R139" s="5"/>
    </row>
    <row r="140" spans="1:18" ht="30.75" customHeight="1" x14ac:dyDescent="0.3">
      <c r="A140" s="442">
        <f>A128+1</f>
        <v>11</v>
      </c>
      <c r="B140" s="443"/>
      <c r="C140" s="443"/>
      <c r="D140" s="444"/>
      <c r="E140" s="445" t="str">
        <f>VLOOKUP(A140,'LISTA DE OFERENTES'!$A$6:$B$38,2,FALSE)</f>
        <v>UNION TEMPORAL PARQUE TUNAL II</v>
      </c>
      <c r="F140" s="446"/>
      <c r="G140" s="446"/>
      <c r="H140" s="446"/>
      <c r="I140" s="446"/>
      <c r="J140" s="446"/>
      <c r="K140" s="446"/>
      <c r="L140" s="446"/>
      <c r="M140" s="446"/>
      <c r="N140" s="446"/>
      <c r="O140" s="446"/>
      <c r="P140" s="446"/>
      <c r="Q140" s="446"/>
      <c r="R140" s="447"/>
    </row>
    <row r="141" spans="1:18" ht="50.25" customHeight="1" x14ac:dyDescent="0.3">
      <c r="A141" s="28" t="s">
        <v>215</v>
      </c>
      <c r="B141" s="85">
        <v>4</v>
      </c>
      <c r="C141" s="29" t="s">
        <v>216</v>
      </c>
      <c r="D141" s="68">
        <f>+$E$506</f>
        <v>1649.6083550000001</v>
      </c>
      <c r="E141" s="448"/>
      <c r="F141" s="449"/>
      <c r="G141" s="449"/>
      <c r="H141" s="449"/>
      <c r="I141" s="449"/>
      <c r="J141" s="449"/>
      <c r="K141" s="449"/>
      <c r="L141" s="449"/>
      <c r="M141" s="449"/>
      <c r="N141" s="449"/>
      <c r="O141" s="449"/>
      <c r="P141" s="449"/>
      <c r="Q141" s="449"/>
      <c r="R141" s="450"/>
    </row>
    <row r="142" spans="1:18" ht="30" customHeight="1" x14ac:dyDescent="0.3">
      <c r="A142" s="454" t="s">
        <v>217</v>
      </c>
      <c r="B142" s="455"/>
      <c r="C142" s="70">
        <f>IF(B141&lt;3,0.75,IF(B141&lt;5,1.2,1.5))</f>
        <v>1.2</v>
      </c>
      <c r="D142" s="71">
        <f>+D141*C142</f>
        <v>1979.5300259999999</v>
      </c>
      <c r="E142" s="448"/>
      <c r="F142" s="449"/>
      <c r="G142" s="449"/>
      <c r="H142" s="449"/>
      <c r="I142" s="449"/>
      <c r="J142" s="449"/>
      <c r="K142" s="449"/>
      <c r="L142" s="449"/>
      <c r="M142" s="449"/>
      <c r="N142" s="449"/>
      <c r="O142" s="449"/>
      <c r="P142" s="449"/>
      <c r="Q142" s="449"/>
      <c r="R142" s="450"/>
    </row>
    <row r="143" spans="1:18" ht="30" customHeight="1" x14ac:dyDescent="0.3">
      <c r="A143" s="456" t="s">
        <v>218</v>
      </c>
      <c r="B143" s="455"/>
      <c r="C143" s="457">
        <v>44771</v>
      </c>
      <c r="D143" s="458"/>
      <c r="E143" s="448"/>
      <c r="F143" s="449"/>
      <c r="G143" s="449"/>
      <c r="H143" s="449"/>
      <c r="I143" s="449"/>
      <c r="J143" s="449"/>
      <c r="K143" s="449"/>
      <c r="L143" s="449"/>
      <c r="M143" s="449"/>
      <c r="N143" s="449"/>
      <c r="O143" s="449"/>
      <c r="P143" s="449"/>
      <c r="Q143" s="449"/>
      <c r="R143" s="450"/>
    </row>
    <row r="144" spans="1:18" ht="30" customHeight="1" x14ac:dyDescent="0.3">
      <c r="A144" s="459" t="s">
        <v>219</v>
      </c>
      <c r="B144" s="460"/>
      <c r="C144" s="472"/>
      <c r="D144" s="473"/>
      <c r="E144" s="451"/>
      <c r="F144" s="452"/>
      <c r="G144" s="452"/>
      <c r="H144" s="452"/>
      <c r="I144" s="452"/>
      <c r="J144" s="452"/>
      <c r="K144" s="452"/>
      <c r="L144" s="452"/>
      <c r="M144" s="452"/>
      <c r="N144" s="452"/>
      <c r="O144" s="452"/>
      <c r="P144" s="452"/>
      <c r="Q144" s="452"/>
      <c r="R144" s="453"/>
    </row>
    <row r="145" spans="1:18" ht="55.5" customHeight="1" x14ac:dyDescent="0.3">
      <c r="A145" s="474" t="s">
        <v>220</v>
      </c>
      <c r="B145" s="475"/>
      <c r="C145" s="475"/>
      <c r="D145" s="475"/>
      <c r="E145" s="475"/>
      <c r="F145" s="475"/>
      <c r="G145" s="475"/>
      <c r="H145" s="475"/>
      <c r="I145" s="476"/>
      <c r="J145" s="81" t="s">
        <v>221</v>
      </c>
      <c r="K145" s="103" t="s">
        <v>222</v>
      </c>
      <c r="L145" s="477" t="s">
        <v>223</v>
      </c>
      <c r="M145" s="476"/>
      <c r="N145" s="478" t="s">
        <v>224</v>
      </c>
      <c r="O145" s="480" t="s">
        <v>225</v>
      </c>
      <c r="P145" s="481"/>
      <c r="Q145" s="478" t="s">
        <v>226</v>
      </c>
      <c r="R145" s="461" t="s">
        <v>227</v>
      </c>
    </row>
    <row r="146" spans="1:18" ht="77.25" customHeight="1" x14ac:dyDescent="0.3">
      <c r="A146" s="82" t="s">
        <v>228</v>
      </c>
      <c r="B146" s="463" t="s">
        <v>229</v>
      </c>
      <c r="C146" s="464"/>
      <c r="D146" s="83" t="s">
        <v>230</v>
      </c>
      <c r="E146" s="83" t="s">
        <v>231</v>
      </c>
      <c r="F146" s="83" t="s">
        <v>232</v>
      </c>
      <c r="G146" s="83" t="s">
        <v>233</v>
      </c>
      <c r="H146" s="116" t="s">
        <v>234</v>
      </c>
      <c r="I146" s="116" t="s">
        <v>235</v>
      </c>
      <c r="J146" s="84" t="s">
        <v>236</v>
      </c>
      <c r="K146" s="84" t="s">
        <v>237</v>
      </c>
      <c r="L146" s="84" t="s">
        <v>238</v>
      </c>
      <c r="M146" s="84" t="s">
        <v>239</v>
      </c>
      <c r="N146" s="479"/>
      <c r="O146" s="482"/>
      <c r="P146" s="483"/>
      <c r="Q146" s="479"/>
      <c r="R146" s="462"/>
    </row>
    <row r="147" spans="1:18" ht="39.9" customHeight="1" x14ac:dyDescent="0.3">
      <c r="A147" s="86" t="str">
        <f>VLOOKUP(A140,'LISTA DE OFERENTES'!$A$6:$R$38,7,FALSE)</f>
        <v>VAREGO SAS</v>
      </c>
      <c r="B147" s="87"/>
      <c r="C147" s="87"/>
      <c r="D147" s="87"/>
      <c r="E147" s="87"/>
      <c r="F147" s="87"/>
      <c r="G147" s="87"/>
      <c r="H147" s="87"/>
      <c r="I147" s="87"/>
      <c r="J147" s="87"/>
      <c r="K147" s="87"/>
      <c r="L147" s="491" t="s">
        <v>92</v>
      </c>
      <c r="M147" s="87"/>
      <c r="N147" s="87"/>
      <c r="O147" s="162" t="s">
        <v>241</v>
      </c>
      <c r="P147" s="87"/>
      <c r="Q147" s="159"/>
      <c r="R147" s="90"/>
    </row>
    <row r="148" spans="1:18" s="33" customFormat="1" ht="150" customHeight="1" x14ac:dyDescent="0.3">
      <c r="A148" s="119" t="s">
        <v>315</v>
      </c>
      <c r="B148" s="498" t="s">
        <v>316</v>
      </c>
      <c r="C148" s="467"/>
      <c r="D148" s="23">
        <v>3168483443</v>
      </c>
      <c r="E148" s="69">
        <v>2018</v>
      </c>
      <c r="F148" s="69">
        <v>4226.68</v>
      </c>
      <c r="G148" s="24">
        <f>D148/(VLOOKUP(E148,$D$533:$E$564,2,FALSE))</f>
        <v>4055.7003374114552</v>
      </c>
      <c r="H148" s="3">
        <v>0.05</v>
      </c>
      <c r="I148" s="24">
        <f>H148*G148</f>
        <v>202.78501687057278</v>
      </c>
      <c r="J148" s="100">
        <v>43300</v>
      </c>
      <c r="K148" s="30" t="s">
        <v>317</v>
      </c>
      <c r="L148" s="492"/>
      <c r="M148" s="31">
        <f>I148</f>
        <v>202.78501687057278</v>
      </c>
      <c r="N148" s="119" t="s">
        <v>213</v>
      </c>
      <c r="O148" s="186">
        <v>290.27999999999997</v>
      </c>
      <c r="P148" s="150"/>
      <c r="Q148" s="158" t="s">
        <v>213</v>
      </c>
      <c r="R148" s="32" t="s">
        <v>318</v>
      </c>
    </row>
    <row r="149" spans="1:18" ht="39.9" customHeight="1" x14ac:dyDescent="0.3">
      <c r="A149" s="86" t="str">
        <f>VLOOKUP(A140,'LISTA DE OFERENTES'!$A$6:$R$38,11,FALSE)</f>
        <v>EQUIPOS Y CONSTRUCCIONES VAREGO SAS</v>
      </c>
      <c r="B149" s="87"/>
      <c r="C149" s="87"/>
      <c r="D149" s="87"/>
      <c r="E149" s="87"/>
      <c r="F149" s="87"/>
      <c r="G149" s="87"/>
      <c r="H149" s="87"/>
      <c r="I149" s="87"/>
      <c r="J149" s="87"/>
      <c r="K149" s="87"/>
      <c r="L149" s="492"/>
      <c r="M149" s="87"/>
      <c r="N149" s="87"/>
      <c r="O149" s="162" t="s">
        <v>241</v>
      </c>
      <c r="P149" s="87"/>
      <c r="Q149" s="160"/>
      <c r="R149" s="90"/>
    </row>
    <row r="150" spans="1:18" s="33" customFormat="1" ht="88.5" customHeight="1" x14ac:dyDescent="0.3">
      <c r="A150" s="119" t="s">
        <v>319</v>
      </c>
      <c r="B150" s="498" t="s">
        <v>320</v>
      </c>
      <c r="C150" s="467"/>
      <c r="D150" s="23">
        <v>4238899515</v>
      </c>
      <c r="E150" s="69">
        <v>2006</v>
      </c>
      <c r="F150" s="69">
        <v>26242</v>
      </c>
      <c r="G150" s="24">
        <f>D150/(VLOOKUP(E150,$D$533:$E$564,2,FALSE))</f>
        <v>10389.459595588236</v>
      </c>
      <c r="H150" s="3">
        <v>0.45</v>
      </c>
      <c r="I150" s="24">
        <f>H150*G150</f>
        <v>4675.2568180147064</v>
      </c>
      <c r="J150" s="100">
        <v>38992</v>
      </c>
      <c r="K150" s="167">
        <v>72101500</v>
      </c>
      <c r="L150" s="492"/>
      <c r="M150" s="31">
        <f>I150</f>
        <v>4675.2568180147064</v>
      </c>
      <c r="N150" s="119" t="s">
        <v>213</v>
      </c>
      <c r="O150" s="186">
        <f>8222+1625</f>
        <v>9847</v>
      </c>
      <c r="P150" s="150"/>
      <c r="Q150" s="158" t="s">
        <v>213</v>
      </c>
      <c r="R150" s="32"/>
    </row>
    <row r="151" spans="1:18" s="33" customFormat="1" ht="108" customHeight="1" x14ac:dyDescent="0.3">
      <c r="A151" s="119" t="s">
        <v>321</v>
      </c>
      <c r="B151" s="498" t="s">
        <v>320</v>
      </c>
      <c r="C151" s="467"/>
      <c r="D151" s="23">
        <v>7059100635.5699997</v>
      </c>
      <c r="E151" s="69">
        <v>2007</v>
      </c>
      <c r="F151" s="69">
        <v>45232</v>
      </c>
      <c r="G151" s="24">
        <f>D151/(VLOOKUP(E151,$D$533:$E$564,2,FALSE))</f>
        <v>16276.459846829604</v>
      </c>
      <c r="H151" s="3">
        <v>0.45</v>
      </c>
      <c r="I151" s="24">
        <f>H151*G151</f>
        <v>7324.4069310733221</v>
      </c>
      <c r="J151" s="100">
        <v>39306</v>
      </c>
      <c r="K151" s="30" t="s">
        <v>257</v>
      </c>
      <c r="L151" s="492"/>
      <c r="M151" s="31">
        <f>I151</f>
        <v>7324.4069310733221</v>
      </c>
      <c r="N151" s="119" t="s">
        <v>213</v>
      </c>
      <c r="O151" s="186">
        <f>3103+10502</f>
        <v>13605</v>
      </c>
      <c r="P151" s="150" t="s">
        <v>213</v>
      </c>
      <c r="Q151" s="158" t="s">
        <v>213</v>
      </c>
      <c r="R151" s="32"/>
    </row>
    <row r="152" spans="1:18" s="33" customFormat="1" ht="150" customHeight="1" x14ac:dyDescent="0.3">
      <c r="A152" s="119" t="s">
        <v>322</v>
      </c>
      <c r="B152" s="498" t="s">
        <v>320</v>
      </c>
      <c r="C152" s="467"/>
      <c r="D152" s="23">
        <v>5142812003</v>
      </c>
      <c r="E152" s="69">
        <v>2003</v>
      </c>
      <c r="F152" s="69">
        <v>106756.38</v>
      </c>
      <c r="G152" s="24">
        <f>D152/(VLOOKUP(E152,$D$533:$E$564,2,FALSE))</f>
        <v>15490.397599397591</v>
      </c>
      <c r="H152" s="3">
        <v>0.5</v>
      </c>
      <c r="I152" s="24">
        <f>H152*G152</f>
        <v>7745.1987996987955</v>
      </c>
      <c r="J152" s="100">
        <v>37846</v>
      </c>
      <c r="K152" s="30" t="s">
        <v>257</v>
      </c>
      <c r="L152" s="492"/>
      <c r="M152" s="31">
        <f>I152</f>
        <v>7745.1987996987955</v>
      </c>
      <c r="N152" s="119" t="s">
        <v>213</v>
      </c>
      <c r="O152" s="186">
        <f>31423.21+2658.64+431.38+8722.11</f>
        <v>43235.34</v>
      </c>
      <c r="P152" s="150" t="s">
        <v>213</v>
      </c>
      <c r="Q152" s="158" t="s">
        <v>213</v>
      </c>
      <c r="R152" s="32"/>
    </row>
    <row r="153" spans="1:18" s="33" customFormat="1" ht="150" customHeight="1" x14ac:dyDescent="0.3">
      <c r="A153" s="119" t="s">
        <v>315</v>
      </c>
      <c r="B153" s="498" t="s">
        <v>316</v>
      </c>
      <c r="C153" s="467"/>
      <c r="D153" s="23">
        <v>3168483443</v>
      </c>
      <c r="E153" s="69">
        <v>2018</v>
      </c>
      <c r="F153" s="69">
        <v>4226.68</v>
      </c>
      <c r="G153" s="24">
        <f>D153/(VLOOKUP(E153,$D$533:$E$564,2,FALSE))</f>
        <v>4055.7003374114552</v>
      </c>
      <c r="H153" s="3">
        <v>0.45</v>
      </c>
      <c r="I153" s="24">
        <f>H153*G153</f>
        <v>1825.0651518351549</v>
      </c>
      <c r="J153" s="100">
        <v>43300</v>
      </c>
      <c r="K153" s="30" t="s">
        <v>306</v>
      </c>
      <c r="L153" s="501"/>
      <c r="M153" s="31">
        <f>I153</f>
        <v>1825.0651518351549</v>
      </c>
      <c r="N153" s="119" t="s">
        <v>213</v>
      </c>
      <c r="O153" s="186">
        <v>290.27999999999997</v>
      </c>
      <c r="P153" s="150"/>
      <c r="Q153" s="158" t="s">
        <v>213</v>
      </c>
      <c r="R153" s="32"/>
    </row>
    <row r="154" spans="1:18" s="33" customFormat="1" ht="48" customHeight="1" x14ac:dyDescent="0.3">
      <c r="A154" s="495" t="s">
        <v>249</v>
      </c>
      <c r="B154" s="485"/>
      <c r="C154" s="485"/>
      <c r="D154" s="485"/>
      <c r="E154" s="485"/>
      <c r="F154" s="485"/>
      <c r="G154" s="485"/>
      <c r="H154" s="486"/>
      <c r="I154" s="72">
        <f>SUM(I148:I153)</f>
        <v>21772.712717492552</v>
      </c>
      <c r="J154" s="487" t="s">
        <v>250</v>
      </c>
      <c r="K154" s="488"/>
      <c r="L154" s="488"/>
      <c r="M154" s="488"/>
      <c r="N154" s="488"/>
      <c r="O154" s="488"/>
      <c r="P154" s="490"/>
      <c r="Q154" s="161"/>
      <c r="R154" s="92" t="s">
        <v>213</v>
      </c>
    </row>
    <row r="155" spans="1:18" ht="15.6" x14ac:dyDescent="0.3">
      <c r="A155" s="4"/>
      <c r="B155" s="4"/>
      <c r="C155" s="4"/>
      <c r="D155" s="4"/>
      <c r="E155" s="4"/>
      <c r="F155" s="4"/>
      <c r="G155" s="4"/>
      <c r="H155" s="4"/>
      <c r="I155" s="4"/>
      <c r="J155" s="4"/>
      <c r="K155" s="4"/>
      <c r="L155" s="4"/>
      <c r="M155" s="4"/>
      <c r="N155" s="5"/>
      <c r="O155" s="5"/>
      <c r="P155" s="5"/>
      <c r="Q155" s="5"/>
      <c r="R155" s="5"/>
    </row>
    <row r="156" spans="1:18" ht="30.75" customHeight="1" x14ac:dyDescent="0.3">
      <c r="A156" s="442">
        <f>A140+1</f>
        <v>12</v>
      </c>
      <c r="B156" s="443"/>
      <c r="C156" s="443"/>
      <c r="D156" s="444"/>
      <c r="E156" s="445" t="str">
        <f>VLOOKUP(A156,'LISTA DE OFERENTES'!$A$6:$B$38,2,FALSE)</f>
        <v>CONSORCIO UNAL AVL-DHE</v>
      </c>
      <c r="F156" s="446"/>
      <c r="G156" s="446"/>
      <c r="H156" s="446"/>
      <c r="I156" s="446"/>
      <c r="J156" s="446"/>
      <c r="K156" s="446"/>
      <c r="L156" s="446"/>
      <c r="M156" s="446"/>
      <c r="N156" s="446"/>
      <c r="O156" s="446"/>
      <c r="P156" s="446"/>
      <c r="Q156" s="446"/>
      <c r="R156" s="447"/>
    </row>
    <row r="157" spans="1:18" ht="50.25" customHeight="1" x14ac:dyDescent="0.3">
      <c r="A157" s="28" t="s">
        <v>215</v>
      </c>
      <c r="B157" s="85"/>
      <c r="C157" s="29" t="s">
        <v>216</v>
      </c>
      <c r="D157" s="68">
        <f>+$E$506</f>
        <v>1649.6083550000001</v>
      </c>
      <c r="E157" s="448"/>
      <c r="F157" s="449"/>
      <c r="G157" s="449"/>
      <c r="H157" s="449"/>
      <c r="I157" s="449"/>
      <c r="J157" s="449"/>
      <c r="K157" s="449"/>
      <c r="L157" s="449"/>
      <c r="M157" s="449"/>
      <c r="N157" s="449"/>
      <c r="O157" s="449"/>
      <c r="P157" s="449"/>
      <c r="Q157" s="449"/>
      <c r="R157" s="450"/>
    </row>
    <row r="158" spans="1:18" ht="30" customHeight="1" x14ac:dyDescent="0.3">
      <c r="A158" s="454" t="s">
        <v>217</v>
      </c>
      <c r="B158" s="455"/>
      <c r="C158" s="70">
        <f>IF(B157&lt;3,0.75,IF(B157&lt;5,1.2,1.5))</f>
        <v>0.75</v>
      </c>
      <c r="D158" s="71">
        <f>+D157*C158</f>
        <v>1237.20626625</v>
      </c>
      <c r="E158" s="448"/>
      <c r="F158" s="449"/>
      <c r="G158" s="449"/>
      <c r="H158" s="449"/>
      <c r="I158" s="449"/>
      <c r="J158" s="449"/>
      <c r="K158" s="449"/>
      <c r="L158" s="449"/>
      <c r="M158" s="449"/>
      <c r="N158" s="449"/>
      <c r="O158" s="449"/>
      <c r="P158" s="449"/>
      <c r="Q158" s="449"/>
      <c r="R158" s="450"/>
    </row>
    <row r="159" spans="1:18" ht="30" customHeight="1" x14ac:dyDescent="0.3">
      <c r="A159" s="456" t="s">
        <v>218</v>
      </c>
      <c r="B159" s="455"/>
      <c r="C159" s="457">
        <v>44771</v>
      </c>
      <c r="D159" s="458"/>
      <c r="E159" s="448"/>
      <c r="F159" s="449"/>
      <c r="G159" s="449"/>
      <c r="H159" s="449"/>
      <c r="I159" s="449"/>
      <c r="J159" s="449"/>
      <c r="K159" s="449"/>
      <c r="L159" s="449"/>
      <c r="M159" s="449"/>
      <c r="N159" s="449"/>
      <c r="O159" s="449"/>
      <c r="P159" s="449"/>
      <c r="Q159" s="449"/>
      <c r="R159" s="450"/>
    </row>
    <row r="160" spans="1:18" ht="30" customHeight="1" x14ac:dyDescent="0.3">
      <c r="A160" s="459" t="s">
        <v>219</v>
      </c>
      <c r="B160" s="460"/>
      <c r="C160" s="472"/>
      <c r="D160" s="473"/>
      <c r="E160" s="451"/>
      <c r="F160" s="452"/>
      <c r="G160" s="452"/>
      <c r="H160" s="452"/>
      <c r="I160" s="452"/>
      <c r="J160" s="452"/>
      <c r="K160" s="452"/>
      <c r="L160" s="452"/>
      <c r="M160" s="452"/>
      <c r="N160" s="452"/>
      <c r="O160" s="452"/>
      <c r="P160" s="452"/>
      <c r="Q160" s="452"/>
      <c r="R160" s="453"/>
    </row>
    <row r="161" spans="1:18" ht="55.5" customHeight="1" x14ac:dyDescent="0.3">
      <c r="A161" s="474" t="s">
        <v>220</v>
      </c>
      <c r="B161" s="475"/>
      <c r="C161" s="475"/>
      <c r="D161" s="475"/>
      <c r="E161" s="475"/>
      <c r="F161" s="475"/>
      <c r="G161" s="475"/>
      <c r="H161" s="475"/>
      <c r="I161" s="476"/>
      <c r="J161" s="81" t="s">
        <v>221</v>
      </c>
      <c r="K161" s="103" t="s">
        <v>222</v>
      </c>
      <c r="L161" s="477" t="s">
        <v>223</v>
      </c>
      <c r="M161" s="476"/>
      <c r="N161" s="478" t="s">
        <v>224</v>
      </c>
      <c r="O161" s="480" t="s">
        <v>225</v>
      </c>
      <c r="P161" s="481"/>
      <c r="Q161" s="478" t="s">
        <v>226</v>
      </c>
      <c r="R161" s="461" t="s">
        <v>227</v>
      </c>
    </row>
    <row r="162" spans="1:18" ht="77.25" customHeight="1" x14ac:dyDescent="0.3">
      <c r="A162" s="82" t="s">
        <v>228</v>
      </c>
      <c r="B162" s="463" t="s">
        <v>229</v>
      </c>
      <c r="C162" s="464"/>
      <c r="D162" s="83" t="s">
        <v>230</v>
      </c>
      <c r="E162" s="83" t="s">
        <v>231</v>
      </c>
      <c r="F162" s="83" t="s">
        <v>232</v>
      </c>
      <c r="G162" s="83" t="s">
        <v>233</v>
      </c>
      <c r="H162" s="116" t="s">
        <v>234</v>
      </c>
      <c r="I162" s="116" t="s">
        <v>235</v>
      </c>
      <c r="J162" s="84" t="s">
        <v>236</v>
      </c>
      <c r="K162" s="84" t="s">
        <v>237</v>
      </c>
      <c r="L162" s="84" t="s">
        <v>238</v>
      </c>
      <c r="M162" s="84" t="s">
        <v>239</v>
      </c>
      <c r="N162" s="479"/>
      <c r="O162" s="482"/>
      <c r="P162" s="483"/>
      <c r="Q162" s="479"/>
      <c r="R162" s="462"/>
    </row>
    <row r="163" spans="1:18" ht="39.9" customHeight="1" x14ac:dyDescent="0.3">
      <c r="A163" s="86" t="str">
        <f>VLOOKUP(A156,'LISTA DE OFERENTES'!$A$6:$R$38,7,FALSE)</f>
        <v>AV&amp;L INGENIERIA SAS</v>
      </c>
      <c r="B163" s="87"/>
      <c r="C163" s="87"/>
      <c r="D163" s="87"/>
      <c r="E163" s="87"/>
      <c r="F163" s="87"/>
      <c r="G163" s="87"/>
      <c r="H163" s="87"/>
      <c r="I163" s="87"/>
      <c r="J163" s="87"/>
      <c r="K163" s="87"/>
      <c r="L163" s="491" t="s">
        <v>97</v>
      </c>
      <c r="M163" s="87"/>
      <c r="N163" s="87"/>
      <c r="O163" s="162" t="s">
        <v>241</v>
      </c>
      <c r="P163" s="87"/>
      <c r="Q163" s="87"/>
      <c r="R163" s="90"/>
    </row>
    <row r="164" spans="1:18" s="33" customFormat="1" ht="150" customHeight="1" x14ac:dyDescent="0.3">
      <c r="A164" s="119" t="s">
        <v>323</v>
      </c>
      <c r="B164" s="498" t="s">
        <v>324</v>
      </c>
      <c r="C164" s="467"/>
      <c r="D164" s="23">
        <v>2708827245</v>
      </c>
      <c r="E164" s="69">
        <v>2010</v>
      </c>
      <c r="F164" s="69">
        <v>22574</v>
      </c>
      <c r="G164" s="24">
        <f>D164/(VLOOKUP(E164,$D$533:$E$564,2,FALSE))</f>
        <v>5259.85872815534</v>
      </c>
      <c r="H164" s="3">
        <v>0.33500000000000002</v>
      </c>
      <c r="I164" s="24">
        <f>H164*G164</f>
        <v>1762.0526739320389</v>
      </c>
      <c r="J164" s="100">
        <v>40423</v>
      </c>
      <c r="K164" s="30" t="s">
        <v>247</v>
      </c>
      <c r="L164" s="492"/>
      <c r="M164" s="31">
        <f>I164</f>
        <v>1762.0526739320389</v>
      </c>
      <c r="N164" s="119" t="s">
        <v>213</v>
      </c>
      <c r="O164" s="186">
        <f>2596+3457+3341</f>
        <v>9394</v>
      </c>
      <c r="P164" s="119" t="s">
        <v>213</v>
      </c>
      <c r="Q164" s="142" t="s">
        <v>213</v>
      </c>
      <c r="R164" s="32" t="s">
        <v>325</v>
      </c>
    </row>
    <row r="165" spans="1:18" ht="39.9" customHeight="1" x14ac:dyDescent="0.3">
      <c r="A165" s="86" t="str">
        <f>VLOOKUP(A156,'LISTA DE OFERENTES'!$A$6:$R$38,11,FALSE)</f>
        <v>DHE INGENIERIA SAS</v>
      </c>
      <c r="B165" s="87"/>
      <c r="C165" s="87"/>
      <c r="D165" s="87"/>
      <c r="E165" s="87"/>
      <c r="F165" s="87"/>
      <c r="G165" s="87"/>
      <c r="H165" s="87"/>
      <c r="I165" s="87"/>
      <c r="J165" s="87"/>
      <c r="K165" s="87"/>
      <c r="L165" s="492"/>
      <c r="M165" s="87"/>
      <c r="N165" s="87"/>
      <c r="O165" s="162" t="s">
        <v>241</v>
      </c>
      <c r="P165" s="87"/>
      <c r="Q165" s="87"/>
      <c r="R165" s="90"/>
    </row>
    <row r="166" spans="1:18" s="33" customFormat="1" ht="150" customHeight="1" x14ac:dyDescent="0.3">
      <c r="A166" s="119"/>
      <c r="B166" s="498"/>
      <c r="C166" s="467"/>
      <c r="D166" s="23"/>
      <c r="E166" s="69"/>
      <c r="F166" s="69"/>
      <c r="G166" s="24"/>
      <c r="H166" s="3"/>
      <c r="I166" s="24"/>
      <c r="J166" s="100"/>
      <c r="K166" s="30"/>
      <c r="L166" s="501"/>
      <c r="M166" s="31"/>
      <c r="N166" s="119"/>
      <c r="O166" s="186"/>
      <c r="P166" s="119"/>
      <c r="Q166" s="142"/>
      <c r="R166" s="32" t="s">
        <v>326</v>
      </c>
    </row>
    <row r="167" spans="1:18" s="33" customFormat="1" ht="48" customHeight="1" x14ac:dyDescent="0.3">
      <c r="A167" s="495" t="s">
        <v>249</v>
      </c>
      <c r="B167" s="485"/>
      <c r="C167" s="485"/>
      <c r="D167" s="485"/>
      <c r="E167" s="485"/>
      <c r="F167" s="485"/>
      <c r="G167" s="485"/>
      <c r="H167" s="486"/>
      <c r="I167" s="72">
        <f>SUM(I164:I164)</f>
        <v>1762.0526739320389</v>
      </c>
      <c r="J167" s="487" t="s">
        <v>250</v>
      </c>
      <c r="K167" s="488"/>
      <c r="L167" s="488"/>
      <c r="M167" s="488"/>
      <c r="N167" s="488"/>
      <c r="O167" s="488"/>
      <c r="P167" s="490"/>
      <c r="Q167" s="136"/>
      <c r="R167" s="92" t="s">
        <v>213</v>
      </c>
    </row>
    <row r="168" spans="1:18" ht="15.75" customHeight="1" x14ac:dyDescent="0.3">
      <c r="A168" s="4"/>
      <c r="B168" s="4"/>
      <c r="C168" s="120"/>
      <c r="D168" s="120"/>
      <c r="E168" s="120"/>
      <c r="F168" s="120"/>
      <c r="G168" s="120"/>
      <c r="H168" s="120"/>
      <c r="I168" s="120"/>
      <c r="J168" s="120"/>
      <c r="K168" s="120"/>
      <c r="L168" s="120"/>
      <c r="M168" s="120"/>
      <c r="N168" s="120"/>
      <c r="O168" s="120"/>
      <c r="P168" s="120"/>
      <c r="Q168" s="120"/>
      <c r="R168" s="5"/>
    </row>
    <row r="169" spans="1:18" ht="30.75" customHeight="1" x14ac:dyDescent="0.3">
      <c r="A169" s="442">
        <f>A156+1</f>
        <v>13</v>
      </c>
      <c r="B169" s="443"/>
      <c r="C169" s="443"/>
      <c r="D169" s="444"/>
      <c r="E169" s="445" t="str">
        <f>VLOOKUP(A169,'LISTA DE OFERENTES'!$A$6:$B$38,2,FALSE)</f>
        <v>CONSORCIO VALHER</v>
      </c>
      <c r="F169" s="446"/>
      <c r="G169" s="446"/>
      <c r="H169" s="446"/>
      <c r="I169" s="446"/>
      <c r="J169" s="446"/>
      <c r="K169" s="446"/>
      <c r="L169" s="446"/>
      <c r="M169" s="446"/>
      <c r="N169" s="446"/>
      <c r="O169" s="446"/>
      <c r="P169" s="446"/>
      <c r="Q169" s="446"/>
      <c r="R169" s="447"/>
    </row>
    <row r="170" spans="1:18" ht="50.25" customHeight="1" x14ac:dyDescent="0.3">
      <c r="A170" s="28" t="s">
        <v>215</v>
      </c>
      <c r="B170" s="85"/>
      <c r="C170" s="29" t="s">
        <v>216</v>
      </c>
      <c r="D170" s="68">
        <f>+$E$506</f>
        <v>1649.6083550000001</v>
      </c>
      <c r="E170" s="448"/>
      <c r="F170" s="449"/>
      <c r="G170" s="449"/>
      <c r="H170" s="449"/>
      <c r="I170" s="449"/>
      <c r="J170" s="449"/>
      <c r="K170" s="449"/>
      <c r="L170" s="449"/>
      <c r="M170" s="449"/>
      <c r="N170" s="449"/>
      <c r="O170" s="449"/>
      <c r="P170" s="449"/>
      <c r="Q170" s="449"/>
      <c r="R170" s="450"/>
    </row>
    <row r="171" spans="1:18" ht="30" customHeight="1" x14ac:dyDescent="0.3">
      <c r="A171" s="454" t="s">
        <v>217</v>
      </c>
      <c r="B171" s="455"/>
      <c r="C171" s="70">
        <f>IF(B170&lt;3,0.75,IF(B170&lt;5,1.2,1.5))</f>
        <v>0.75</v>
      </c>
      <c r="D171" s="71">
        <f>+D170*C171</f>
        <v>1237.20626625</v>
      </c>
      <c r="E171" s="448"/>
      <c r="F171" s="449"/>
      <c r="G171" s="449"/>
      <c r="H171" s="449"/>
      <c r="I171" s="449"/>
      <c r="J171" s="449"/>
      <c r="K171" s="449"/>
      <c r="L171" s="449"/>
      <c r="M171" s="449"/>
      <c r="N171" s="449"/>
      <c r="O171" s="449"/>
      <c r="P171" s="449"/>
      <c r="Q171" s="449"/>
      <c r="R171" s="450"/>
    </row>
    <row r="172" spans="1:18" ht="30" customHeight="1" x14ac:dyDescent="0.3">
      <c r="A172" s="456" t="s">
        <v>218</v>
      </c>
      <c r="B172" s="455"/>
      <c r="C172" s="457">
        <v>44771</v>
      </c>
      <c r="D172" s="458"/>
      <c r="E172" s="448"/>
      <c r="F172" s="449"/>
      <c r="G172" s="449"/>
      <c r="H172" s="449"/>
      <c r="I172" s="449"/>
      <c r="J172" s="449"/>
      <c r="K172" s="449"/>
      <c r="L172" s="449"/>
      <c r="M172" s="449"/>
      <c r="N172" s="449"/>
      <c r="O172" s="449"/>
      <c r="P172" s="449"/>
      <c r="Q172" s="449"/>
      <c r="R172" s="450"/>
    </row>
    <row r="173" spans="1:18" ht="30" customHeight="1" x14ac:dyDescent="0.3">
      <c r="A173" s="459" t="s">
        <v>219</v>
      </c>
      <c r="B173" s="460"/>
      <c r="C173" s="472"/>
      <c r="D173" s="473"/>
      <c r="E173" s="451"/>
      <c r="F173" s="452"/>
      <c r="G173" s="452"/>
      <c r="H173" s="452"/>
      <c r="I173" s="452"/>
      <c r="J173" s="452"/>
      <c r="K173" s="452"/>
      <c r="L173" s="452"/>
      <c r="M173" s="452"/>
      <c r="N173" s="452"/>
      <c r="O173" s="452"/>
      <c r="P173" s="452"/>
      <c r="Q173" s="452"/>
      <c r="R173" s="453"/>
    </row>
    <row r="174" spans="1:18" ht="55.5" customHeight="1" x14ac:dyDescent="0.3">
      <c r="A174" s="474" t="s">
        <v>220</v>
      </c>
      <c r="B174" s="475"/>
      <c r="C174" s="475"/>
      <c r="D174" s="475"/>
      <c r="E174" s="475"/>
      <c r="F174" s="475"/>
      <c r="G174" s="475"/>
      <c r="H174" s="475"/>
      <c r="I174" s="476"/>
      <c r="J174" s="81" t="s">
        <v>221</v>
      </c>
      <c r="K174" s="103" t="s">
        <v>222</v>
      </c>
      <c r="L174" s="477" t="s">
        <v>223</v>
      </c>
      <c r="M174" s="476"/>
      <c r="N174" s="478" t="s">
        <v>224</v>
      </c>
      <c r="O174" s="480" t="s">
        <v>225</v>
      </c>
      <c r="P174" s="481"/>
      <c r="Q174" s="478" t="s">
        <v>226</v>
      </c>
      <c r="R174" s="461" t="s">
        <v>227</v>
      </c>
    </row>
    <row r="175" spans="1:18" ht="77.25" customHeight="1" x14ac:dyDescent="0.3">
      <c r="A175" s="82" t="s">
        <v>228</v>
      </c>
      <c r="B175" s="463" t="s">
        <v>229</v>
      </c>
      <c r="C175" s="464"/>
      <c r="D175" s="83" t="s">
        <v>230</v>
      </c>
      <c r="E175" s="83" t="s">
        <v>231</v>
      </c>
      <c r="F175" s="83" t="s">
        <v>232</v>
      </c>
      <c r="G175" s="83" t="s">
        <v>233</v>
      </c>
      <c r="H175" s="116" t="s">
        <v>234</v>
      </c>
      <c r="I175" s="116" t="s">
        <v>235</v>
      </c>
      <c r="J175" s="84" t="s">
        <v>236</v>
      </c>
      <c r="K175" s="84" t="s">
        <v>237</v>
      </c>
      <c r="L175" s="84" t="s">
        <v>238</v>
      </c>
      <c r="M175" s="84" t="s">
        <v>239</v>
      </c>
      <c r="N175" s="479"/>
      <c r="O175" s="482"/>
      <c r="P175" s="483"/>
      <c r="Q175" s="479"/>
      <c r="R175" s="462"/>
    </row>
    <row r="176" spans="1:18" ht="39.9" customHeight="1" x14ac:dyDescent="0.3">
      <c r="A176" s="86" t="str">
        <f>VLOOKUP(A169,'LISTA DE OFERENTES'!$A$6:$R$38,7,FALSE)</f>
        <v>CONSTRUCTORA VALHER SAS</v>
      </c>
      <c r="B176" s="87"/>
      <c r="C176" s="87"/>
      <c r="D176" s="87"/>
      <c r="E176" s="87"/>
      <c r="F176" s="87"/>
      <c r="G176" s="87"/>
      <c r="H176" s="87"/>
      <c r="I176" s="87"/>
      <c r="J176" s="87"/>
      <c r="K176" s="87"/>
      <c r="L176" s="491" t="s">
        <v>103</v>
      </c>
      <c r="M176" s="87"/>
      <c r="N176" s="87"/>
      <c r="O176" s="162" t="s">
        <v>241</v>
      </c>
      <c r="P176" s="87"/>
      <c r="Q176" s="87"/>
      <c r="R176" s="90"/>
    </row>
    <row r="177" spans="1:18" s="33" customFormat="1" ht="150" customHeight="1" x14ac:dyDescent="0.3">
      <c r="A177" s="119" t="s">
        <v>327</v>
      </c>
      <c r="B177" s="498" t="s">
        <v>328</v>
      </c>
      <c r="C177" s="467"/>
      <c r="D177" s="23">
        <v>5651411301</v>
      </c>
      <c r="E177" s="69">
        <v>2019</v>
      </c>
      <c r="F177" s="69">
        <v>15330.57</v>
      </c>
      <c r="G177" s="24">
        <f>D177/(VLOOKUP(E177,$D$533:$E$564,2,FALSE))</f>
        <v>6824.4198892425702</v>
      </c>
      <c r="H177" s="3">
        <v>0.52</v>
      </c>
      <c r="I177" s="24">
        <f>H177*G177</f>
        <v>3548.6983424061368</v>
      </c>
      <c r="J177" s="100">
        <v>43515</v>
      </c>
      <c r="K177" s="30" t="s">
        <v>257</v>
      </c>
      <c r="L177" s="492"/>
      <c r="M177" s="31">
        <f>I177</f>
        <v>3548.6983424061368</v>
      </c>
      <c r="N177" s="119" t="s">
        <v>213</v>
      </c>
      <c r="O177" s="186" t="str">
        <f>+CONCATENATE(FIXED(F177*H177,2)," ","m2")</f>
        <v>7.971,90 m2</v>
      </c>
      <c r="P177" s="119" t="s">
        <v>213</v>
      </c>
      <c r="Q177" s="142" t="s">
        <v>213</v>
      </c>
      <c r="R177" s="32"/>
    </row>
    <row r="178" spans="1:18" s="33" customFormat="1" ht="150" customHeight="1" x14ac:dyDescent="0.3">
      <c r="A178" s="119" t="s">
        <v>329</v>
      </c>
      <c r="B178" s="498" t="s">
        <v>330</v>
      </c>
      <c r="C178" s="467"/>
      <c r="D178" s="23">
        <v>6136688258</v>
      </c>
      <c r="E178" s="69">
        <v>2018</v>
      </c>
      <c r="F178" s="69">
        <v>15125</v>
      </c>
      <c r="G178" s="24">
        <f>D178/(VLOOKUP(E178,$D$533:$E$564,2,FALSE))</f>
        <v>7855.0414058639963</v>
      </c>
      <c r="H178" s="3">
        <v>0.75</v>
      </c>
      <c r="I178" s="24">
        <f>H178*G178</f>
        <v>5891.2810543979977</v>
      </c>
      <c r="J178" s="100">
        <v>43422</v>
      </c>
      <c r="K178" s="30" t="s">
        <v>331</v>
      </c>
      <c r="L178" s="492"/>
      <c r="M178" s="31">
        <f>I178</f>
        <v>5891.2810543979977</v>
      </c>
      <c r="N178" s="119" t="s">
        <v>213</v>
      </c>
      <c r="O178" s="186" t="str">
        <f>+CONCATENATE(FIXED(F178*H178,2)," ","m2")</f>
        <v>11.343,75 m2</v>
      </c>
      <c r="P178" s="119" t="s">
        <v>213</v>
      </c>
      <c r="Q178" s="142" t="s">
        <v>213</v>
      </c>
      <c r="R178" s="32"/>
    </row>
    <row r="179" spans="1:18" s="33" customFormat="1" ht="150" customHeight="1" x14ac:dyDescent="0.3">
      <c r="A179" s="119" t="s">
        <v>332</v>
      </c>
      <c r="B179" s="498" t="s">
        <v>333</v>
      </c>
      <c r="C179" s="467"/>
      <c r="D179" s="23">
        <v>1469580195</v>
      </c>
      <c r="E179" s="69">
        <v>2015</v>
      </c>
      <c r="F179" s="69">
        <v>11189</v>
      </c>
      <c r="G179" s="24">
        <f>D179/(VLOOKUP(E179,$D$533:$E$564,2,FALSE))</f>
        <v>2280.7173042601071</v>
      </c>
      <c r="H179" s="3">
        <v>0.9</v>
      </c>
      <c r="I179" s="24">
        <f>H179*G179</f>
        <v>2052.6455738340965</v>
      </c>
      <c r="J179" s="100">
        <v>42344</v>
      </c>
      <c r="K179" s="30" t="s">
        <v>247</v>
      </c>
      <c r="L179" s="492"/>
      <c r="M179" s="31">
        <f>I179</f>
        <v>2052.6455738340965</v>
      </c>
      <c r="N179" s="119" t="s">
        <v>213</v>
      </c>
      <c r="O179" s="186" t="str">
        <f>+CONCATENATE(FIXED(F179*H179,2)," ","m2")</f>
        <v>10.070,10 m2</v>
      </c>
      <c r="P179" s="119" t="s">
        <v>213</v>
      </c>
      <c r="Q179" s="142" t="s">
        <v>214</v>
      </c>
      <c r="R179" s="32" t="s">
        <v>334</v>
      </c>
    </row>
    <row r="180" spans="1:18" s="33" customFormat="1" ht="150" customHeight="1" x14ac:dyDescent="0.3">
      <c r="A180" s="119" t="s">
        <v>335</v>
      </c>
      <c r="B180" s="498" t="s">
        <v>19</v>
      </c>
      <c r="C180" s="467"/>
      <c r="D180" s="23">
        <f>906203740+453263600</f>
        <v>1359467340</v>
      </c>
      <c r="E180" s="69">
        <v>2018</v>
      </c>
      <c r="F180" s="69">
        <v>3529</v>
      </c>
      <c r="G180" s="24">
        <f>D180/(VLOOKUP(E180,$D$533:$E$564,2,FALSE))</f>
        <v>1740.1360141927853</v>
      </c>
      <c r="H180" s="3">
        <v>1</v>
      </c>
      <c r="I180" s="24">
        <f>H180*G180</f>
        <v>1740.1360141927853</v>
      </c>
      <c r="J180" s="100">
        <v>43214</v>
      </c>
      <c r="K180" s="30" t="s">
        <v>247</v>
      </c>
      <c r="L180" s="492"/>
      <c r="M180" s="31">
        <f>I180</f>
        <v>1740.1360141927853</v>
      </c>
      <c r="N180" s="119" t="s">
        <v>213</v>
      </c>
      <c r="O180" s="186" t="str">
        <f>+CONCATENATE(FIXED(F180*H180,2)," ","m2")</f>
        <v>3.529,00 m2</v>
      </c>
      <c r="P180" s="119" t="s">
        <v>213</v>
      </c>
      <c r="Q180" s="142" t="s">
        <v>213</v>
      </c>
      <c r="R180" s="32" t="s">
        <v>334</v>
      </c>
    </row>
    <row r="181" spans="1:18" ht="39.9" customHeight="1" x14ac:dyDescent="0.3">
      <c r="A181" s="86" t="str">
        <f>VLOOKUP(A169,'LISTA DE OFERENTES'!$A$6:$R$38,11,FALSE)</f>
        <v>MAGDA HEYNNER UMAÑA TORRES</v>
      </c>
      <c r="B181" s="87"/>
      <c r="C181" s="87"/>
      <c r="D181" s="87"/>
      <c r="E181" s="87"/>
      <c r="F181" s="87"/>
      <c r="G181" s="87"/>
      <c r="H181" s="87"/>
      <c r="I181" s="87"/>
      <c r="J181" s="87"/>
      <c r="K181" s="87"/>
      <c r="L181" s="492"/>
      <c r="M181" s="87"/>
      <c r="N181" s="87"/>
      <c r="O181" s="162" t="s">
        <v>241</v>
      </c>
      <c r="P181" s="87"/>
      <c r="Q181" s="87"/>
      <c r="R181" s="90"/>
    </row>
    <row r="182" spans="1:18" s="33" customFormat="1" ht="150" customHeight="1" x14ac:dyDescent="0.3">
      <c r="A182" s="119" t="s">
        <v>327</v>
      </c>
      <c r="B182" s="498" t="s">
        <v>328</v>
      </c>
      <c r="C182" s="467"/>
      <c r="D182" s="23">
        <v>5651411301</v>
      </c>
      <c r="E182" s="69">
        <v>2019</v>
      </c>
      <c r="F182" s="69">
        <v>15330.57</v>
      </c>
      <c r="G182" s="24">
        <f>D182/(VLOOKUP(E182,$D$533:$E$564,2,FALSE))</f>
        <v>6824.4198892425702</v>
      </c>
      <c r="H182" s="3">
        <v>0.38</v>
      </c>
      <c r="I182" s="24">
        <f>H182*G182</f>
        <v>2593.2795579121766</v>
      </c>
      <c r="J182" s="100">
        <v>43515</v>
      </c>
      <c r="K182" s="30" t="s">
        <v>257</v>
      </c>
      <c r="L182" s="492"/>
      <c r="M182" s="31">
        <f>I182</f>
        <v>2593.2795579121766</v>
      </c>
      <c r="N182" s="119" t="s">
        <v>213</v>
      </c>
      <c r="O182" s="186" t="str">
        <f>+CONCATENATE(FIXED(F182*H182,2)," ","m2")</f>
        <v>5.825,62 m2</v>
      </c>
      <c r="P182" s="119" t="s">
        <v>213</v>
      </c>
      <c r="Q182" s="142" t="s">
        <v>213</v>
      </c>
      <c r="R182" s="32"/>
    </row>
    <row r="183" spans="1:18" s="33" customFormat="1" ht="150" customHeight="1" x14ac:dyDescent="0.3">
      <c r="A183" s="119" t="s">
        <v>329</v>
      </c>
      <c r="B183" s="498" t="s">
        <v>330</v>
      </c>
      <c r="C183" s="467"/>
      <c r="D183" s="23">
        <v>6136688258</v>
      </c>
      <c r="E183" s="69">
        <v>2018</v>
      </c>
      <c r="F183" s="69">
        <v>15125</v>
      </c>
      <c r="G183" s="24">
        <f>D183/(VLOOKUP(E183,$D$533:$E$564,2,FALSE))</f>
        <v>7855.0414058639963</v>
      </c>
      <c r="H183" s="3">
        <v>0.05</v>
      </c>
      <c r="I183" s="24">
        <f>H183*G183</f>
        <v>392.75207029319984</v>
      </c>
      <c r="J183" s="100">
        <v>43422</v>
      </c>
      <c r="K183" s="30" t="s">
        <v>331</v>
      </c>
      <c r="L183" s="492"/>
      <c r="M183" s="31">
        <f>I183</f>
        <v>392.75207029319984</v>
      </c>
      <c r="N183" s="119" t="s">
        <v>213</v>
      </c>
      <c r="O183" s="186" t="str">
        <f>+CONCATENATE(FIXED(F183*H183,2)," ","m2")</f>
        <v>756,25 m2</v>
      </c>
      <c r="P183" s="119"/>
      <c r="Q183" s="142" t="s">
        <v>213</v>
      </c>
      <c r="R183" s="32"/>
    </row>
    <row r="184" spans="1:18" s="33" customFormat="1" ht="150" customHeight="1" x14ac:dyDescent="0.3">
      <c r="A184" s="119" t="s">
        <v>332</v>
      </c>
      <c r="B184" s="498" t="s">
        <v>333</v>
      </c>
      <c r="C184" s="467"/>
      <c r="D184" s="23">
        <v>1469580195</v>
      </c>
      <c r="E184" s="69">
        <v>2015</v>
      </c>
      <c r="F184" s="69">
        <v>11189</v>
      </c>
      <c r="G184" s="24">
        <f>D184/(VLOOKUP(E184,$D$533:$E$564,2,FALSE))</f>
        <v>2280.7173042601071</v>
      </c>
      <c r="H184" s="3">
        <v>0.1</v>
      </c>
      <c r="I184" s="24">
        <f>H184*G184</f>
        <v>228.07173042601073</v>
      </c>
      <c r="J184" s="100">
        <v>42344</v>
      </c>
      <c r="K184" s="30" t="s">
        <v>247</v>
      </c>
      <c r="L184" s="501"/>
      <c r="M184" s="31">
        <f>I184</f>
        <v>228.07173042601073</v>
      </c>
      <c r="N184" s="119" t="s">
        <v>213</v>
      </c>
      <c r="O184" s="186" t="str">
        <f>+CONCATENATE(FIXED(F184*H184,2)," ","m2")</f>
        <v>1.118,90 m2</v>
      </c>
      <c r="P184" s="119"/>
      <c r="Q184" s="142" t="s">
        <v>214</v>
      </c>
      <c r="R184" s="32" t="s">
        <v>334</v>
      </c>
    </row>
    <row r="185" spans="1:18" s="33" customFormat="1" ht="48" customHeight="1" x14ac:dyDescent="0.3">
      <c r="A185" s="495" t="s">
        <v>249</v>
      </c>
      <c r="B185" s="485"/>
      <c r="C185" s="485"/>
      <c r="D185" s="485"/>
      <c r="E185" s="485"/>
      <c r="F185" s="485"/>
      <c r="G185" s="485"/>
      <c r="H185" s="486"/>
      <c r="I185" s="72">
        <f>SUM(I177:I184)</f>
        <v>16446.864343462403</v>
      </c>
      <c r="J185" s="487" t="s">
        <v>250</v>
      </c>
      <c r="K185" s="488"/>
      <c r="L185" s="488"/>
      <c r="M185" s="488"/>
      <c r="N185" s="488"/>
      <c r="O185" s="488"/>
      <c r="P185" s="490"/>
      <c r="Q185" s="136"/>
      <c r="R185" s="92" t="s">
        <v>213</v>
      </c>
    </row>
    <row r="186" spans="1:18" ht="15.6" x14ac:dyDescent="0.3">
      <c r="A186" s="4"/>
      <c r="B186" s="4"/>
      <c r="C186" s="4"/>
      <c r="D186" s="4"/>
      <c r="E186" s="4"/>
      <c r="F186" s="4"/>
      <c r="G186" s="4"/>
      <c r="H186" s="4"/>
      <c r="I186" s="4"/>
      <c r="J186" s="4"/>
      <c r="K186" s="4"/>
      <c r="L186" s="4"/>
      <c r="M186" s="4"/>
      <c r="N186" s="5"/>
      <c r="O186" s="5"/>
      <c r="P186" s="5"/>
      <c r="Q186" s="5"/>
      <c r="R186" s="5"/>
    </row>
    <row r="187" spans="1:18" ht="30.75" customHeight="1" x14ac:dyDescent="0.3">
      <c r="A187" s="442">
        <f>A169+1</f>
        <v>14</v>
      </c>
      <c r="B187" s="443"/>
      <c r="C187" s="443"/>
      <c r="D187" s="444"/>
      <c r="E187" s="445" t="str">
        <f>VLOOKUP(A187,'LISTA DE OFERENTES'!$A$6:$B$38,2,FALSE)</f>
        <v>PAVIMENTOS TECNICOS SAS</v>
      </c>
      <c r="F187" s="446"/>
      <c r="G187" s="446"/>
      <c r="H187" s="446"/>
      <c r="I187" s="446"/>
      <c r="J187" s="446"/>
      <c r="K187" s="446"/>
      <c r="L187" s="446"/>
      <c r="M187" s="446"/>
      <c r="N187" s="446"/>
      <c r="O187" s="446"/>
      <c r="P187" s="446"/>
      <c r="Q187" s="446"/>
      <c r="R187" s="447"/>
    </row>
    <row r="188" spans="1:18" ht="50.25" customHeight="1" x14ac:dyDescent="0.3">
      <c r="A188" s="28" t="s">
        <v>215</v>
      </c>
      <c r="B188" s="85"/>
      <c r="C188" s="29" t="s">
        <v>216</v>
      </c>
      <c r="D188" s="68">
        <f>+$E$506</f>
        <v>1649.6083550000001</v>
      </c>
      <c r="E188" s="448"/>
      <c r="F188" s="449"/>
      <c r="G188" s="449"/>
      <c r="H188" s="449"/>
      <c r="I188" s="449"/>
      <c r="J188" s="449"/>
      <c r="K188" s="449"/>
      <c r="L188" s="449"/>
      <c r="M188" s="449"/>
      <c r="N188" s="449"/>
      <c r="O188" s="449"/>
      <c r="P188" s="449"/>
      <c r="Q188" s="449"/>
      <c r="R188" s="450"/>
    </row>
    <row r="189" spans="1:18" ht="30" customHeight="1" x14ac:dyDescent="0.3">
      <c r="A189" s="454" t="s">
        <v>217</v>
      </c>
      <c r="B189" s="455"/>
      <c r="C189" s="70">
        <f>IF(B188&lt;3,0.75,IF(B188&lt;5,1.2,1.5))</f>
        <v>0.75</v>
      </c>
      <c r="D189" s="71">
        <f>+D188*C189</f>
        <v>1237.20626625</v>
      </c>
      <c r="E189" s="448"/>
      <c r="F189" s="449"/>
      <c r="G189" s="449"/>
      <c r="H189" s="449"/>
      <c r="I189" s="449"/>
      <c r="J189" s="449"/>
      <c r="K189" s="449"/>
      <c r="L189" s="449"/>
      <c r="M189" s="449"/>
      <c r="N189" s="449"/>
      <c r="O189" s="449"/>
      <c r="P189" s="449"/>
      <c r="Q189" s="449"/>
      <c r="R189" s="450"/>
    </row>
    <row r="190" spans="1:18" ht="30" customHeight="1" x14ac:dyDescent="0.3">
      <c r="A190" s="456" t="s">
        <v>218</v>
      </c>
      <c r="B190" s="455"/>
      <c r="C190" s="457">
        <v>44771</v>
      </c>
      <c r="D190" s="458"/>
      <c r="E190" s="448"/>
      <c r="F190" s="449"/>
      <c r="G190" s="449"/>
      <c r="H190" s="449"/>
      <c r="I190" s="449"/>
      <c r="J190" s="449"/>
      <c r="K190" s="449"/>
      <c r="L190" s="449"/>
      <c r="M190" s="449"/>
      <c r="N190" s="449"/>
      <c r="O190" s="449"/>
      <c r="P190" s="449"/>
      <c r="Q190" s="449"/>
      <c r="R190" s="450"/>
    </row>
    <row r="191" spans="1:18" ht="30" customHeight="1" x14ac:dyDescent="0.3">
      <c r="A191" s="459" t="s">
        <v>219</v>
      </c>
      <c r="B191" s="460"/>
      <c r="C191" s="472"/>
      <c r="D191" s="473"/>
      <c r="E191" s="451"/>
      <c r="F191" s="452"/>
      <c r="G191" s="452"/>
      <c r="H191" s="452"/>
      <c r="I191" s="452"/>
      <c r="J191" s="452"/>
      <c r="K191" s="452"/>
      <c r="L191" s="452"/>
      <c r="M191" s="452"/>
      <c r="N191" s="452"/>
      <c r="O191" s="452"/>
      <c r="P191" s="452"/>
      <c r="Q191" s="452"/>
      <c r="R191" s="453"/>
    </row>
    <row r="192" spans="1:18" ht="55.5" customHeight="1" x14ac:dyDescent="0.3">
      <c r="A192" s="474" t="s">
        <v>220</v>
      </c>
      <c r="B192" s="475"/>
      <c r="C192" s="475"/>
      <c r="D192" s="475"/>
      <c r="E192" s="475"/>
      <c r="F192" s="475"/>
      <c r="G192" s="475"/>
      <c r="H192" s="475"/>
      <c r="I192" s="476"/>
      <c r="J192" s="81" t="s">
        <v>221</v>
      </c>
      <c r="K192" s="103" t="s">
        <v>222</v>
      </c>
      <c r="L192" s="477" t="s">
        <v>223</v>
      </c>
      <c r="M192" s="476"/>
      <c r="N192" s="478" t="s">
        <v>224</v>
      </c>
      <c r="O192" s="480" t="s">
        <v>225</v>
      </c>
      <c r="P192" s="481"/>
      <c r="Q192" s="478" t="s">
        <v>226</v>
      </c>
      <c r="R192" s="461" t="s">
        <v>227</v>
      </c>
    </row>
    <row r="193" spans="1:18" ht="77.25" customHeight="1" x14ac:dyDescent="0.3">
      <c r="A193" s="82" t="s">
        <v>228</v>
      </c>
      <c r="B193" s="463" t="s">
        <v>229</v>
      </c>
      <c r="C193" s="464"/>
      <c r="D193" s="83" t="s">
        <v>230</v>
      </c>
      <c r="E193" s="83" t="s">
        <v>231</v>
      </c>
      <c r="F193" s="83" t="s">
        <v>232</v>
      </c>
      <c r="G193" s="83" t="s">
        <v>233</v>
      </c>
      <c r="H193" s="116" t="s">
        <v>234</v>
      </c>
      <c r="I193" s="116" t="s">
        <v>235</v>
      </c>
      <c r="J193" s="84" t="s">
        <v>236</v>
      </c>
      <c r="K193" s="84" t="s">
        <v>237</v>
      </c>
      <c r="L193" s="84" t="s">
        <v>238</v>
      </c>
      <c r="M193" s="84" t="s">
        <v>239</v>
      </c>
      <c r="N193" s="479"/>
      <c r="O193" s="482"/>
      <c r="P193" s="483"/>
      <c r="Q193" s="479"/>
      <c r="R193" s="462"/>
    </row>
    <row r="194" spans="1:18" ht="39.9" customHeight="1" x14ac:dyDescent="0.3">
      <c r="A194" s="86" t="str">
        <f>VLOOKUP(A187,'LISTA DE OFERENTES'!$A$6:$R$38,7,FALSE)</f>
        <v>PAVIMENTOS TECNICOS SAS</v>
      </c>
      <c r="B194" s="87"/>
      <c r="C194" s="87"/>
      <c r="D194" s="87"/>
      <c r="E194" s="87"/>
      <c r="F194" s="87"/>
      <c r="G194" s="87"/>
      <c r="H194" s="87"/>
      <c r="I194" s="87"/>
      <c r="J194" s="87"/>
      <c r="K194" s="87"/>
      <c r="L194" s="491" t="s">
        <v>106</v>
      </c>
      <c r="M194" s="87"/>
      <c r="N194" s="87"/>
      <c r="O194" s="162" t="s">
        <v>241</v>
      </c>
      <c r="P194" s="87"/>
      <c r="Q194" s="87"/>
      <c r="R194" s="90"/>
    </row>
    <row r="195" spans="1:18" s="33" customFormat="1" ht="150" customHeight="1" x14ac:dyDescent="0.3">
      <c r="A195" s="119" t="s">
        <v>336</v>
      </c>
      <c r="B195" s="498" t="s">
        <v>333</v>
      </c>
      <c r="C195" s="467"/>
      <c r="D195" s="23">
        <v>1365286222</v>
      </c>
      <c r="E195" s="69">
        <v>2015</v>
      </c>
      <c r="F195" s="69">
        <v>6854.06</v>
      </c>
      <c r="G195" s="24">
        <f>D195/(VLOOKUP(E195,$D$533:$E$564,2,FALSE))</f>
        <v>2118.8581081710249</v>
      </c>
      <c r="H195" s="3">
        <v>0.49</v>
      </c>
      <c r="I195" s="24">
        <f>H195*G195</f>
        <v>1038.2404730038022</v>
      </c>
      <c r="J195" s="100">
        <v>42013</v>
      </c>
      <c r="K195" s="30" t="s">
        <v>257</v>
      </c>
      <c r="L195" s="492"/>
      <c r="M195" s="31">
        <f>I195</f>
        <v>1038.2404730038022</v>
      </c>
      <c r="N195" s="119" t="s">
        <v>213</v>
      </c>
      <c r="O195" s="186" t="str">
        <f>+CONCATENATE(FIXED(F195*H195,2)," ","m2")</f>
        <v>3.358,49 m2</v>
      </c>
      <c r="P195" s="119" t="s">
        <v>213</v>
      </c>
      <c r="Q195" s="142" t="s">
        <v>213</v>
      </c>
      <c r="R195" s="32"/>
    </row>
    <row r="196" spans="1:18" s="33" customFormat="1" ht="150" customHeight="1" x14ac:dyDescent="0.3">
      <c r="A196" s="119" t="s">
        <v>337</v>
      </c>
      <c r="B196" s="498" t="s">
        <v>338</v>
      </c>
      <c r="C196" s="467"/>
      <c r="D196" s="23">
        <v>838650863</v>
      </c>
      <c r="E196" s="69">
        <v>2022</v>
      </c>
      <c r="F196" s="69">
        <v>3712</v>
      </c>
      <c r="G196" s="24">
        <f>D196/(VLOOKUP(E196,$D$533:$E$564,2,FALSE))</f>
        <v>838.65086299999996</v>
      </c>
      <c r="H196" s="3">
        <v>1</v>
      </c>
      <c r="I196" s="24">
        <f>H196*G196</f>
        <v>838.65086299999996</v>
      </c>
      <c r="J196" s="100">
        <v>44576</v>
      </c>
      <c r="K196" s="30" t="s">
        <v>339</v>
      </c>
      <c r="L196" s="492"/>
      <c r="M196" s="31">
        <f>I196</f>
        <v>838.65086299999996</v>
      </c>
      <c r="N196" s="119" t="s">
        <v>213</v>
      </c>
      <c r="O196" s="186" t="str">
        <f>+CONCATENATE(FIXED(F196*H196,2)," ","m2")</f>
        <v>3.712,00 m2</v>
      </c>
      <c r="P196" s="119" t="s">
        <v>213</v>
      </c>
      <c r="Q196" s="142" t="s">
        <v>213</v>
      </c>
      <c r="R196" s="32"/>
    </row>
    <row r="197" spans="1:18" s="33" customFormat="1" ht="48" customHeight="1" x14ac:dyDescent="0.3">
      <c r="A197" s="495" t="s">
        <v>249</v>
      </c>
      <c r="B197" s="485"/>
      <c r="C197" s="485"/>
      <c r="D197" s="485"/>
      <c r="E197" s="485"/>
      <c r="F197" s="485"/>
      <c r="G197" s="485"/>
      <c r="H197" s="486"/>
      <c r="I197" s="72">
        <f>SUM(I195:I196)</f>
        <v>1876.8913360038023</v>
      </c>
      <c r="J197" s="487" t="s">
        <v>250</v>
      </c>
      <c r="K197" s="488"/>
      <c r="L197" s="488"/>
      <c r="M197" s="488"/>
      <c r="N197" s="488"/>
      <c r="O197" s="488"/>
      <c r="P197" s="490"/>
      <c r="Q197" s="136"/>
      <c r="R197" s="92" t="s">
        <v>213</v>
      </c>
    </row>
    <row r="198" spans="1:18" ht="15.6" x14ac:dyDescent="0.3">
      <c r="A198" s="4"/>
      <c r="B198" s="4"/>
      <c r="C198" s="4"/>
      <c r="D198" s="4"/>
      <c r="E198" s="4"/>
      <c r="F198" s="4"/>
      <c r="G198" s="4"/>
      <c r="H198" s="4"/>
      <c r="I198" s="4"/>
      <c r="J198" s="4"/>
      <c r="K198" s="4"/>
      <c r="L198" s="4"/>
      <c r="M198" s="4"/>
      <c r="N198" s="5"/>
      <c r="O198" s="5"/>
      <c r="P198" s="5"/>
      <c r="Q198" s="5"/>
      <c r="R198" s="5"/>
    </row>
    <row r="199" spans="1:18" ht="30.75" customHeight="1" x14ac:dyDescent="0.3">
      <c r="A199" s="442">
        <f>A187+1</f>
        <v>15</v>
      </c>
      <c r="B199" s="443"/>
      <c r="C199" s="443"/>
      <c r="D199" s="444"/>
      <c r="E199" s="445" t="str">
        <f>VLOOKUP(A199,'LISTA DE OFERENTES'!$A$6:$B$38,2,FALSE)</f>
        <v>GESTION RURAL Y URBANA SAS</v>
      </c>
      <c r="F199" s="446"/>
      <c r="G199" s="446"/>
      <c r="H199" s="446"/>
      <c r="I199" s="446"/>
      <c r="J199" s="446"/>
      <c r="K199" s="446"/>
      <c r="L199" s="446"/>
      <c r="M199" s="446"/>
      <c r="N199" s="446"/>
      <c r="O199" s="446"/>
      <c r="P199" s="446"/>
      <c r="Q199" s="446"/>
      <c r="R199" s="447"/>
    </row>
    <row r="200" spans="1:18" ht="50.25" customHeight="1" x14ac:dyDescent="0.3">
      <c r="A200" s="28" t="s">
        <v>215</v>
      </c>
      <c r="B200" s="85"/>
      <c r="C200" s="29" t="s">
        <v>216</v>
      </c>
      <c r="D200" s="68">
        <f>+$E$506</f>
        <v>1649.6083550000001</v>
      </c>
      <c r="E200" s="448"/>
      <c r="F200" s="449"/>
      <c r="G200" s="449"/>
      <c r="H200" s="449"/>
      <c r="I200" s="449"/>
      <c r="J200" s="449"/>
      <c r="K200" s="449"/>
      <c r="L200" s="449"/>
      <c r="M200" s="449"/>
      <c r="N200" s="449"/>
      <c r="O200" s="449"/>
      <c r="P200" s="449"/>
      <c r="Q200" s="449"/>
      <c r="R200" s="450"/>
    </row>
    <row r="201" spans="1:18" ht="30" customHeight="1" x14ac:dyDescent="0.3">
      <c r="A201" s="454" t="s">
        <v>217</v>
      </c>
      <c r="B201" s="455"/>
      <c r="C201" s="70">
        <f>IF(B200&lt;3,0.75,IF(B200&lt;5,1.2,1.5))</f>
        <v>0.75</v>
      </c>
      <c r="D201" s="71">
        <f>+D200*C201</f>
        <v>1237.20626625</v>
      </c>
      <c r="E201" s="448"/>
      <c r="F201" s="449"/>
      <c r="G201" s="449"/>
      <c r="H201" s="449"/>
      <c r="I201" s="449"/>
      <c r="J201" s="449"/>
      <c r="K201" s="449"/>
      <c r="L201" s="449"/>
      <c r="M201" s="449"/>
      <c r="N201" s="449"/>
      <c r="O201" s="449"/>
      <c r="P201" s="449"/>
      <c r="Q201" s="449"/>
      <c r="R201" s="450"/>
    </row>
    <row r="202" spans="1:18" ht="30" customHeight="1" x14ac:dyDescent="0.3">
      <c r="A202" s="456" t="s">
        <v>218</v>
      </c>
      <c r="B202" s="455"/>
      <c r="C202" s="457">
        <v>44771</v>
      </c>
      <c r="D202" s="458"/>
      <c r="E202" s="448"/>
      <c r="F202" s="449"/>
      <c r="G202" s="449"/>
      <c r="H202" s="449"/>
      <c r="I202" s="449"/>
      <c r="J202" s="449"/>
      <c r="K202" s="449"/>
      <c r="L202" s="449"/>
      <c r="M202" s="449"/>
      <c r="N202" s="449"/>
      <c r="O202" s="449"/>
      <c r="P202" s="449"/>
      <c r="Q202" s="449"/>
      <c r="R202" s="450"/>
    </row>
    <row r="203" spans="1:18" ht="30" customHeight="1" x14ac:dyDescent="0.3">
      <c r="A203" s="459" t="s">
        <v>219</v>
      </c>
      <c r="B203" s="460"/>
      <c r="C203" s="472"/>
      <c r="D203" s="473"/>
      <c r="E203" s="451"/>
      <c r="F203" s="452"/>
      <c r="G203" s="452"/>
      <c r="H203" s="452"/>
      <c r="I203" s="452"/>
      <c r="J203" s="452"/>
      <c r="K203" s="452"/>
      <c r="L203" s="452"/>
      <c r="M203" s="452"/>
      <c r="N203" s="452"/>
      <c r="O203" s="452"/>
      <c r="P203" s="452"/>
      <c r="Q203" s="452"/>
      <c r="R203" s="453"/>
    </row>
    <row r="204" spans="1:18" ht="55.5" customHeight="1" x14ac:dyDescent="0.3">
      <c r="A204" s="474" t="s">
        <v>220</v>
      </c>
      <c r="B204" s="475"/>
      <c r="C204" s="475"/>
      <c r="D204" s="475"/>
      <c r="E204" s="475"/>
      <c r="F204" s="475"/>
      <c r="G204" s="475"/>
      <c r="H204" s="475"/>
      <c r="I204" s="476"/>
      <c r="J204" s="81" t="s">
        <v>221</v>
      </c>
      <c r="K204" s="103" t="s">
        <v>222</v>
      </c>
      <c r="L204" s="477" t="s">
        <v>223</v>
      </c>
      <c r="M204" s="476"/>
      <c r="N204" s="478" t="s">
        <v>224</v>
      </c>
      <c r="O204" s="480" t="s">
        <v>225</v>
      </c>
      <c r="P204" s="481"/>
      <c r="Q204" s="478" t="s">
        <v>226</v>
      </c>
      <c r="R204" s="461" t="s">
        <v>227</v>
      </c>
    </row>
    <row r="205" spans="1:18" ht="77.25" customHeight="1" x14ac:dyDescent="0.3">
      <c r="A205" s="82" t="s">
        <v>228</v>
      </c>
      <c r="B205" s="463" t="s">
        <v>229</v>
      </c>
      <c r="C205" s="464"/>
      <c r="D205" s="83" t="s">
        <v>230</v>
      </c>
      <c r="E205" s="83" t="s">
        <v>231</v>
      </c>
      <c r="F205" s="83" t="s">
        <v>232</v>
      </c>
      <c r="G205" s="83" t="s">
        <v>233</v>
      </c>
      <c r="H205" s="116" t="s">
        <v>234</v>
      </c>
      <c r="I205" s="116" t="s">
        <v>235</v>
      </c>
      <c r="J205" s="84" t="s">
        <v>236</v>
      </c>
      <c r="K205" s="84" t="s">
        <v>237</v>
      </c>
      <c r="L205" s="84" t="s">
        <v>238</v>
      </c>
      <c r="M205" s="84" t="s">
        <v>239</v>
      </c>
      <c r="N205" s="479"/>
      <c r="O205" s="482"/>
      <c r="P205" s="483"/>
      <c r="Q205" s="479"/>
      <c r="R205" s="462"/>
    </row>
    <row r="206" spans="1:18" ht="39.9" customHeight="1" x14ac:dyDescent="0.3">
      <c r="A206" s="86" t="str">
        <f>VLOOKUP(A199,'LISTA DE OFERENTES'!$A$6:$R$38,7,FALSE)</f>
        <v>GESTION RURAL Y URBANA SAS</v>
      </c>
      <c r="B206" s="87"/>
      <c r="C206" s="87"/>
      <c r="D206" s="87"/>
      <c r="E206" s="87"/>
      <c r="F206" s="87"/>
      <c r="G206" s="87"/>
      <c r="H206" s="87"/>
      <c r="I206" s="87"/>
      <c r="J206" s="87"/>
      <c r="K206" s="87"/>
      <c r="L206" s="491" t="s">
        <v>109</v>
      </c>
      <c r="M206" s="87"/>
      <c r="N206" s="87"/>
      <c r="O206" s="162" t="s">
        <v>241</v>
      </c>
      <c r="P206" s="87"/>
      <c r="Q206" s="87"/>
      <c r="R206" s="90"/>
    </row>
    <row r="207" spans="1:18" s="33" customFormat="1" ht="150" customHeight="1" x14ac:dyDescent="0.3">
      <c r="A207" s="119" t="s">
        <v>340</v>
      </c>
      <c r="B207" s="498" t="s">
        <v>324</v>
      </c>
      <c r="C207" s="467"/>
      <c r="D207" s="23">
        <v>2231646336</v>
      </c>
      <c r="E207" s="69">
        <v>2018</v>
      </c>
      <c r="F207" s="69">
        <v>2410.34</v>
      </c>
      <c r="G207" s="24">
        <f>D207/(VLOOKUP(E207,$D$533:$E$564,2,FALSE))</f>
        <v>2856.5365610143849</v>
      </c>
      <c r="H207" s="3">
        <v>1</v>
      </c>
      <c r="I207" s="24">
        <f>H207*G207</f>
        <v>2856.5365610143849</v>
      </c>
      <c r="J207" s="100">
        <v>43342</v>
      </c>
      <c r="K207" s="30" t="s">
        <v>247</v>
      </c>
      <c r="L207" s="492"/>
      <c r="M207" s="31">
        <f>I207</f>
        <v>2856.5365610143849</v>
      </c>
      <c r="N207" s="119" t="s">
        <v>213</v>
      </c>
      <c r="O207" s="186" t="str">
        <f>+CONCATENATE(FIXED(F207*H207,2)," ","m2")</f>
        <v>2.410,34 m2</v>
      </c>
      <c r="P207" s="119" t="s">
        <v>213</v>
      </c>
      <c r="Q207" s="142" t="s">
        <v>213</v>
      </c>
      <c r="R207" s="32"/>
    </row>
    <row r="208" spans="1:18" s="33" customFormat="1" ht="150" customHeight="1" x14ac:dyDescent="0.3">
      <c r="A208" s="119" t="s">
        <v>341</v>
      </c>
      <c r="B208" s="498" t="s">
        <v>324</v>
      </c>
      <c r="C208" s="467"/>
      <c r="D208" s="23">
        <v>2682534649</v>
      </c>
      <c r="E208" s="69">
        <v>2010</v>
      </c>
      <c r="F208" s="69">
        <f>226.44+15.7+142+139.18</f>
        <v>523.31999999999994</v>
      </c>
      <c r="G208" s="24">
        <f>D208/(VLOOKUP(E208,$D$533:$E$564,2,FALSE))</f>
        <v>5208.8051436893202</v>
      </c>
      <c r="H208" s="3">
        <v>0.9</v>
      </c>
      <c r="I208" s="24">
        <f>H208*G208</f>
        <v>4687.9246293203887</v>
      </c>
      <c r="J208" s="100">
        <v>40380</v>
      </c>
      <c r="K208" s="30" t="s">
        <v>247</v>
      </c>
      <c r="L208" s="492"/>
      <c r="M208" s="31">
        <f>I208</f>
        <v>4687.9246293203887</v>
      </c>
      <c r="N208" s="119" t="s">
        <v>213</v>
      </c>
      <c r="O208" s="186" t="str">
        <f>+CONCATENATE(FIXED(F208*H208,2)," ","m2")</f>
        <v>470,99 m2</v>
      </c>
      <c r="P208" s="119" t="s">
        <v>213</v>
      </c>
      <c r="Q208" s="142" t="s">
        <v>213</v>
      </c>
      <c r="R208" s="32"/>
    </row>
    <row r="209" spans="1:18" s="33" customFormat="1" ht="48" customHeight="1" x14ac:dyDescent="0.3">
      <c r="A209" s="495" t="s">
        <v>249</v>
      </c>
      <c r="B209" s="485"/>
      <c r="C209" s="485"/>
      <c r="D209" s="485"/>
      <c r="E209" s="485"/>
      <c r="F209" s="485"/>
      <c r="G209" s="485"/>
      <c r="H209" s="486"/>
      <c r="I209" s="72">
        <f>SUM(I207:I208)</f>
        <v>7544.4611903347741</v>
      </c>
      <c r="J209" s="487" t="s">
        <v>250</v>
      </c>
      <c r="K209" s="488"/>
      <c r="L209" s="488"/>
      <c r="M209" s="488"/>
      <c r="N209" s="488"/>
      <c r="O209" s="488"/>
      <c r="P209" s="490"/>
      <c r="Q209" s="136"/>
      <c r="R209" s="92" t="s">
        <v>213</v>
      </c>
    </row>
    <row r="210" spans="1:18" ht="15.6" x14ac:dyDescent="0.3">
      <c r="A210" s="4"/>
      <c r="B210" s="4"/>
      <c r="C210" s="4"/>
      <c r="D210" s="4"/>
      <c r="E210" s="4"/>
      <c r="F210" s="4"/>
      <c r="G210" s="4"/>
      <c r="H210" s="4"/>
      <c r="I210" s="4"/>
      <c r="J210" s="4"/>
      <c r="K210" s="4"/>
      <c r="L210" s="4"/>
      <c r="M210" s="4"/>
      <c r="N210" s="5"/>
      <c r="O210" s="5"/>
      <c r="P210" s="5"/>
      <c r="Q210" s="5"/>
      <c r="R210" s="5"/>
    </row>
    <row r="211" spans="1:18" ht="30.75" customHeight="1" x14ac:dyDescent="0.3">
      <c r="A211" s="442">
        <f>A199+1</f>
        <v>16</v>
      </c>
      <c r="B211" s="443"/>
      <c r="C211" s="443"/>
      <c r="D211" s="444"/>
      <c r="E211" s="445" t="str">
        <f>VLOOKUP(A211,'LISTA DE OFERENTES'!$A$6:$B$38,2,FALSE)</f>
        <v>ESTUDIOS E INGENIERIA SAS</v>
      </c>
      <c r="F211" s="446"/>
      <c r="G211" s="446"/>
      <c r="H211" s="446"/>
      <c r="I211" s="446"/>
      <c r="J211" s="446"/>
      <c r="K211" s="446"/>
      <c r="L211" s="446"/>
      <c r="M211" s="446"/>
      <c r="N211" s="446"/>
      <c r="O211" s="446"/>
      <c r="P211" s="446"/>
      <c r="Q211" s="446"/>
      <c r="R211" s="447"/>
    </row>
    <row r="212" spans="1:18" ht="50.25" customHeight="1" x14ac:dyDescent="0.3">
      <c r="A212" s="28" t="s">
        <v>215</v>
      </c>
      <c r="B212" s="85"/>
      <c r="C212" s="29" t="s">
        <v>216</v>
      </c>
      <c r="D212" s="68">
        <f>+$E$506</f>
        <v>1649.6083550000001</v>
      </c>
      <c r="E212" s="448"/>
      <c r="F212" s="449"/>
      <c r="G212" s="449"/>
      <c r="H212" s="449"/>
      <c r="I212" s="449"/>
      <c r="J212" s="449"/>
      <c r="K212" s="449"/>
      <c r="L212" s="449"/>
      <c r="M212" s="449"/>
      <c r="N212" s="449"/>
      <c r="O212" s="449"/>
      <c r="P212" s="449"/>
      <c r="Q212" s="449"/>
      <c r="R212" s="450"/>
    </row>
    <row r="213" spans="1:18" ht="30" customHeight="1" x14ac:dyDescent="0.3">
      <c r="A213" s="454" t="s">
        <v>217</v>
      </c>
      <c r="B213" s="455"/>
      <c r="C213" s="70">
        <f>IF(B212&lt;3,0.75,IF(B212&lt;5,1.2,1.5))</f>
        <v>0.75</v>
      </c>
      <c r="D213" s="71">
        <f>+D212*C213</f>
        <v>1237.20626625</v>
      </c>
      <c r="E213" s="448"/>
      <c r="F213" s="449"/>
      <c r="G213" s="449"/>
      <c r="H213" s="449"/>
      <c r="I213" s="449"/>
      <c r="J213" s="449"/>
      <c r="K213" s="449"/>
      <c r="L213" s="449"/>
      <c r="M213" s="449"/>
      <c r="N213" s="449"/>
      <c r="O213" s="449"/>
      <c r="P213" s="449"/>
      <c r="Q213" s="449"/>
      <c r="R213" s="450"/>
    </row>
    <row r="214" spans="1:18" ht="30" customHeight="1" x14ac:dyDescent="0.3">
      <c r="A214" s="456" t="s">
        <v>218</v>
      </c>
      <c r="B214" s="455"/>
      <c r="C214" s="457">
        <v>44771</v>
      </c>
      <c r="D214" s="458"/>
      <c r="E214" s="448"/>
      <c r="F214" s="449"/>
      <c r="G214" s="449"/>
      <c r="H214" s="449"/>
      <c r="I214" s="449"/>
      <c r="J214" s="449"/>
      <c r="K214" s="449"/>
      <c r="L214" s="449"/>
      <c r="M214" s="449"/>
      <c r="N214" s="449"/>
      <c r="O214" s="449"/>
      <c r="P214" s="449"/>
      <c r="Q214" s="449"/>
      <c r="R214" s="450"/>
    </row>
    <row r="215" spans="1:18" ht="30" customHeight="1" x14ac:dyDescent="0.3">
      <c r="A215" s="459" t="s">
        <v>219</v>
      </c>
      <c r="B215" s="460"/>
      <c r="C215" s="472"/>
      <c r="D215" s="473"/>
      <c r="E215" s="451"/>
      <c r="F215" s="452"/>
      <c r="G215" s="452"/>
      <c r="H215" s="452"/>
      <c r="I215" s="452"/>
      <c r="J215" s="452"/>
      <c r="K215" s="452"/>
      <c r="L215" s="452"/>
      <c r="M215" s="452"/>
      <c r="N215" s="452"/>
      <c r="O215" s="452"/>
      <c r="P215" s="452"/>
      <c r="Q215" s="452"/>
      <c r="R215" s="453"/>
    </row>
    <row r="216" spans="1:18" ht="55.5" customHeight="1" x14ac:dyDescent="0.3">
      <c r="A216" s="474" t="s">
        <v>220</v>
      </c>
      <c r="B216" s="475"/>
      <c r="C216" s="475"/>
      <c r="D216" s="475"/>
      <c r="E216" s="475"/>
      <c r="F216" s="475"/>
      <c r="G216" s="475"/>
      <c r="H216" s="475"/>
      <c r="I216" s="476"/>
      <c r="J216" s="81" t="s">
        <v>221</v>
      </c>
      <c r="K216" s="103" t="s">
        <v>222</v>
      </c>
      <c r="L216" s="477" t="s">
        <v>223</v>
      </c>
      <c r="M216" s="476"/>
      <c r="N216" s="478" t="s">
        <v>224</v>
      </c>
      <c r="O216" s="480" t="s">
        <v>225</v>
      </c>
      <c r="P216" s="481"/>
      <c r="Q216" s="478" t="s">
        <v>226</v>
      </c>
      <c r="R216" s="461" t="s">
        <v>227</v>
      </c>
    </row>
    <row r="217" spans="1:18" ht="77.25" customHeight="1" x14ac:dyDescent="0.3">
      <c r="A217" s="82" t="s">
        <v>228</v>
      </c>
      <c r="B217" s="463" t="s">
        <v>229</v>
      </c>
      <c r="C217" s="464"/>
      <c r="D217" s="83" t="s">
        <v>230</v>
      </c>
      <c r="E217" s="83" t="s">
        <v>231</v>
      </c>
      <c r="F217" s="83" t="s">
        <v>232</v>
      </c>
      <c r="G217" s="83" t="s">
        <v>233</v>
      </c>
      <c r="H217" s="116" t="s">
        <v>234</v>
      </c>
      <c r="I217" s="116" t="s">
        <v>235</v>
      </c>
      <c r="J217" s="84" t="s">
        <v>236</v>
      </c>
      <c r="K217" s="84" t="s">
        <v>237</v>
      </c>
      <c r="L217" s="84" t="s">
        <v>238</v>
      </c>
      <c r="M217" s="84" t="s">
        <v>239</v>
      </c>
      <c r="N217" s="479"/>
      <c r="O217" s="482"/>
      <c r="P217" s="483"/>
      <c r="Q217" s="479"/>
      <c r="R217" s="462"/>
    </row>
    <row r="218" spans="1:18" ht="39.9" customHeight="1" x14ac:dyDescent="0.3">
      <c r="A218" s="86" t="str">
        <f>VLOOKUP(A211,'LISTA DE OFERENTES'!$A$6:$R$38,2,FALSE)</f>
        <v>ESTUDIOS E INGENIERIA SAS</v>
      </c>
      <c r="B218" s="87"/>
      <c r="C218" s="87"/>
      <c r="D218" s="87"/>
      <c r="E218" s="87"/>
      <c r="F218" s="87"/>
      <c r="G218" s="87"/>
      <c r="H218" s="87"/>
      <c r="I218" s="87"/>
      <c r="J218" s="87"/>
      <c r="K218" s="87"/>
      <c r="L218" s="491" t="s">
        <v>112</v>
      </c>
      <c r="M218" s="87"/>
      <c r="N218" s="87"/>
      <c r="O218" s="162" t="s">
        <v>241</v>
      </c>
      <c r="P218" s="87"/>
      <c r="Q218" s="159"/>
      <c r="R218" s="90"/>
    </row>
    <row r="219" spans="1:18" s="33" customFormat="1" ht="150" customHeight="1" x14ac:dyDescent="0.3">
      <c r="A219" s="119" t="s">
        <v>342</v>
      </c>
      <c r="B219" s="498" t="s">
        <v>343</v>
      </c>
      <c r="C219" s="467"/>
      <c r="D219" s="23">
        <v>7286682759.2799997</v>
      </c>
      <c r="E219" s="69">
        <v>2020</v>
      </c>
      <c r="F219" s="69">
        <v>22493.13</v>
      </c>
      <c r="G219" s="24">
        <f t="shared" ref="G219:G220" si="3">D219/(VLOOKUP(E219,$D$533:$E$564,2,FALSE))</f>
        <v>8301.0456324254992</v>
      </c>
      <c r="H219" s="3">
        <v>0.9</v>
      </c>
      <c r="I219" s="24">
        <f t="shared" ref="I219:I220" si="4">H219*G219</f>
        <v>7470.9410691829498</v>
      </c>
      <c r="J219" s="100">
        <v>43880</v>
      </c>
      <c r="K219" s="30" t="s">
        <v>344</v>
      </c>
      <c r="L219" s="492"/>
      <c r="M219" s="31">
        <f t="shared" ref="M219:M220" si="5">I219</f>
        <v>7470.9410691829498</v>
      </c>
      <c r="N219" s="119" t="s">
        <v>213</v>
      </c>
      <c r="O219" s="186" t="str">
        <f t="shared" ref="O219:O220" si="6">+CONCATENATE(FIXED(F219*H219,2)," ","m2")</f>
        <v>20.243,82 m2</v>
      </c>
      <c r="P219" s="150" t="s">
        <v>213</v>
      </c>
      <c r="Q219" s="158" t="s">
        <v>213</v>
      </c>
      <c r="R219" s="32"/>
    </row>
    <row r="220" spans="1:18" s="33" customFormat="1" ht="150" customHeight="1" x14ac:dyDescent="0.3">
      <c r="A220" s="119" t="s">
        <v>345</v>
      </c>
      <c r="B220" s="498" t="s">
        <v>19</v>
      </c>
      <c r="C220" s="467"/>
      <c r="D220" s="23">
        <v>1876842614</v>
      </c>
      <c r="E220" s="69">
        <v>2018</v>
      </c>
      <c r="F220" s="69">
        <v>11187.56</v>
      </c>
      <c r="G220" s="24">
        <f t="shared" si="3"/>
        <v>2402.3831463234183</v>
      </c>
      <c r="H220" s="3">
        <v>1</v>
      </c>
      <c r="I220" s="24">
        <f t="shared" si="4"/>
        <v>2402.3831463234183</v>
      </c>
      <c r="J220" s="100">
        <v>43341</v>
      </c>
      <c r="K220" s="30" t="s">
        <v>344</v>
      </c>
      <c r="L220" s="492"/>
      <c r="M220" s="31">
        <f t="shared" si="5"/>
        <v>2402.3831463234183</v>
      </c>
      <c r="N220" s="119" t="s">
        <v>213</v>
      </c>
      <c r="O220" s="186" t="str">
        <f t="shared" si="6"/>
        <v>11.187,56 m2</v>
      </c>
      <c r="P220" s="150" t="s">
        <v>213</v>
      </c>
      <c r="Q220" s="158" t="s">
        <v>213</v>
      </c>
      <c r="R220" s="32"/>
    </row>
    <row r="221" spans="1:18" s="33" customFormat="1" ht="150" customHeight="1" x14ac:dyDescent="0.3">
      <c r="A221" s="119" t="s">
        <v>346</v>
      </c>
      <c r="B221" s="498" t="s">
        <v>343</v>
      </c>
      <c r="C221" s="467"/>
      <c r="D221" s="23">
        <v>5803260486</v>
      </c>
      <c r="E221" s="69">
        <v>2021</v>
      </c>
      <c r="F221" s="69">
        <v>30427.23</v>
      </c>
      <c r="G221" s="24">
        <f>D221/(VLOOKUP(E221,$D$533:$E$564,2,FALSE))</f>
        <v>6387.5557617503518</v>
      </c>
      <c r="H221" s="3">
        <v>0.25</v>
      </c>
      <c r="I221" s="24">
        <f>H221*G221</f>
        <v>1596.888940437588</v>
      </c>
      <c r="J221" s="100">
        <v>44229</v>
      </c>
      <c r="K221" s="30" t="s">
        <v>344</v>
      </c>
      <c r="L221" s="492"/>
      <c r="M221" s="31">
        <f>I221</f>
        <v>1596.888940437588</v>
      </c>
      <c r="N221" s="119" t="s">
        <v>213</v>
      </c>
      <c r="O221" s="186" t="str">
        <f>+CONCATENATE(FIXED(F221*H221,2)," ","m2")</f>
        <v>7.606,81 m2</v>
      </c>
      <c r="P221" s="150" t="s">
        <v>213</v>
      </c>
      <c r="Q221" s="158" t="s">
        <v>213</v>
      </c>
      <c r="R221" s="32"/>
    </row>
    <row r="222" spans="1:18" s="33" customFormat="1" ht="48" customHeight="1" x14ac:dyDescent="0.3">
      <c r="A222" s="495" t="s">
        <v>249</v>
      </c>
      <c r="B222" s="485"/>
      <c r="C222" s="485"/>
      <c r="D222" s="485"/>
      <c r="E222" s="485"/>
      <c r="F222" s="485"/>
      <c r="G222" s="485"/>
      <c r="H222" s="486"/>
      <c r="I222" s="72">
        <f>SUM(I219:I221)</f>
        <v>11470.213155943955</v>
      </c>
      <c r="J222" s="487" t="s">
        <v>250</v>
      </c>
      <c r="K222" s="488"/>
      <c r="L222" s="488"/>
      <c r="M222" s="488"/>
      <c r="N222" s="488"/>
      <c r="O222" s="488"/>
      <c r="P222" s="490"/>
      <c r="Q222" s="161"/>
      <c r="R222" s="92" t="s">
        <v>213</v>
      </c>
    </row>
    <row r="223" spans="1:18" ht="15.6" x14ac:dyDescent="0.3">
      <c r="A223" s="4"/>
      <c r="B223" s="4"/>
      <c r="C223" s="4"/>
      <c r="D223" s="4"/>
      <c r="E223" s="4"/>
      <c r="F223" s="4"/>
      <c r="G223" s="4"/>
      <c r="H223" s="4"/>
      <c r="I223" s="4"/>
      <c r="J223" s="4"/>
      <c r="K223" s="4"/>
      <c r="L223" s="4"/>
      <c r="M223" s="4"/>
      <c r="N223" s="5"/>
      <c r="O223" s="5"/>
      <c r="P223" s="5"/>
      <c r="Q223" s="5"/>
      <c r="R223" s="5"/>
    </row>
    <row r="224" spans="1:18" ht="30.75" customHeight="1" x14ac:dyDescent="0.3">
      <c r="A224" s="442">
        <f>A211+1</f>
        <v>17</v>
      </c>
      <c r="B224" s="443"/>
      <c r="C224" s="443"/>
      <c r="D224" s="444"/>
      <c r="E224" s="445" t="str">
        <f>VLOOKUP(A224,'LISTA DE OFERENTES'!$A$6:$B$38,2,FALSE)</f>
        <v>UNIOBRAS SAS</v>
      </c>
      <c r="F224" s="446"/>
      <c r="G224" s="446"/>
      <c r="H224" s="446"/>
      <c r="I224" s="446"/>
      <c r="J224" s="446"/>
      <c r="K224" s="446"/>
      <c r="L224" s="446"/>
      <c r="M224" s="446"/>
      <c r="N224" s="446"/>
      <c r="O224" s="446"/>
      <c r="P224" s="446"/>
      <c r="Q224" s="446"/>
      <c r="R224" s="447"/>
    </row>
    <row r="225" spans="1:18" ht="50.25" customHeight="1" x14ac:dyDescent="0.3">
      <c r="A225" s="152" t="s">
        <v>215</v>
      </c>
      <c r="B225" s="153"/>
      <c r="C225" s="154" t="s">
        <v>216</v>
      </c>
      <c r="D225" s="155">
        <f>+$E$506</f>
        <v>1649.6083550000001</v>
      </c>
      <c r="E225" s="448"/>
      <c r="F225" s="449"/>
      <c r="G225" s="449"/>
      <c r="H225" s="449"/>
      <c r="I225" s="449"/>
      <c r="J225" s="449"/>
      <c r="K225" s="449"/>
      <c r="L225" s="449"/>
      <c r="M225" s="449"/>
      <c r="N225" s="449"/>
      <c r="O225" s="449"/>
      <c r="P225" s="449"/>
      <c r="Q225" s="449"/>
      <c r="R225" s="450"/>
    </row>
    <row r="226" spans="1:18" ht="30" customHeight="1" x14ac:dyDescent="0.3">
      <c r="A226" s="454" t="s">
        <v>217</v>
      </c>
      <c r="B226" s="455"/>
      <c r="C226" s="70">
        <f>IF(B225&lt;3,0.75,IF(B225&lt;5,1.2,1.5))</f>
        <v>0.75</v>
      </c>
      <c r="D226" s="71">
        <f>+D225*C226</f>
        <v>1237.20626625</v>
      </c>
      <c r="E226" s="448"/>
      <c r="F226" s="449"/>
      <c r="G226" s="449"/>
      <c r="H226" s="449"/>
      <c r="I226" s="449"/>
      <c r="J226" s="449"/>
      <c r="K226" s="449"/>
      <c r="L226" s="449"/>
      <c r="M226" s="449"/>
      <c r="N226" s="449"/>
      <c r="O226" s="449"/>
      <c r="P226" s="449"/>
      <c r="Q226" s="449"/>
      <c r="R226" s="450"/>
    </row>
    <row r="227" spans="1:18" ht="30" customHeight="1" x14ac:dyDescent="0.3">
      <c r="A227" s="456" t="s">
        <v>218</v>
      </c>
      <c r="B227" s="455"/>
      <c r="C227" s="457">
        <v>44771</v>
      </c>
      <c r="D227" s="458"/>
      <c r="E227" s="448"/>
      <c r="F227" s="449"/>
      <c r="G227" s="449"/>
      <c r="H227" s="449"/>
      <c r="I227" s="449"/>
      <c r="J227" s="449"/>
      <c r="K227" s="449"/>
      <c r="L227" s="449"/>
      <c r="M227" s="449"/>
      <c r="N227" s="449"/>
      <c r="O227" s="449"/>
      <c r="P227" s="449"/>
      <c r="Q227" s="449"/>
      <c r="R227" s="450"/>
    </row>
    <row r="228" spans="1:18" ht="30" customHeight="1" x14ac:dyDescent="0.3">
      <c r="A228" s="459" t="s">
        <v>219</v>
      </c>
      <c r="B228" s="460"/>
      <c r="C228" s="472"/>
      <c r="D228" s="473"/>
      <c r="E228" s="451"/>
      <c r="F228" s="452"/>
      <c r="G228" s="452"/>
      <c r="H228" s="452"/>
      <c r="I228" s="452"/>
      <c r="J228" s="452"/>
      <c r="K228" s="452"/>
      <c r="L228" s="452"/>
      <c r="M228" s="452"/>
      <c r="N228" s="452"/>
      <c r="O228" s="452"/>
      <c r="P228" s="452"/>
      <c r="Q228" s="452"/>
      <c r="R228" s="453"/>
    </row>
    <row r="229" spans="1:18" ht="55.5" customHeight="1" x14ac:dyDescent="0.3">
      <c r="A229" s="474" t="s">
        <v>220</v>
      </c>
      <c r="B229" s="475"/>
      <c r="C229" s="475"/>
      <c r="D229" s="475"/>
      <c r="E229" s="475"/>
      <c r="F229" s="475"/>
      <c r="G229" s="475"/>
      <c r="H229" s="475"/>
      <c r="I229" s="476"/>
      <c r="J229" s="81" t="s">
        <v>221</v>
      </c>
      <c r="K229" s="103" t="s">
        <v>222</v>
      </c>
      <c r="L229" s="477" t="s">
        <v>223</v>
      </c>
      <c r="M229" s="476"/>
      <c r="N229" s="478" t="s">
        <v>224</v>
      </c>
      <c r="O229" s="480" t="s">
        <v>225</v>
      </c>
      <c r="P229" s="481"/>
      <c r="Q229" s="478" t="s">
        <v>226</v>
      </c>
      <c r="R229" s="461" t="s">
        <v>227</v>
      </c>
    </row>
    <row r="230" spans="1:18" ht="77.25" customHeight="1" x14ac:dyDescent="0.3">
      <c r="A230" s="82" t="s">
        <v>228</v>
      </c>
      <c r="B230" s="463" t="s">
        <v>229</v>
      </c>
      <c r="C230" s="464"/>
      <c r="D230" s="83" t="s">
        <v>230</v>
      </c>
      <c r="E230" s="83" t="s">
        <v>231</v>
      </c>
      <c r="F230" s="83" t="s">
        <v>232</v>
      </c>
      <c r="G230" s="83" t="s">
        <v>233</v>
      </c>
      <c r="H230" s="116" t="s">
        <v>234</v>
      </c>
      <c r="I230" s="116" t="s">
        <v>235</v>
      </c>
      <c r="J230" s="84" t="s">
        <v>236</v>
      </c>
      <c r="K230" s="84" t="s">
        <v>237</v>
      </c>
      <c r="L230" s="84" t="s">
        <v>238</v>
      </c>
      <c r="M230" s="84" t="s">
        <v>239</v>
      </c>
      <c r="N230" s="479"/>
      <c r="O230" s="482"/>
      <c r="P230" s="483"/>
      <c r="Q230" s="479"/>
      <c r="R230" s="462"/>
    </row>
    <row r="231" spans="1:18" s="276" customFormat="1" ht="15.6" x14ac:dyDescent="0.3">
      <c r="A231" s="277" t="str">
        <f>VLOOKUP(A224,'LISTA DE OFERENTES'!$A$6:$R$38,7,FALSE)</f>
        <v>UNIOBRAS SAS</v>
      </c>
      <c r="B231" s="274"/>
      <c r="C231" s="274"/>
      <c r="D231" s="274"/>
      <c r="E231" s="274"/>
      <c r="F231" s="274"/>
      <c r="G231" s="274"/>
      <c r="H231" s="274"/>
      <c r="I231" s="274"/>
      <c r="J231" s="274"/>
      <c r="K231" s="274"/>
      <c r="L231" s="505" t="s">
        <v>115</v>
      </c>
      <c r="M231" s="274"/>
      <c r="N231" s="274"/>
      <c r="O231" s="287" t="s">
        <v>241</v>
      </c>
      <c r="P231" s="274"/>
      <c r="Q231" s="322"/>
      <c r="R231" s="275"/>
    </row>
    <row r="232" spans="1:18" s="33" customFormat="1" ht="150" customHeight="1" x14ac:dyDescent="0.3">
      <c r="A232" s="278" t="s">
        <v>347</v>
      </c>
      <c r="B232" s="507" t="s">
        <v>324</v>
      </c>
      <c r="C232" s="508"/>
      <c r="D232" s="279">
        <v>5053595591</v>
      </c>
      <c r="E232" s="280">
        <v>2017</v>
      </c>
      <c r="F232" s="280">
        <v>15348.53</v>
      </c>
      <c r="G232" s="281">
        <f>D232/(VLOOKUP(E232,$D$533:$E$564,2,FALSE))</f>
        <v>6850.3173859352573</v>
      </c>
      <c r="H232" s="3">
        <v>0.74</v>
      </c>
      <c r="I232" s="281">
        <f>H232*G232</f>
        <v>5069.2348655920905</v>
      </c>
      <c r="J232" s="282">
        <v>42855</v>
      </c>
      <c r="K232" s="283" t="s">
        <v>247</v>
      </c>
      <c r="L232" s="506"/>
      <c r="M232" s="284">
        <f>I232</f>
        <v>5069.2348655920905</v>
      </c>
      <c r="N232" s="278" t="s">
        <v>213</v>
      </c>
      <c r="O232" s="285" t="str">
        <f>+CONCATENATE(FIXED(F232*H232,2)," ","m2")</f>
        <v>11.357,91 m2</v>
      </c>
      <c r="P232" s="314" t="s">
        <v>213</v>
      </c>
      <c r="Q232" s="321" t="s">
        <v>213</v>
      </c>
      <c r="R232" s="286"/>
    </row>
    <row r="233" spans="1:18" s="33" customFormat="1" ht="150" customHeight="1" x14ac:dyDescent="0.3">
      <c r="A233" s="278" t="s">
        <v>348</v>
      </c>
      <c r="B233" s="507" t="s">
        <v>328</v>
      </c>
      <c r="C233" s="508"/>
      <c r="D233" s="279">
        <v>5964178060</v>
      </c>
      <c r="E233" s="280">
        <v>2019</v>
      </c>
      <c r="F233" s="280">
        <v>19394.189999999999</v>
      </c>
      <c r="G233" s="281">
        <f>D233/(VLOOKUP(E233,$D$533:$E$564,2,FALSE))</f>
        <v>7202.1046085331045</v>
      </c>
      <c r="H233" s="3">
        <v>0.74</v>
      </c>
      <c r="I233" s="281">
        <f>H233*G233</f>
        <v>5329.5574103144972</v>
      </c>
      <c r="J233" s="282">
        <v>43636</v>
      </c>
      <c r="K233" s="283" t="s">
        <v>247</v>
      </c>
      <c r="L233" s="506"/>
      <c r="M233" s="284">
        <f>I233</f>
        <v>5329.5574103144972</v>
      </c>
      <c r="N233" s="278" t="s">
        <v>213</v>
      </c>
      <c r="O233" s="285" t="str">
        <f>+CONCATENATE(FIXED(F233*H233,2)," ","m2")</f>
        <v>14.351,70 m2</v>
      </c>
      <c r="P233" s="314" t="s">
        <v>213</v>
      </c>
      <c r="Q233" s="321" t="s">
        <v>213</v>
      </c>
      <c r="R233" s="286"/>
    </row>
    <row r="234" spans="1:18" s="33" customFormat="1" ht="48" customHeight="1" x14ac:dyDescent="0.3">
      <c r="A234" s="495" t="s">
        <v>249</v>
      </c>
      <c r="B234" s="485"/>
      <c r="C234" s="485"/>
      <c r="D234" s="485"/>
      <c r="E234" s="485"/>
      <c r="F234" s="485"/>
      <c r="G234" s="485"/>
      <c r="H234" s="486"/>
      <c r="I234" s="72">
        <f>SUM(I232:I233)</f>
        <v>10398.792275906588</v>
      </c>
      <c r="J234" s="487" t="s">
        <v>250</v>
      </c>
      <c r="K234" s="488"/>
      <c r="L234" s="488"/>
      <c r="M234" s="488"/>
      <c r="N234" s="488"/>
      <c r="O234" s="488"/>
      <c r="P234" s="490"/>
      <c r="Q234" s="161"/>
      <c r="R234" s="92" t="s">
        <v>213</v>
      </c>
    </row>
    <row r="235" spans="1:18" ht="15.6" x14ac:dyDescent="0.3">
      <c r="A235" s="4"/>
      <c r="B235" s="4"/>
      <c r="C235" s="4"/>
      <c r="D235" s="4"/>
      <c r="E235" s="4"/>
      <c r="F235" s="4"/>
      <c r="G235" s="4"/>
      <c r="H235" s="4"/>
      <c r="I235" s="4"/>
      <c r="J235" s="4"/>
      <c r="K235" s="4"/>
      <c r="L235" s="4"/>
      <c r="M235" s="4"/>
      <c r="N235" s="5"/>
      <c r="O235" s="5"/>
      <c r="P235" s="5"/>
      <c r="Q235" s="5"/>
      <c r="R235" s="5"/>
    </row>
    <row r="236" spans="1:18" ht="30.75" customHeight="1" x14ac:dyDescent="0.3">
      <c r="A236" s="442">
        <f>A224+1</f>
        <v>18</v>
      </c>
      <c r="B236" s="443"/>
      <c r="C236" s="443"/>
      <c r="D236" s="444"/>
      <c r="E236" s="445" t="str">
        <f>VLOOKUP(A236,'LISTA DE OFERENTES'!$A$6:$B$38,2,FALSE)</f>
        <v>CONSORCIO MRTITANIUM</v>
      </c>
      <c r="F236" s="446"/>
      <c r="G236" s="446"/>
      <c r="H236" s="446"/>
      <c r="I236" s="446"/>
      <c r="J236" s="446"/>
      <c r="K236" s="446"/>
      <c r="L236" s="446"/>
      <c r="M236" s="446"/>
      <c r="N236" s="446"/>
      <c r="O236" s="446"/>
      <c r="P236" s="446"/>
      <c r="Q236" s="446"/>
      <c r="R236" s="447"/>
    </row>
    <row r="237" spans="1:18" ht="50.25" customHeight="1" x14ac:dyDescent="0.3">
      <c r="A237" s="28" t="s">
        <v>215</v>
      </c>
      <c r="B237" s="85"/>
      <c r="C237" s="29" t="s">
        <v>216</v>
      </c>
      <c r="D237" s="68">
        <f>+$E$506</f>
        <v>1649.6083550000001</v>
      </c>
      <c r="E237" s="448"/>
      <c r="F237" s="449"/>
      <c r="G237" s="449"/>
      <c r="H237" s="449"/>
      <c r="I237" s="449"/>
      <c r="J237" s="449"/>
      <c r="K237" s="449"/>
      <c r="L237" s="449"/>
      <c r="M237" s="449"/>
      <c r="N237" s="449"/>
      <c r="O237" s="449"/>
      <c r="P237" s="449"/>
      <c r="Q237" s="449"/>
      <c r="R237" s="450"/>
    </row>
    <row r="238" spans="1:18" ht="30" customHeight="1" x14ac:dyDescent="0.3">
      <c r="A238" s="454" t="s">
        <v>217</v>
      </c>
      <c r="B238" s="455"/>
      <c r="C238" s="70">
        <f>IF(B237&lt;3,0.75,IF(B237&lt;5,1.2,1.5))</f>
        <v>0.75</v>
      </c>
      <c r="D238" s="71">
        <f>+D237*C238</f>
        <v>1237.20626625</v>
      </c>
      <c r="E238" s="448"/>
      <c r="F238" s="449"/>
      <c r="G238" s="449"/>
      <c r="H238" s="449"/>
      <c r="I238" s="449"/>
      <c r="J238" s="449"/>
      <c r="K238" s="449"/>
      <c r="L238" s="449"/>
      <c r="M238" s="449"/>
      <c r="N238" s="449"/>
      <c r="O238" s="449"/>
      <c r="P238" s="449"/>
      <c r="Q238" s="449"/>
      <c r="R238" s="450"/>
    </row>
    <row r="239" spans="1:18" ht="30" customHeight="1" x14ac:dyDescent="0.3">
      <c r="A239" s="456" t="s">
        <v>218</v>
      </c>
      <c r="B239" s="455"/>
      <c r="C239" s="457">
        <v>44771</v>
      </c>
      <c r="D239" s="458"/>
      <c r="E239" s="448"/>
      <c r="F239" s="449"/>
      <c r="G239" s="449"/>
      <c r="H239" s="449"/>
      <c r="I239" s="449"/>
      <c r="J239" s="449"/>
      <c r="K239" s="449"/>
      <c r="L239" s="449"/>
      <c r="M239" s="449"/>
      <c r="N239" s="449"/>
      <c r="O239" s="449"/>
      <c r="P239" s="449"/>
      <c r="Q239" s="449"/>
      <c r="R239" s="450"/>
    </row>
    <row r="240" spans="1:18" ht="30" customHeight="1" x14ac:dyDescent="0.3">
      <c r="A240" s="459" t="s">
        <v>219</v>
      </c>
      <c r="B240" s="460"/>
      <c r="C240" s="472"/>
      <c r="D240" s="473"/>
      <c r="E240" s="451"/>
      <c r="F240" s="452"/>
      <c r="G240" s="452"/>
      <c r="H240" s="452"/>
      <c r="I240" s="452"/>
      <c r="J240" s="452"/>
      <c r="K240" s="452"/>
      <c r="L240" s="452"/>
      <c r="M240" s="452"/>
      <c r="N240" s="452"/>
      <c r="O240" s="452"/>
      <c r="P240" s="452"/>
      <c r="Q240" s="452"/>
      <c r="R240" s="453"/>
    </row>
    <row r="241" spans="1:18" ht="55.5" customHeight="1" x14ac:dyDescent="0.3">
      <c r="A241" s="474" t="s">
        <v>220</v>
      </c>
      <c r="B241" s="475"/>
      <c r="C241" s="475"/>
      <c r="D241" s="475"/>
      <c r="E241" s="475"/>
      <c r="F241" s="475"/>
      <c r="G241" s="475"/>
      <c r="H241" s="475"/>
      <c r="I241" s="476"/>
      <c r="J241" s="81" t="s">
        <v>221</v>
      </c>
      <c r="K241" s="103" t="s">
        <v>222</v>
      </c>
      <c r="L241" s="477" t="s">
        <v>223</v>
      </c>
      <c r="M241" s="476"/>
      <c r="N241" s="478" t="s">
        <v>224</v>
      </c>
      <c r="O241" s="480" t="s">
        <v>225</v>
      </c>
      <c r="P241" s="481"/>
      <c r="Q241" s="478" t="s">
        <v>226</v>
      </c>
      <c r="R241" s="461" t="s">
        <v>227</v>
      </c>
    </row>
    <row r="242" spans="1:18" ht="77.25" customHeight="1" x14ac:dyDescent="0.3">
      <c r="A242" s="82" t="s">
        <v>228</v>
      </c>
      <c r="B242" s="463" t="s">
        <v>229</v>
      </c>
      <c r="C242" s="464"/>
      <c r="D242" s="83" t="s">
        <v>230</v>
      </c>
      <c r="E242" s="83" t="s">
        <v>231</v>
      </c>
      <c r="F242" s="83" t="s">
        <v>232</v>
      </c>
      <c r="G242" s="83" t="s">
        <v>233</v>
      </c>
      <c r="H242" s="116" t="s">
        <v>234</v>
      </c>
      <c r="I242" s="116" t="s">
        <v>235</v>
      </c>
      <c r="J242" s="84" t="s">
        <v>236</v>
      </c>
      <c r="K242" s="84" t="s">
        <v>237</v>
      </c>
      <c r="L242" s="84" t="s">
        <v>238</v>
      </c>
      <c r="M242" s="84" t="s">
        <v>239</v>
      </c>
      <c r="N242" s="479"/>
      <c r="O242" s="482"/>
      <c r="P242" s="483"/>
      <c r="Q242" s="479"/>
      <c r="R242" s="462"/>
    </row>
    <row r="243" spans="1:18" ht="39.9" customHeight="1" x14ac:dyDescent="0.3">
      <c r="A243" s="86" t="str">
        <f>VLOOKUP(A236,'LISTA DE OFERENTES'!$A$6:$R$38,11,FALSE)</f>
        <v>MR GROUP COL SAS</v>
      </c>
      <c r="B243" s="87"/>
      <c r="C243" s="87"/>
      <c r="D243" s="87"/>
      <c r="E243" s="87"/>
      <c r="F243" s="87"/>
      <c r="G243" s="87"/>
      <c r="H243" s="87"/>
      <c r="I243" s="87"/>
      <c r="J243" s="87"/>
      <c r="K243" s="87"/>
      <c r="L243" s="496"/>
      <c r="M243" s="87"/>
      <c r="N243" s="87"/>
      <c r="O243" s="162" t="s">
        <v>241</v>
      </c>
      <c r="P243" s="87"/>
      <c r="Q243" s="159"/>
      <c r="R243" s="90"/>
    </row>
    <row r="244" spans="1:18" s="33" customFormat="1" ht="150" customHeight="1" x14ac:dyDescent="0.3">
      <c r="A244" s="119" t="s">
        <v>349</v>
      </c>
      <c r="B244" s="498" t="s">
        <v>324</v>
      </c>
      <c r="C244" s="467"/>
      <c r="D244" s="23">
        <v>3576072273</v>
      </c>
      <c r="E244" s="69">
        <v>2019</v>
      </c>
      <c r="F244" s="69">
        <v>5829</v>
      </c>
      <c r="G244" s="24">
        <f>D244/(VLOOKUP(E244,$D$533:$E$564,2,FALSE))</f>
        <v>4318.322883509074</v>
      </c>
      <c r="H244" s="3">
        <v>0.6</v>
      </c>
      <c r="I244" s="24">
        <f>H244*G244</f>
        <v>2590.9937301054442</v>
      </c>
      <c r="J244" s="100">
        <v>43799</v>
      </c>
      <c r="K244" s="30" t="s">
        <v>247</v>
      </c>
      <c r="L244" s="497"/>
      <c r="M244" s="31">
        <f>I244</f>
        <v>2590.9937301054442</v>
      </c>
      <c r="N244" s="119" t="s">
        <v>213</v>
      </c>
      <c r="O244" s="186" t="str">
        <f>+CONCATENATE(FIXED(F244*H244,2)," ","m2")</f>
        <v>3.497,40 m2</v>
      </c>
      <c r="P244" s="150" t="s">
        <v>213</v>
      </c>
      <c r="Q244" s="158" t="s">
        <v>213</v>
      </c>
      <c r="R244" s="32"/>
    </row>
    <row r="245" spans="1:18" ht="39.9" customHeight="1" x14ac:dyDescent="0.3">
      <c r="A245" s="86" t="str">
        <f>VLOOKUP(A236,'LISTA DE OFERENTES'!$A$6:$R$38,7,FALSE)</f>
        <v>GRUPO TITANIUM SAS</v>
      </c>
      <c r="B245" s="87"/>
      <c r="C245" s="87"/>
      <c r="D245" s="87"/>
      <c r="E245" s="87"/>
      <c r="F245" s="87"/>
      <c r="G245" s="87"/>
      <c r="H245" s="87"/>
      <c r="I245" s="87"/>
      <c r="J245" s="87"/>
      <c r="K245" s="87"/>
      <c r="L245" s="497"/>
      <c r="M245" s="87"/>
      <c r="N245" s="87"/>
      <c r="O245" s="162" t="s">
        <v>241</v>
      </c>
      <c r="P245" s="87"/>
      <c r="Q245" s="323"/>
      <c r="R245" s="90"/>
    </row>
    <row r="246" spans="1:18" s="33" customFormat="1" ht="150" customHeight="1" x14ac:dyDescent="0.3">
      <c r="A246" s="119" t="s">
        <v>349</v>
      </c>
      <c r="B246" s="498" t="s">
        <v>324</v>
      </c>
      <c r="C246" s="467"/>
      <c r="D246" s="23">
        <v>3576072273</v>
      </c>
      <c r="E246" s="69">
        <v>2019</v>
      </c>
      <c r="F246" s="69">
        <v>5829</v>
      </c>
      <c r="G246" s="24">
        <f>D246/(VLOOKUP(E246,$D$533:$E$564,2,FALSE))</f>
        <v>4318.322883509074</v>
      </c>
      <c r="H246" s="3">
        <v>0.2</v>
      </c>
      <c r="I246" s="24">
        <f>H246*G246</f>
        <v>863.66457670181489</v>
      </c>
      <c r="J246" s="100">
        <v>43799</v>
      </c>
      <c r="K246" s="167">
        <v>72101500</v>
      </c>
      <c r="L246" s="497"/>
      <c r="M246" s="31">
        <f>I246</f>
        <v>863.66457670181489</v>
      </c>
      <c r="N246" s="119" t="s">
        <v>213</v>
      </c>
      <c r="O246" s="186" t="str">
        <f>+CONCATENATE(FIXED(F246*H246,2)," ","m2")</f>
        <v>1.165,80 m2</v>
      </c>
      <c r="P246" s="150"/>
      <c r="Q246" s="158" t="s">
        <v>213</v>
      </c>
      <c r="R246" s="32" t="s">
        <v>350</v>
      </c>
    </row>
    <row r="247" spans="1:18" s="33" customFormat="1" ht="150" customHeight="1" x14ac:dyDescent="0.3">
      <c r="A247" s="119" t="s">
        <v>351</v>
      </c>
      <c r="B247" s="498" t="s">
        <v>352</v>
      </c>
      <c r="C247" s="467"/>
      <c r="D247" s="23">
        <v>629715619</v>
      </c>
      <c r="E247" s="69">
        <v>2019</v>
      </c>
      <c r="F247" s="69">
        <v>1072.3900000000001</v>
      </c>
      <c r="G247" s="24">
        <f>D247/(VLOOKUP(E247,$D$533:$E$564,2,FALSE))</f>
        <v>760.41957769201417</v>
      </c>
      <c r="H247" s="3">
        <v>1</v>
      </c>
      <c r="I247" s="24">
        <f>H247*G247</f>
        <v>760.41957769201417</v>
      </c>
      <c r="J247" s="100">
        <v>43517</v>
      </c>
      <c r="K247" s="30" t="s">
        <v>247</v>
      </c>
      <c r="L247" s="497"/>
      <c r="M247" s="31">
        <f>I247</f>
        <v>760.41957769201417</v>
      </c>
      <c r="N247" s="119" t="s">
        <v>213</v>
      </c>
      <c r="O247" s="186" t="str">
        <f>+CONCATENATE(FIXED(F247*H247,2)," ","m2")</f>
        <v>1.072,39 m2</v>
      </c>
      <c r="P247" s="150"/>
      <c r="Q247" s="158" t="s">
        <v>214</v>
      </c>
      <c r="R247" s="32" t="s">
        <v>353</v>
      </c>
    </row>
    <row r="248" spans="1:18" s="33" customFormat="1" ht="48" customHeight="1" x14ac:dyDescent="0.3">
      <c r="A248" s="495" t="s">
        <v>249</v>
      </c>
      <c r="B248" s="485"/>
      <c r="C248" s="485"/>
      <c r="D248" s="485"/>
      <c r="E248" s="485"/>
      <c r="F248" s="485"/>
      <c r="G248" s="485"/>
      <c r="H248" s="486"/>
      <c r="I248" s="72">
        <f>SUM(I244:I247)</f>
        <v>4215.0778844992728</v>
      </c>
      <c r="J248" s="487" t="s">
        <v>250</v>
      </c>
      <c r="K248" s="488"/>
      <c r="L248" s="488"/>
      <c r="M248" s="488"/>
      <c r="N248" s="488"/>
      <c r="O248" s="488"/>
      <c r="P248" s="490"/>
      <c r="Q248" s="161"/>
      <c r="R248" s="92" t="s">
        <v>213</v>
      </c>
    </row>
    <row r="249" spans="1:18" ht="15.75" customHeight="1" x14ac:dyDescent="0.3">
      <c r="A249" s="4"/>
      <c r="B249" s="4"/>
      <c r="C249" s="120"/>
      <c r="D249" s="120"/>
      <c r="E249" s="120"/>
      <c r="F249" s="120"/>
      <c r="G249" s="120"/>
      <c r="H249" s="120"/>
      <c r="I249" s="120"/>
      <c r="J249" s="120"/>
      <c r="K249" s="120"/>
      <c r="L249" s="120"/>
      <c r="M249" s="120"/>
      <c r="N249" s="120"/>
      <c r="O249" s="120"/>
      <c r="P249" s="120"/>
      <c r="Q249" s="120"/>
      <c r="R249" s="5"/>
    </row>
    <row r="250" spans="1:18" ht="30.75" customHeight="1" x14ac:dyDescent="0.3">
      <c r="A250" s="442">
        <f>A236+1</f>
        <v>19</v>
      </c>
      <c r="B250" s="443"/>
      <c r="C250" s="443"/>
      <c r="D250" s="444"/>
      <c r="E250" s="445" t="str">
        <f>VLOOKUP(A250,'LISTA DE OFERENTES'!$A$6:$B$38,2,FALSE)</f>
        <v>MAMUT ACERO Y CONCRETO SAS</v>
      </c>
      <c r="F250" s="446"/>
      <c r="G250" s="446"/>
      <c r="H250" s="446"/>
      <c r="I250" s="446"/>
      <c r="J250" s="446"/>
      <c r="K250" s="446"/>
      <c r="L250" s="446"/>
      <c r="M250" s="446"/>
      <c r="N250" s="446"/>
      <c r="O250" s="446"/>
      <c r="P250" s="446"/>
      <c r="Q250" s="446"/>
      <c r="R250" s="447"/>
    </row>
    <row r="251" spans="1:18" ht="50.25" customHeight="1" x14ac:dyDescent="0.3">
      <c r="A251" s="28" t="s">
        <v>215</v>
      </c>
      <c r="B251" s="85"/>
      <c r="C251" s="29" t="s">
        <v>216</v>
      </c>
      <c r="D251" s="68">
        <f>+$E$506</f>
        <v>1649.6083550000001</v>
      </c>
      <c r="E251" s="448"/>
      <c r="F251" s="449"/>
      <c r="G251" s="449"/>
      <c r="H251" s="449"/>
      <c r="I251" s="449"/>
      <c r="J251" s="449"/>
      <c r="K251" s="449"/>
      <c r="L251" s="449"/>
      <c r="M251" s="449"/>
      <c r="N251" s="449"/>
      <c r="O251" s="449"/>
      <c r="P251" s="449"/>
      <c r="Q251" s="449"/>
      <c r="R251" s="450"/>
    </row>
    <row r="252" spans="1:18" ht="30" customHeight="1" x14ac:dyDescent="0.3">
      <c r="A252" s="454" t="s">
        <v>217</v>
      </c>
      <c r="B252" s="455"/>
      <c r="C252" s="70">
        <f>IF(B251&lt;3,0.75,IF(B251&lt;5,1.2,1.5))</f>
        <v>0.75</v>
      </c>
      <c r="D252" s="71">
        <f>+D251*C252</f>
        <v>1237.20626625</v>
      </c>
      <c r="E252" s="448"/>
      <c r="F252" s="449"/>
      <c r="G252" s="449"/>
      <c r="H252" s="449"/>
      <c r="I252" s="449"/>
      <c r="J252" s="449"/>
      <c r="K252" s="449"/>
      <c r="L252" s="449"/>
      <c r="M252" s="449"/>
      <c r="N252" s="449"/>
      <c r="O252" s="449"/>
      <c r="P252" s="449"/>
      <c r="Q252" s="449"/>
      <c r="R252" s="450"/>
    </row>
    <row r="253" spans="1:18" ht="30" customHeight="1" x14ac:dyDescent="0.3">
      <c r="A253" s="456" t="s">
        <v>218</v>
      </c>
      <c r="B253" s="455"/>
      <c r="C253" s="457">
        <v>44771</v>
      </c>
      <c r="D253" s="458"/>
      <c r="E253" s="448"/>
      <c r="F253" s="449"/>
      <c r="G253" s="449"/>
      <c r="H253" s="449"/>
      <c r="I253" s="449"/>
      <c r="J253" s="449"/>
      <c r="K253" s="449"/>
      <c r="L253" s="449"/>
      <c r="M253" s="449"/>
      <c r="N253" s="449"/>
      <c r="O253" s="449"/>
      <c r="P253" s="449"/>
      <c r="Q253" s="449"/>
      <c r="R253" s="450"/>
    </row>
    <row r="254" spans="1:18" ht="30" customHeight="1" x14ac:dyDescent="0.3">
      <c r="A254" s="459" t="s">
        <v>219</v>
      </c>
      <c r="B254" s="460"/>
      <c r="C254" s="472"/>
      <c r="D254" s="473"/>
      <c r="E254" s="451"/>
      <c r="F254" s="452"/>
      <c r="G254" s="452"/>
      <c r="H254" s="452"/>
      <c r="I254" s="452"/>
      <c r="J254" s="452"/>
      <c r="K254" s="452"/>
      <c r="L254" s="452"/>
      <c r="M254" s="452"/>
      <c r="N254" s="452"/>
      <c r="O254" s="452"/>
      <c r="P254" s="452"/>
      <c r="Q254" s="452"/>
      <c r="R254" s="453"/>
    </row>
    <row r="255" spans="1:18" ht="55.5" customHeight="1" x14ac:dyDescent="0.3">
      <c r="A255" s="474" t="s">
        <v>220</v>
      </c>
      <c r="B255" s="475"/>
      <c r="C255" s="475"/>
      <c r="D255" s="475"/>
      <c r="E255" s="475"/>
      <c r="F255" s="475"/>
      <c r="G255" s="475"/>
      <c r="H255" s="475"/>
      <c r="I255" s="476"/>
      <c r="J255" s="81" t="s">
        <v>221</v>
      </c>
      <c r="K255" s="103" t="s">
        <v>222</v>
      </c>
      <c r="L255" s="477" t="s">
        <v>223</v>
      </c>
      <c r="M255" s="476"/>
      <c r="N255" s="478" t="s">
        <v>224</v>
      </c>
      <c r="O255" s="480" t="s">
        <v>225</v>
      </c>
      <c r="P255" s="481"/>
      <c r="Q255" s="478" t="s">
        <v>226</v>
      </c>
      <c r="R255" s="461" t="s">
        <v>227</v>
      </c>
    </row>
    <row r="256" spans="1:18" ht="77.25" customHeight="1" x14ac:dyDescent="0.3">
      <c r="A256" s="82" t="s">
        <v>228</v>
      </c>
      <c r="B256" s="463" t="s">
        <v>229</v>
      </c>
      <c r="C256" s="464"/>
      <c r="D256" s="83" t="s">
        <v>230</v>
      </c>
      <c r="E256" s="83" t="s">
        <v>231</v>
      </c>
      <c r="F256" s="83" t="s">
        <v>232</v>
      </c>
      <c r="G256" s="83" t="s">
        <v>233</v>
      </c>
      <c r="H256" s="116" t="s">
        <v>234</v>
      </c>
      <c r="I256" s="116" t="s">
        <v>235</v>
      </c>
      <c r="J256" s="84" t="s">
        <v>236</v>
      </c>
      <c r="K256" s="84" t="s">
        <v>237</v>
      </c>
      <c r="L256" s="84" t="s">
        <v>238</v>
      </c>
      <c r="M256" s="84" t="s">
        <v>239</v>
      </c>
      <c r="N256" s="479"/>
      <c r="O256" s="482"/>
      <c r="P256" s="483"/>
      <c r="Q256" s="479"/>
      <c r="R256" s="462"/>
    </row>
    <row r="257" spans="1:18" ht="39.9" customHeight="1" x14ac:dyDescent="0.3">
      <c r="A257" s="86" t="str">
        <f>VLOOKUP(A250,'LISTA DE OFERENTES'!$A$6:$R$38,2,FALSE)</f>
        <v>MAMUT ACERO Y CONCRETO SAS</v>
      </c>
      <c r="B257" s="87"/>
      <c r="C257" s="87"/>
      <c r="D257" s="87"/>
      <c r="E257" s="87"/>
      <c r="F257" s="87"/>
      <c r="G257" s="87"/>
      <c r="H257" s="87"/>
      <c r="I257" s="87"/>
      <c r="J257" s="87"/>
      <c r="K257" s="87"/>
      <c r="L257" s="491" t="s">
        <v>124</v>
      </c>
      <c r="M257" s="87"/>
      <c r="N257" s="87"/>
      <c r="O257" s="162" t="s">
        <v>241</v>
      </c>
      <c r="P257" s="87"/>
      <c r="Q257" s="159"/>
      <c r="R257" s="90"/>
    </row>
    <row r="258" spans="1:18" s="33" customFormat="1" ht="150" customHeight="1" x14ac:dyDescent="0.3">
      <c r="A258" s="119" t="s">
        <v>354</v>
      </c>
      <c r="B258" s="498" t="s">
        <v>355</v>
      </c>
      <c r="C258" s="467"/>
      <c r="D258" s="23">
        <v>3901956180</v>
      </c>
      <c r="E258" s="69">
        <v>2012</v>
      </c>
      <c r="F258" s="69">
        <v>4245.71</v>
      </c>
      <c r="G258" s="24">
        <f>D258/(VLOOKUP(E258,$D$533:$E$564,2,FALSE))</f>
        <v>6885.4</v>
      </c>
      <c r="H258" s="3">
        <v>1</v>
      </c>
      <c r="I258" s="328">
        <f>H258*G258</f>
        <v>6885.4</v>
      </c>
      <c r="J258" s="100">
        <v>41195</v>
      </c>
      <c r="K258" s="30" t="s">
        <v>247</v>
      </c>
      <c r="L258" s="492"/>
      <c r="M258" s="329">
        <f>I258</f>
        <v>6885.4</v>
      </c>
      <c r="N258" s="119" t="s">
        <v>213</v>
      </c>
      <c r="O258" s="330" t="str">
        <f>+CONCATENATE(FIXED(F258*H258,2)," ","m2")</f>
        <v>4.245,71 m2</v>
      </c>
      <c r="P258" s="327" t="s">
        <v>213</v>
      </c>
      <c r="Q258" s="158" t="s">
        <v>213</v>
      </c>
      <c r="R258" s="331"/>
    </row>
    <row r="259" spans="1:18" s="33" customFormat="1" ht="48" customHeight="1" x14ac:dyDescent="0.3">
      <c r="A259" s="495" t="s">
        <v>249</v>
      </c>
      <c r="B259" s="485"/>
      <c r="C259" s="485"/>
      <c r="D259" s="485"/>
      <c r="E259" s="485"/>
      <c r="F259" s="485"/>
      <c r="G259" s="485"/>
      <c r="H259" s="486"/>
      <c r="I259" s="72">
        <f>SUM(I258:I258)</f>
        <v>6885.4</v>
      </c>
      <c r="J259" s="487" t="s">
        <v>250</v>
      </c>
      <c r="K259" s="488"/>
      <c r="L259" s="488"/>
      <c r="M259" s="488"/>
      <c r="N259" s="488"/>
      <c r="O259" s="488"/>
      <c r="P259" s="490"/>
      <c r="Q259" s="161"/>
      <c r="R259" s="92" t="s">
        <v>213</v>
      </c>
    </row>
    <row r="260" spans="1:18" ht="15.6" x14ac:dyDescent="0.3">
      <c r="A260" s="4"/>
      <c r="B260" s="4"/>
      <c r="C260" s="4"/>
      <c r="D260" s="4"/>
      <c r="E260" s="4"/>
      <c r="F260" s="4"/>
      <c r="G260" s="4"/>
      <c r="H260" s="4"/>
      <c r="I260" s="4"/>
      <c r="J260" s="4"/>
      <c r="K260" s="4"/>
      <c r="L260" s="4"/>
      <c r="M260" s="4"/>
      <c r="N260" s="5"/>
      <c r="O260" s="5"/>
      <c r="P260" s="5"/>
      <c r="Q260" s="5"/>
      <c r="R260" s="5"/>
    </row>
    <row r="261" spans="1:18" ht="30.75" customHeight="1" x14ac:dyDescent="0.3">
      <c r="A261" s="442">
        <f>A250+1</f>
        <v>20</v>
      </c>
      <c r="B261" s="443"/>
      <c r="C261" s="443"/>
      <c r="D261" s="444"/>
      <c r="E261" s="445" t="str">
        <f>VLOOKUP(A261,'LISTA DE OFERENTES'!$A$6:$B$38,2,FALSE)</f>
        <v>PROYECTOS E INGENIERIA DE VIAS SAS-PROINVIAS SAS</v>
      </c>
      <c r="F261" s="446"/>
      <c r="G261" s="446"/>
      <c r="H261" s="446"/>
      <c r="I261" s="446"/>
      <c r="J261" s="446"/>
      <c r="K261" s="446"/>
      <c r="L261" s="446"/>
      <c r="M261" s="446"/>
      <c r="N261" s="446"/>
      <c r="O261" s="446"/>
      <c r="P261" s="446"/>
      <c r="Q261" s="446"/>
      <c r="R261" s="447"/>
    </row>
    <row r="262" spans="1:18" ht="50.25" customHeight="1" x14ac:dyDescent="0.3">
      <c r="A262" s="28" t="s">
        <v>215</v>
      </c>
      <c r="B262" s="85"/>
      <c r="C262" s="29" t="s">
        <v>216</v>
      </c>
      <c r="D262" s="68">
        <f>+$E$506</f>
        <v>1649.6083550000001</v>
      </c>
      <c r="E262" s="448"/>
      <c r="F262" s="449"/>
      <c r="G262" s="449"/>
      <c r="H262" s="449"/>
      <c r="I262" s="449"/>
      <c r="J262" s="449"/>
      <c r="K262" s="449"/>
      <c r="L262" s="449"/>
      <c r="M262" s="449"/>
      <c r="N262" s="449"/>
      <c r="O262" s="449"/>
      <c r="P262" s="449"/>
      <c r="Q262" s="449"/>
      <c r="R262" s="450"/>
    </row>
    <row r="263" spans="1:18" ht="30" customHeight="1" x14ac:dyDescent="0.3">
      <c r="A263" s="454" t="s">
        <v>217</v>
      </c>
      <c r="B263" s="455"/>
      <c r="C263" s="70">
        <f>IF(B262&lt;3,0.75,IF(B262&lt;5,1.2,1.5))</f>
        <v>0.75</v>
      </c>
      <c r="D263" s="71">
        <f>+D262*C263</f>
        <v>1237.20626625</v>
      </c>
      <c r="E263" s="448"/>
      <c r="F263" s="449"/>
      <c r="G263" s="449"/>
      <c r="H263" s="449"/>
      <c r="I263" s="449"/>
      <c r="J263" s="449"/>
      <c r="K263" s="449"/>
      <c r="L263" s="449"/>
      <c r="M263" s="449"/>
      <c r="N263" s="449"/>
      <c r="O263" s="449"/>
      <c r="P263" s="449"/>
      <c r="Q263" s="449"/>
      <c r="R263" s="450"/>
    </row>
    <row r="264" spans="1:18" ht="30" customHeight="1" x14ac:dyDescent="0.3">
      <c r="A264" s="456" t="s">
        <v>218</v>
      </c>
      <c r="B264" s="455"/>
      <c r="C264" s="457">
        <v>44771</v>
      </c>
      <c r="D264" s="458"/>
      <c r="E264" s="448"/>
      <c r="F264" s="449"/>
      <c r="G264" s="449"/>
      <c r="H264" s="449"/>
      <c r="I264" s="449"/>
      <c r="J264" s="449"/>
      <c r="K264" s="449"/>
      <c r="L264" s="449"/>
      <c r="M264" s="449"/>
      <c r="N264" s="449"/>
      <c r="O264" s="449"/>
      <c r="P264" s="449"/>
      <c r="Q264" s="449"/>
      <c r="R264" s="450"/>
    </row>
    <row r="265" spans="1:18" ht="30" customHeight="1" x14ac:dyDescent="0.3">
      <c r="A265" s="459" t="s">
        <v>219</v>
      </c>
      <c r="B265" s="460"/>
      <c r="C265" s="472"/>
      <c r="D265" s="473"/>
      <c r="E265" s="451"/>
      <c r="F265" s="452"/>
      <c r="G265" s="452"/>
      <c r="H265" s="452"/>
      <c r="I265" s="452"/>
      <c r="J265" s="452"/>
      <c r="K265" s="452"/>
      <c r="L265" s="452"/>
      <c r="M265" s="452"/>
      <c r="N265" s="452"/>
      <c r="O265" s="452"/>
      <c r="P265" s="452"/>
      <c r="Q265" s="452"/>
      <c r="R265" s="453"/>
    </row>
    <row r="266" spans="1:18" ht="55.5" customHeight="1" x14ac:dyDescent="0.3">
      <c r="A266" s="474" t="s">
        <v>220</v>
      </c>
      <c r="B266" s="475"/>
      <c r="C266" s="475"/>
      <c r="D266" s="475"/>
      <c r="E266" s="475"/>
      <c r="F266" s="475"/>
      <c r="G266" s="475"/>
      <c r="H266" s="475"/>
      <c r="I266" s="476"/>
      <c r="J266" s="81" t="s">
        <v>221</v>
      </c>
      <c r="K266" s="103" t="s">
        <v>222</v>
      </c>
      <c r="L266" s="477" t="s">
        <v>223</v>
      </c>
      <c r="M266" s="476"/>
      <c r="N266" s="478" t="s">
        <v>224</v>
      </c>
      <c r="O266" s="480" t="s">
        <v>225</v>
      </c>
      <c r="P266" s="481"/>
      <c r="Q266" s="478" t="s">
        <v>226</v>
      </c>
      <c r="R266" s="461" t="s">
        <v>227</v>
      </c>
    </row>
    <row r="267" spans="1:18" ht="77.25" customHeight="1" x14ac:dyDescent="0.3">
      <c r="A267" s="82" t="s">
        <v>228</v>
      </c>
      <c r="B267" s="463" t="s">
        <v>229</v>
      </c>
      <c r="C267" s="464"/>
      <c r="D267" s="83" t="s">
        <v>230</v>
      </c>
      <c r="E267" s="83" t="s">
        <v>231</v>
      </c>
      <c r="F267" s="83" t="s">
        <v>232</v>
      </c>
      <c r="G267" s="83" t="s">
        <v>233</v>
      </c>
      <c r="H267" s="116" t="s">
        <v>234</v>
      </c>
      <c r="I267" s="116" t="s">
        <v>235</v>
      </c>
      <c r="J267" s="84" t="s">
        <v>236</v>
      </c>
      <c r="K267" s="84" t="s">
        <v>237</v>
      </c>
      <c r="L267" s="84" t="s">
        <v>238</v>
      </c>
      <c r="M267" s="84" t="s">
        <v>239</v>
      </c>
      <c r="N267" s="479"/>
      <c r="O267" s="482"/>
      <c r="P267" s="483"/>
      <c r="Q267" s="479"/>
      <c r="R267" s="462"/>
    </row>
    <row r="268" spans="1:18" ht="39.9" customHeight="1" x14ac:dyDescent="0.3">
      <c r="A268" s="86" t="str">
        <f>VLOOKUP(A261,'LISTA DE OFERENTES'!$A$6:$R$38,7,FALSE)</f>
        <v>PROYECTOS E INGENIERIA DE VIAS SAS-PROINVIAS SAS</v>
      </c>
      <c r="B268" s="87"/>
      <c r="C268" s="87"/>
      <c r="D268" s="87"/>
      <c r="E268" s="87"/>
      <c r="F268" s="87"/>
      <c r="G268" s="87"/>
      <c r="H268" s="87"/>
      <c r="I268" s="87"/>
      <c r="J268" s="87"/>
      <c r="K268" s="87"/>
      <c r="L268" s="496" t="s">
        <v>356</v>
      </c>
      <c r="M268" s="87"/>
      <c r="N268" s="87"/>
      <c r="O268" s="162" t="s">
        <v>241</v>
      </c>
      <c r="P268" s="87"/>
      <c r="Q268" s="87"/>
      <c r="R268" s="90"/>
    </row>
    <row r="269" spans="1:18" s="33" customFormat="1" ht="150" customHeight="1" x14ac:dyDescent="0.3">
      <c r="A269" s="119" t="s">
        <v>357</v>
      </c>
      <c r="B269" s="498" t="s">
        <v>358</v>
      </c>
      <c r="C269" s="467"/>
      <c r="D269" s="23">
        <v>4562411650</v>
      </c>
      <c r="E269" s="69">
        <v>2020</v>
      </c>
      <c r="F269" s="69">
        <v>3693.13</v>
      </c>
      <c r="G269" s="24">
        <f>D269/(VLOOKUP(E269,$D$533:$E$564,2,FALSE))</f>
        <v>5197.5348113414966</v>
      </c>
      <c r="H269" s="3">
        <v>0.4</v>
      </c>
      <c r="I269" s="24">
        <f>H269*G269</f>
        <v>2079.0139245365986</v>
      </c>
      <c r="J269" s="100">
        <v>44195</v>
      </c>
      <c r="K269" s="30" t="s">
        <v>247</v>
      </c>
      <c r="L269" s="497"/>
      <c r="M269" s="31">
        <f>I269</f>
        <v>2079.0139245365986</v>
      </c>
      <c r="N269" s="119" t="s">
        <v>213</v>
      </c>
      <c r="O269" s="186" t="str">
        <f>+CONCATENATE(FIXED(F269*H269,2)," ","m2")</f>
        <v>1.477,25 m2</v>
      </c>
      <c r="P269" s="119"/>
      <c r="Q269" s="142" t="s">
        <v>213</v>
      </c>
      <c r="R269" s="32"/>
    </row>
    <row r="270" spans="1:18" s="33" customFormat="1" ht="150" customHeight="1" x14ac:dyDescent="0.3">
      <c r="A270" s="119" t="s">
        <v>359</v>
      </c>
      <c r="B270" s="498" t="s">
        <v>360</v>
      </c>
      <c r="C270" s="467"/>
      <c r="D270" s="23">
        <v>2257718344.8000002</v>
      </c>
      <c r="E270" s="69">
        <v>2020</v>
      </c>
      <c r="F270" s="69">
        <v>3529.4</v>
      </c>
      <c r="G270" s="24">
        <f>D270/(VLOOKUP(E270,$D$533:$E$564,2,FALSE))</f>
        <v>2572.0102856791332</v>
      </c>
      <c r="H270" s="3">
        <v>1</v>
      </c>
      <c r="I270" s="24">
        <f>H270*G270</f>
        <v>2572.0102856791332</v>
      </c>
      <c r="J270" s="100">
        <v>44120</v>
      </c>
      <c r="K270" s="30" t="s">
        <v>257</v>
      </c>
      <c r="L270" s="497"/>
      <c r="M270" s="31">
        <f>I270</f>
        <v>2572.0102856791332</v>
      </c>
      <c r="N270" s="119" t="s">
        <v>213</v>
      </c>
      <c r="O270" s="186" t="str">
        <f>+CONCATENATE(FIXED(F270*H270,2)," ","m2")</f>
        <v>3.529,40 m2</v>
      </c>
      <c r="P270" s="119" t="s">
        <v>213</v>
      </c>
      <c r="Q270" s="142" t="s">
        <v>213</v>
      </c>
      <c r="R270" s="32"/>
    </row>
    <row r="271" spans="1:18" s="33" customFormat="1" ht="48" customHeight="1" x14ac:dyDescent="0.3">
      <c r="A271" s="495" t="s">
        <v>249</v>
      </c>
      <c r="B271" s="485"/>
      <c r="C271" s="485"/>
      <c r="D271" s="485"/>
      <c r="E271" s="485"/>
      <c r="F271" s="485"/>
      <c r="G271" s="485"/>
      <c r="H271" s="486"/>
      <c r="I271" s="72">
        <f>SUM(I269:I270)</f>
        <v>4651.0242102157317</v>
      </c>
      <c r="J271" s="487" t="s">
        <v>250</v>
      </c>
      <c r="K271" s="488"/>
      <c r="L271" s="488"/>
      <c r="M271" s="488"/>
      <c r="N271" s="488"/>
      <c r="O271" s="488"/>
      <c r="P271" s="490"/>
      <c r="Q271" s="136"/>
      <c r="R271" s="92" t="s">
        <v>213</v>
      </c>
    </row>
    <row r="272" spans="1:18" ht="15.6" x14ac:dyDescent="0.3">
      <c r="A272" s="4"/>
      <c r="B272" s="4"/>
      <c r="C272" s="4"/>
      <c r="D272" s="4"/>
      <c r="E272" s="4"/>
      <c r="F272" s="4"/>
      <c r="G272" s="4"/>
      <c r="H272" s="4"/>
      <c r="I272" s="4"/>
      <c r="J272" s="4"/>
      <c r="K272" s="4"/>
      <c r="L272" s="4"/>
      <c r="M272" s="4"/>
      <c r="N272" s="5"/>
      <c r="O272" s="5"/>
      <c r="P272" s="5"/>
      <c r="Q272" s="5"/>
      <c r="R272" s="5"/>
    </row>
    <row r="273" spans="1:18" ht="30.75" customHeight="1" x14ac:dyDescent="0.3">
      <c r="A273" s="442">
        <f>A261+1</f>
        <v>21</v>
      </c>
      <c r="B273" s="443"/>
      <c r="C273" s="443"/>
      <c r="D273" s="444"/>
      <c r="E273" s="445" t="str">
        <f>VLOOKUP(A273,'LISTA DE OFERENTES'!$A$6:$B$38,2,FALSE)</f>
        <v>CARLOS ARTURO VERGARA NEGRETE</v>
      </c>
      <c r="F273" s="446"/>
      <c r="G273" s="446"/>
      <c r="H273" s="446"/>
      <c r="I273" s="446"/>
      <c r="J273" s="446"/>
      <c r="K273" s="446"/>
      <c r="L273" s="446"/>
      <c r="M273" s="446"/>
      <c r="N273" s="446"/>
      <c r="O273" s="446"/>
      <c r="P273" s="446"/>
      <c r="Q273" s="446"/>
      <c r="R273" s="447"/>
    </row>
    <row r="274" spans="1:18" ht="50.25" customHeight="1" x14ac:dyDescent="0.3">
      <c r="A274" s="28" t="s">
        <v>215</v>
      </c>
      <c r="B274" s="85">
        <v>1</v>
      </c>
      <c r="C274" s="29" t="s">
        <v>216</v>
      </c>
      <c r="D274" s="68">
        <f>+$E$506</f>
        <v>1649.6083550000001</v>
      </c>
      <c r="E274" s="448"/>
      <c r="F274" s="449"/>
      <c r="G274" s="449"/>
      <c r="H274" s="449"/>
      <c r="I274" s="449"/>
      <c r="J274" s="449"/>
      <c r="K274" s="449"/>
      <c r="L274" s="449"/>
      <c r="M274" s="449"/>
      <c r="N274" s="449"/>
      <c r="O274" s="449"/>
      <c r="P274" s="449"/>
      <c r="Q274" s="449"/>
      <c r="R274" s="450"/>
    </row>
    <row r="275" spans="1:18" ht="30" customHeight="1" x14ac:dyDescent="0.3">
      <c r="A275" s="454" t="s">
        <v>217</v>
      </c>
      <c r="B275" s="455"/>
      <c r="C275" s="70">
        <f>IF(B274&lt;3,0.75,IF(B274&lt;5,1.2,1.5))</f>
        <v>0.75</v>
      </c>
      <c r="D275" s="71">
        <f>+D274*C275</f>
        <v>1237.20626625</v>
      </c>
      <c r="E275" s="448"/>
      <c r="F275" s="449"/>
      <c r="G275" s="449"/>
      <c r="H275" s="449"/>
      <c r="I275" s="449"/>
      <c r="J275" s="449"/>
      <c r="K275" s="449"/>
      <c r="L275" s="449"/>
      <c r="M275" s="449"/>
      <c r="N275" s="449"/>
      <c r="O275" s="449"/>
      <c r="P275" s="449"/>
      <c r="Q275" s="449"/>
      <c r="R275" s="450"/>
    </row>
    <row r="276" spans="1:18" ht="30" customHeight="1" x14ac:dyDescent="0.3">
      <c r="A276" s="456" t="s">
        <v>218</v>
      </c>
      <c r="B276" s="455"/>
      <c r="C276" s="457">
        <v>44832</v>
      </c>
      <c r="D276" s="458"/>
      <c r="E276" s="448"/>
      <c r="F276" s="449"/>
      <c r="G276" s="449"/>
      <c r="H276" s="449"/>
      <c r="I276" s="449"/>
      <c r="J276" s="449"/>
      <c r="K276" s="449"/>
      <c r="L276" s="449"/>
      <c r="M276" s="449"/>
      <c r="N276" s="449"/>
      <c r="O276" s="449"/>
      <c r="P276" s="449"/>
      <c r="Q276" s="449"/>
      <c r="R276" s="450"/>
    </row>
    <row r="277" spans="1:18" ht="30" customHeight="1" x14ac:dyDescent="0.3">
      <c r="A277" s="459" t="s">
        <v>219</v>
      </c>
      <c r="B277" s="460"/>
      <c r="C277" s="472" t="str">
        <f>+IF(I282&gt;D275,"CUMPLE","NO CUMPLE")</f>
        <v>CUMPLE</v>
      </c>
      <c r="D277" s="473"/>
      <c r="E277" s="451"/>
      <c r="F277" s="452"/>
      <c r="G277" s="452"/>
      <c r="H277" s="452"/>
      <c r="I277" s="452"/>
      <c r="J277" s="452"/>
      <c r="K277" s="452"/>
      <c r="L277" s="452"/>
      <c r="M277" s="452"/>
      <c r="N277" s="452"/>
      <c r="O277" s="452"/>
      <c r="P277" s="452"/>
      <c r="Q277" s="452"/>
      <c r="R277" s="453"/>
    </row>
    <row r="278" spans="1:18" ht="55.5" customHeight="1" x14ac:dyDescent="0.3">
      <c r="A278" s="474" t="s">
        <v>220</v>
      </c>
      <c r="B278" s="475"/>
      <c r="C278" s="475"/>
      <c r="D278" s="475"/>
      <c r="E278" s="475"/>
      <c r="F278" s="475"/>
      <c r="G278" s="475"/>
      <c r="H278" s="475"/>
      <c r="I278" s="476"/>
      <c r="J278" s="81" t="s">
        <v>221</v>
      </c>
      <c r="K278" s="103" t="s">
        <v>222</v>
      </c>
      <c r="L278" s="477" t="s">
        <v>223</v>
      </c>
      <c r="M278" s="476"/>
      <c r="N278" s="478" t="s">
        <v>224</v>
      </c>
      <c r="O278" s="480" t="s">
        <v>225</v>
      </c>
      <c r="P278" s="481"/>
      <c r="Q278" s="478" t="s">
        <v>226</v>
      </c>
      <c r="R278" s="461" t="s">
        <v>227</v>
      </c>
    </row>
    <row r="279" spans="1:18" ht="77.25" customHeight="1" x14ac:dyDescent="0.3">
      <c r="A279" s="82" t="s">
        <v>228</v>
      </c>
      <c r="B279" s="463" t="s">
        <v>229</v>
      </c>
      <c r="C279" s="464"/>
      <c r="D279" s="83" t="s">
        <v>230</v>
      </c>
      <c r="E279" s="83" t="s">
        <v>231</v>
      </c>
      <c r="F279" s="83" t="s">
        <v>232</v>
      </c>
      <c r="G279" s="83" t="s">
        <v>233</v>
      </c>
      <c r="H279" s="116" t="s">
        <v>234</v>
      </c>
      <c r="I279" s="116" t="s">
        <v>235</v>
      </c>
      <c r="J279" s="84" t="s">
        <v>236</v>
      </c>
      <c r="K279" s="84" t="s">
        <v>237</v>
      </c>
      <c r="L279" s="191" t="s">
        <v>238</v>
      </c>
      <c r="M279" s="84" t="s">
        <v>239</v>
      </c>
      <c r="N279" s="479"/>
      <c r="O279" s="482"/>
      <c r="P279" s="483"/>
      <c r="Q279" s="479"/>
      <c r="R279" s="462"/>
    </row>
    <row r="280" spans="1:18" ht="39.9" customHeight="1" x14ac:dyDescent="0.3">
      <c r="A280" s="86" t="str">
        <f>+'LISTA DE OFERENTES'!B26</f>
        <v>CARLOS ARTURO VERGARA NEGRETE</v>
      </c>
      <c r="B280" s="87"/>
      <c r="C280" s="87"/>
      <c r="D280" s="87"/>
      <c r="E280" s="87"/>
      <c r="F280" s="87"/>
      <c r="G280" s="87"/>
      <c r="H280" s="87"/>
      <c r="I280" s="87"/>
      <c r="J280" s="87"/>
      <c r="K280" s="87"/>
      <c r="L280" s="504" t="str">
        <f>+A280</f>
        <v>CARLOS ARTURO VERGARA NEGRETE</v>
      </c>
      <c r="M280" s="87"/>
      <c r="N280" s="87"/>
      <c r="O280" s="162" t="s">
        <v>241</v>
      </c>
      <c r="P280" s="87"/>
      <c r="Q280" s="159"/>
      <c r="R280" s="188"/>
    </row>
    <row r="281" spans="1:18" s="33" customFormat="1" ht="150" customHeight="1" x14ac:dyDescent="0.3">
      <c r="A281" s="119" t="s">
        <v>361</v>
      </c>
      <c r="B281" s="498" t="s">
        <v>362</v>
      </c>
      <c r="C281" s="467"/>
      <c r="D281" s="23">
        <v>3197850356</v>
      </c>
      <c r="E281" s="69">
        <v>2017</v>
      </c>
      <c r="F281" s="69">
        <f>6400+2249.85</f>
        <v>8649.85</v>
      </c>
      <c r="G281" s="24">
        <f>D281/(VLOOKUP(E281,$D$533:$E$564,2,FALSE))</f>
        <v>4334.7928216375658</v>
      </c>
      <c r="H281" s="3">
        <v>0.7</v>
      </c>
      <c r="I281" s="24">
        <f>H281*G281</f>
        <v>3034.3549751462961</v>
      </c>
      <c r="J281" s="100">
        <v>43010</v>
      </c>
      <c r="K281" s="30" t="s">
        <v>363</v>
      </c>
      <c r="L281" s="504"/>
      <c r="M281" s="31">
        <f>I281</f>
        <v>3034.3549751462961</v>
      </c>
      <c r="N281" s="119" t="s">
        <v>213</v>
      </c>
      <c r="O281" s="186" t="str">
        <f>+CONCATENATE(FIXED(F281*H281,2)," ","m2")</f>
        <v>6.054,90 m2</v>
      </c>
      <c r="P281" s="150" t="s">
        <v>213</v>
      </c>
      <c r="Q281" s="158" t="s">
        <v>213</v>
      </c>
      <c r="R281" s="158" t="s">
        <v>364</v>
      </c>
    </row>
    <row r="282" spans="1:18" s="33" customFormat="1" ht="48" customHeight="1" x14ac:dyDescent="0.3">
      <c r="A282" s="495" t="s">
        <v>249</v>
      </c>
      <c r="B282" s="485"/>
      <c r="C282" s="485"/>
      <c r="D282" s="485"/>
      <c r="E282" s="485"/>
      <c r="F282" s="485"/>
      <c r="G282" s="485"/>
      <c r="H282" s="486"/>
      <c r="I282" s="72">
        <f>SUM(I281:I281)</f>
        <v>3034.3549751462961</v>
      </c>
      <c r="J282" s="487" t="s">
        <v>250</v>
      </c>
      <c r="K282" s="488"/>
      <c r="L282" s="489"/>
      <c r="M282" s="488"/>
      <c r="N282" s="488"/>
      <c r="O282" s="488"/>
      <c r="P282" s="490"/>
      <c r="Q282" s="161"/>
      <c r="R282" s="190" t="s">
        <v>213</v>
      </c>
    </row>
    <row r="283" spans="1:18" ht="15.75" customHeight="1" x14ac:dyDescent="0.3">
      <c r="A283" s="4"/>
      <c r="B283" s="4"/>
      <c r="C283" s="120"/>
      <c r="D283" s="120"/>
      <c r="E283" s="120"/>
      <c r="F283" s="120"/>
      <c r="G283" s="120"/>
      <c r="H283" s="120"/>
      <c r="I283" s="120"/>
      <c r="J283" s="120"/>
      <c r="K283" s="120"/>
      <c r="L283" s="120"/>
      <c r="M283" s="120"/>
      <c r="N283" s="120"/>
      <c r="O283" s="120"/>
      <c r="P283" s="120"/>
      <c r="Q283" s="120"/>
      <c r="R283" s="5"/>
    </row>
    <row r="284" spans="1:18" ht="30.75" customHeight="1" x14ac:dyDescent="0.3">
      <c r="A284" s="442">
        <f>A273+1</f>
        <v>22</v>
      </c>
      <c r="B284" s="443"/>
      <c r="C284" s="443"/>
      <c r="D284" s="444"/>
      <c r="E284" s="445" t="str">
        <f>VLOOKUP(A284,'LISTA DE OFERENTES'!$A$6:$B$38,2,FALSE)</f>
        <v>CJS INGENIERIA SAS</v>
      </c>
      <c r="F284" s="446"/>
      <c r="G284" s="446"/>
      <c r="H284" s="446"/>
      <c r="I284" s="446"/>
      <c r="J284" s="446"/>
      <c r="K284" s="446"/>
      <c r="L284" s="446"/>
      <c r="M284" s="446"/>
      <c r="N284" s="446"/>
      <c r="O284" s="446"/>
      <c r="P284" s="446"/>
      <c r="Q284" s="446"/>
      <c r="R284" s="447"/>
    </row>
    <row r="285" spans="1:18" ht="50.25" customHeight="1" x14ac:dyDescent="0.3">
      <c r="A285" s="28" t="s">
        <v>215</v>
      </c>
      <c r="B285" s="85">
        <v>3</v>
      </c>
      <c r="C285" s="29" t="s">
        <v>216</v>
      </c>
      <c r="D285" s="68">
        <f>+$E$506</f>
        <v>1649.6083550000001</v>
      </c>
      <c r="E285" s="448"/>
      <c r="F285" s="449"/>
      <c r="G285" s="449"/>
      <c r="H285" s="449"/>
      <c r="I285" s="449"/>
      <c r="J285" s="449"/>
      <c r="K285" s="449"/>
      <c r="L285" s="449"/>
      <c r="M285" s="449"/>
      <c r="N285" s="449"/>
      <c r="O285" s="449"/>
      <c r="P285" s="449"/>
      <c r="Q285" s="449"/>
      <c r="R285" s="450"/>
    </row>
    <row r="286" spans="1:18" ht="30" customHeight="1" x14ac:dyDescent="0.3">
      <c r="A286" s="454" t="s">
        <v>217</v>
      </c>
      <c r="B286" s="455"/>
      <c r="C286" s="70">
        <f>IF(B285&lt;3,0.75,IF(B285&lt;5,1.2,1.5))</f>
        <v>1.2</v>
      </c>
      <c r="D286" s="71">
        <f>+D285*C286</f>
        <v>1979.5300259999999</v>
      </c>
      <c r="E286" s="448"/>
      <c r="F286" s="449"/>
      <c r="G286" s="449"/>
      <c r="H286" s="449"/>
      <c r="I286" s="449"/>
      <c r="J286" s="449"/>
      <c r="K286" s="449"/>
      <c r="L286" s="449"/>
      <c r="M286" s="449"/>
      <c r="N286" s="449"/>
      <c r="O286" s="449"/>
      <c r="P286" s="449"/>
      <c r="Q286" s="449"/>
      <c r="R286" s="450"/>
    </row>
    <row r="287" spans="1:18" ht="30" customHeight="1" x14ac:dyDescent="0.3">
      <c r="A287" s="456" t="s">
        <v>218</v>
      </c>
      <c r="B287" s="455"/>
      <c r="C287" s="457">
        <v>44832</v>
      </c>
      <c r="D287" s="458"/>
      <c r="E287" s="448"/>
      <c r="F287" s="449"/>
      <c r="G287" s="449"/>
      <c r="H287" s="449"/>
      <c r="I287" s="449"/>
      <c r="J287" s="449"/>
      <c r="K287" s="449"/>
      <c r="L287" s="449"/>
      <c r="M287" s="449"/>
      <c r="N287" s="449"/>
      <c r="O287" s="449"/>
      <c r="P287" s="449"/>
      <c r="Q287" s="449"/>
      <c r="R287" s="450"/>
    </row>
    <row r="288" spans="1:18" ht="30" customHeight="1" x14ac:dyDescent="0.3">
      <c r="A288" s="459" t="s">
        <v>219</v>
      </c>
      <c r="B288" s="460"/>
      <c r="C288" s="472" t="str">
        <f>+IF(I295&gt;D286,"CUMPLE","NO CUMPLE")</f>
        <v>CUMPLE</v>
      </c>
      <c r="D288" s="473"/>
      <c r="E288" s="451"/>
      <c r="F288" s="452"/>
      <c r="G288" s="452"/>
      <c r="H288" s="452"/>
      <c r="I288" s="452"/>
      <c r="J288" s="452"/>
      <c r="K288" s="452"/>
      <c r="L288" s="452"/>
      <c r="M288" s="452"/>
      <c r="N288" s="452"/>
      <c r="O288" s="452"/>
      <c r="P288" s="452"/>
      <c r="Q288" s="452"/>
      <c r="R288" s="453"/>
    </row>
    <row r="289" spans="1:18" ht="55.5" customHeight="1" x14ac:dyDescent="0.3">
      <c r="A289" s="474" t="s">
        <v>220</v>
      </c>
      <c r="B289" s="475"/>
      <c r="C289" s="475"/>
      <c r="D289" s="475"/>
      <c r="E289" s="475"/>
      <c r="F289" s="475"/>
      <c r="G289" s="475"/>
      <c r="H289" s="475"/>
      <c r="I289" s="476"/>
      <c r="J289" s="81" t="s">
        <v>221</v>
      </c>
      <c r="K289" s="103" t="s">
        <v>222</v>
      </c>
      <c r="L289" s="477" t="s">
        <v>223</v>
      </c>
      <c r="M289" s="476"/>
      <c r="N289" s="478" t="s">
        <v>224</v>
      </c>
      <c r="O289" s="480" t="s">
        <v>225</v>
      </c>
      <c r="P289" s="481"/>
      <c r="Q289" s="478" t="s">
        <v>226</v>
      </c>
      <c r="R289" s="461" t="s">
        <v>227</v>
      </c>
    </row>
    <row r="290" spans="1:18" ht="77.25" customHeight="1" x14ac:dyDescent="0.3">
      <c r="A290" s="82" t="s">
        <v>228</v>
      </c>
      <c r="B290" s="463" t="s">
        <v>229</v>
      </c>
      <c r="C290" s="464"/>
      <c r="D290" s="83" t="s">
        <v>230</v>
      </c>
      <c r="E290" s="83" t="s">
        <v>231</v>
      </c>
      <c r="F290" s="83" t="s">
        <v>232</v>
      </c>
      <c r="G290" s="83" t="s">
        <v>233</v>
      </c>
      <c r="H290" s="116" t="s">
        <v>234</v>
      </c>
      <c r="I290" s="116" t="s">
        <v>235</v>
      </c>
      <c r="J290" s="84" t="s">
        <v>236</v>
      </c>
      <c r="K290" s="84" t="s">
        <v>237</v>
      </c>
      <c r="L290" s="84" t="s">
        <v>238</v>
      </c>
      <c r="M290" s="84" t="s">
        <v>239</v>
      </c>
      <c r="N290" s="479"/>
      <c r="O290" s="482"/>
      <c r="P290" s="483"/>
      <c r="Q290" s="479"/>
      <c r="R290" s="462"/>
    </row>
    <row r="291" spans="1:18" ht="39.9" customHeight="1" x14ac:dyDescent="0.3">
      <c r="A291" s="86">
        <f>VLOOKUP(A284,'LISTA DE OFERENTES'!$A$6:$R$38,7,FALSE)</f>
        <v>0</v>
      </c>
      <c r="B291" s="87"/>
      <c r="C291" s="87"/>
      <c r="D291" s="87"/>
      <c r="E291" s="87"/>
      <c r="F291" s="87"/>
      <c r="G291" s="87"/>
      <c r="H291" s="87"/>
      <c r="I291" s="87"/>
      <c r="J291" s="87"/>
      <c r="K291" s="87"/>
      <c r="L291" s="491"/>
      <c r="M291" s="87"/>
      <c r="N291" s="87"/>
      <c r="O291" s="162" t="s">
        <v>241</v>
      </c>
      <c r="P291" s="87"/>
      <c r="Q291" s="159"/>
      <c r="R291" s="188"/>
    </row>
    <row r="292" spans="1:18" s="33" customFormat="1" ht="150" customHeight="1" x14ac:dyDescent="0.3">
      <c r="A292" s="119" t="s">
        <v>365</v>
      </c>
      <c r="B292" s="498" t="s">
        <v>243</v>
      </c>
      <c r="C292" s="467"/>
      <c r="D292" s="23">
        <v>10297930442</v>
      </c>
      <c r="E292" s="69">
        <v>2019</v>
      </c>
      <c r="F292" s="69">
        <f>4203.73+970+309+818+4653+705+287+491+2672</f>
        <v>15108.73</v>
      </c>
      <c r="G292" s="24">
        <f>D292/(VLOOKUP(E292,$D$533:$E$564,2,FALSE))</f>
        <v>12435.371906834309</v>
      </c>
      <c r="H292" s="3">
        <v>0.4</v>
      </c>
      <c r="I292" s="24">
        <f>H292*G292</f>
        <v>4974.1487627337237</v>
      </c>
      <c r="J292" s="100">
        <v>43822</v>
      </c>
      <c r="K292" s="209" t="s">
        <v>366</v>
      </c>
      <c r="L292" s="492"/>
      <c r="M292" s="31">
        <f>I292</f>
        <v>4974.1487627337237</v>
      </c>
      <c r="N292" s="119" t="s">
        <v>213</v>
      </c>
      <c r="O292" s="186" t="str">
        <f>+CONCATENATE(FIXED(F292*H292,2)," ","m2")</f>
        <v>6.043,49 m2</v>
      </c>
      <c r="P292" s="215" t="s">
        <v>213</v>
      </c>
      <c r="Q292" s="216" t="s">
        <v>213</v>
      </c>
      <c r="R292" s="216" t="s">
        <v>367</v>
      </c>
    </row>
    <row r="293" spans="1:18" s="33" customFormat="1" ht="150" customHeight="1" x14ac:dyDescent="0.3">
      <c r="A293" s="119" t="s">
        <v>368</v>
      </c>
      <c r="B293" s="498" t="s">
        <v>243</v>
      </c>
      <c r="C293" s="467"/>
      <c r="D293" s="23">
        <v>13905050471</v>
      </c>
      <c r="E293" s="69">
        <v>2020</v>
      </c>
      <c r="F293" s="69">
        <v>30823.94</v>
      </c>
      <c r="G293" s="24">
        <f>D293/(VLOOKUP(E293,$D$533:$E$564,2,FALSE))</f>
        <v>15840.741568438476</v>
      </c>
      <c r="H293" s="3">
        <v>0.35</v>
      </c>
      <c r="I293" s="24">
        <f>H293*G293</f>
        <v>5544.259548953466</v>
      </c>
      <c r="J293" s="100">
        <v>43840</v>
      </c>
      <c r="K293" s="209" t="s">
        <v>366</v>
      </c>
      <c r="L293" s="492"/>
      <c r="M293" s="31">
        <f>I293</f>
        <v>5544.259548953466</v>
      </c>
      <c r="N293" s="119" t="s">
        <v>213</v>
      </c>
      <c r="O293" s="214" t="str">
        <f>+CONCATENATE(FIXED(F293*H293,2)," ","m2")</f>
        <v>10.788,38 m2</v>
      </c>
      <c r="P293" s="216" t="s">
        <v>213</v>
      </c>
      <c r="Q293" s="216" t="s">
        <v>213</v>
      </c>
      <c r="R293" s="216"/>
    </row>
    <row r="294" spans="1:18" s="33" customFormat="1" ht="150" customHeight="1" x14ac:dyDescent="0.3">
      <c r="A294" s="119" t="s">
        <v>369</v>
      </c>
      <c r="B294" s="498"/>
      <c r="C294" s="467"/>
      <c r="D294" s="23"/>
      <c r="E294" s="69"/>
      <c r="F294" s="69"/>
      <c r="G294" s="24"/>
      <c r="H294" s="3"/>
      <c r="I294" s="24"/>
      <c r="J294" s="100"/>
      <c r="K294" s="30"/>
      <c r="L294" s="492"/>
      <c r="M294" s="31"/>
      <c r="N294" s="119"/>
      <c r="O294" s="214"/>
      <c r="P294" s="158"/>
      <c r="Q294" s="158"/>
      <c r="R294" s="158" t="s">
        <v>370</v>
      </c>
    </row>
    <row r="295" spans="1:18" s="33" customFormat="1" ht="48" customHeight="1" x14ac:dyDescent="0.3">
      <c r="A295" s="495" t="s">
        <v>249</v>
      </c>
      <c r="B295" s="485"/>
      <c r="C295" s="485"/>
      <c r="D295" s="485"/>
      <c r="E295" s="485"/>
      <c r="F295" s="485"/>
      <c r="G295" s="485"/>
      <c r="H295" s="486"/>
      <c r="I295" s="72">
        <f>SUM(I292:I294)</f>
        <v>10518.40831168719</v>
      </c>
      <c r="J295" s="487" t="s">
        <v>250</v>
      </c>
      <c r="K295" s="488"/>
      <c r="L295" s="488"/>
      <c r="M295" s="488"/>
      <c r="N295" s="489"/>
      <c r="O295" s="489"/>
      <c r="P295" s="509"/>
      <c r="Q295" s="161"/>
      <c r="R295" s="190" t="s">
        <v>213</v>
      </c>
    </row>
    <row r="296" spans="1:18" ht="15.6" x14ac:dyDescent="0.3">
      <c r="A296" s="4"/>
      <c r="B296" s="4"/>
      <c r="C296" s="4"/>
      <c r="D296" s="4"/>
      <c r="E296" s="4"/>
      <c r="F296" s="4"/>
      <c r="G296" s="4"/>
      <c r="H296" s="4"/>
      <c r="I296" s="4"/>
      <c r="J296" s="4"/>
      <c r="K296" s="4"/>
      <c r="L296" s="4"/>
      <c r="M296" s="4"/>
      <c r="N296" s="5"/>
      <c r="O296" s="5"/>
      <c r="P296" s="5"/>
      <c r="Q296" s="5"/>
      <c r="R296" s="5"/>
    </row>
    <row r="297" spans="1:18" ht="30.75" customHeight="1" x14ac:dyDescent="0.3">
      <c r="A297" s="442">
        <f>A284+1</f>
        <v>23</v>
      </c>
      <c r="B297" s="443"/>
      <c r="C297" s="443"/>
      <c r="D297" s="444"/>
      <c r="E297" s="445" t="s">
        <v>134</v>
      </c>
      <c r="F297" s="446"/>
      <c r="G297" s="446"/>
      <c r="H297" s="446"/>
      <c r="I297" s="446"/>
      <c r="J297" s="446"/>
      <c r="K297" s="446"/>
      <c r="L297" s="446"/>
      <c r="M297" s="446"/>
      <c r="N297" s="446"/>
      <c r="O297" s="446"/>
      <c r="P297" s="446"/>
      <c r="Q297" s="446"/>
      <c r="R297" s="447"/>
    </row>
    <row r="298" spans="1:18" ht="50.25" customHeight="1" x14ac:dyDescent="0.3">
      <c r="A298" s="28" t="s">
        <v>215</v>
      </c>
      <c r="B298" s="85">
        <v>4</v>
      </c>
      <c r="C298" s="29" t="s">
        <v>216</v>
      </c>
      <c r="D298" s="68">
        <f>+$E$506</f>
        <v>1649.6083550000001</v>
      </c>
      <c r="E298" s="448"/>
      <c r="F298" s="449"/>
      <c r="G298" s="449"/>
      <c r="H298" s="449"/>
      <c r="I298" s="449"/>
      <c r="J298" s="449"/>
      <c r="K298" s="449"/>
      <c r="L298" s="449"/>
      <c r="M298" s="449"/>
      <c r="N298" s="449"/>
      <c r="O298" s="449"/>
      <c r="P298" s="449"/>
      <c r="Q298" s="449"/>
      <c r="R298" s="450"/>
    </row>
    <row r="299" spans="1:18" ht="30" customHeight="1" x14ac:dyDescent="0.3">
      <c r="A299" s="454" t="s">
        <v>217</v>
      </c>
      <c r="B299" s="455"/>
      <c r="C299" s="70">
        <f>IF(B298&lt;3,0.75,IF(B298&lt;5,1.2,1.5))</f>
        <v>1.2</v>
      </c>
      <c r="D299" s="71">
        <f>+D298*C299</f>
        <v>1979.5300259999999</v>
      </c>
      <c r="E299" s="448"/>
      <c r="F299" s="449"/>
      <c r="G299" s="449"/>
      <c r="H299" s="449"/>
      <c r="I299" s="449"/>
      <c r="J299" s="449"/>
      <c r="K299" s="449"/>
      <c r="L299" s="449"/>
      <c r="M299" s="449"/>
      <c r="N299" s="449"/>
      <c r="O299" s="449"/>
      <c r="P299" s="449"/>
      <c r="Q299" s="449"/>
      <c r="R299" s="450"/>
    </row>
    <row r="300" spans="1:18" ht="30" customHeight="1" x14ac:dyDescent="0.3">
      <c r="A300" s="456" t="s">
        <v>218</v>
      </c>
      <c r="B300" s="455"/>
      <c r="C300" s="457">
        <v>44832</v>
      </c>
      <c r="D300" s="458"/>
      <c r="E300" s="448"/>
      <c r="F300" s="449"/>
      <c r="G300" s="449"/>
      <c r="H300" s="449"/>
      <c r="I300" s="449"/>
      <c r="J300" s="449"/>
      <c r="K300" s="449"/>
      <c r="L300" s="449"/>
      <c r="M300" s="449"/>
      <c r="N300" s="449"/>
      <c r="O300" s="449"/>
      <c r="P300" s="449"/>
      <c r="Q300" s="449"/>
      <c r="R300" s="450"/>
    </row>
    <row r="301" spans="1:18" ht="30" customHeight="1" x14ac:dyDescent="0.3">
      <c r="A301" s="459" t="s">
        <v>219</v>
      </c>
      <c r="B301" s="460"/>
      <c r="C301" s="472" t="str">
        <f>+IF(I310&gt;D299,"CUMPLE","NO CUMPLE")</f>
        <v>CUMPLE</v>
      </c>
      <c r="D301" s="473"/>
      <c r="E301" s="451"/>
      <c r="F301" s="452"/>
      <c r="G301" s="452"/>
      <c r="H301" s="452"/>
      <c r="I301" s="452"/>
      <c r="J301" s="452"/>
      <c r="K301" s="452"/>
      <c r="L301" s="452"/>
      <c r="M301" s="452"/>
      <c r="N301" s="452"/>
      <c r="O301" s="452"/>
      <c r="P301" s="452"/>
      <c r="Q301" s="452"/>
      <c r="R301" s="453"/>
    </row>
    <row r="302" spans="1:18" ht="55.5" customHeight="1" x14ac:dyDescent="0.3">
      <c r="A302" s="474" t="s">
        <v>220</v>
      </c>
      <c r="B302" s="475"/>
      <c r="C302" s="475"/>
      <c r="D302" s="475"/>
      <c r="E302" s="475"/>
      <c r="F302" s="475"/>
      <c r="G302" s="475"/>
      <c r="H302" s="475"/>
      <c r="I302" s="476"/>
      <c r="J302" s="81" t="s">
        <v>221</v>
      </c>
      <c r="K302" s="103" t="s">
        <v>222</v>
      </c>
      <c r="L302" s="477" t="s">
        <v>223</v>
      </c>
      <c r="M302" s="476"/>
      <c r="N302" s="478" t="s">
        <v>224</v>
      </c>
      <c r="O302" s="480" t="s">
        <v>225</v>
      </c>
      <c r="P302" s="481"/>
      <c r="Q302" s="478" t="s">
        <v>226</v>
      </c>
      <c r="R302" s="461" t="s">
        <v>227</v>
      </c>
    </row>
    <row r="303" spans="1:18" ht="77.25" customHeight="1" x14ac:dyDescent="0.3">
      <c r="A303" s="82" t="s">
        <v>228</v>
      </c>
      <c r="B303" s="463" t="s">
        <v>229</v>
      </c>
      <c r="C303" s="464"/>
      <c r="D303" s="83" t="s">
        <v>230</v>
      </c>
      <c r="E303" s="83" t="s">
        <v>231</v>
      </c>
      <c r="F303" s="83" t="s">
        <v>232</v>
      </c>
      <c r="G303" s="83" t="s">
        <v>233</v>
      </c>
      <c r="H303" s="116" t="s">
        <v>234</v>
      </c>
      <c r="I303" s="116" t="s">
        <v>235</v>
      </c>
      <c r="J303" s="84" t="s">
        <v>236</v>
      </c>
      <c r="K303" s="84" t="s">
        <v>237</v>
      </c>
      <c r="L303" s="191" t="s">
        <v>238</v>
      </c>
      <c r="M303" s="84" t="s">
        <v>239</v>
      </c>
      <c r="N303" s="479"/>
      <c r="O303" s="482"/>
      <c r="P303" s="483"/>
      <c r="Q303" s="479"/>
      <c r="R303" s="462"/>
    </row>
    <row r="304" spans="1:18" ht="39.9" customHeight="1" x14ac:dyDescent="0.3">
      <c r="A304" s="213" t="s">
        <v>138</v>
      </c>
      <c r="B304" s="159"/>
      <c r="C304" s="159"/>
      <c r="D304" s="159"/>
      <c r="E304" s="159"/>
      <c r="F304" s="159"/>
      <c r="G304" s="159"/>
      <c r="H304" s="159"/>
      <c r="I304" s="159"/>
      <c r="J304" s="159"/>
      <c r="K304" s="159"/>
      <c r="L304" s="510" t="s">
        <v>138</v>
      </c>
      <c r="M304" s="159"/>
      <c r="N304" s="159"/>
      <c r="O304" s="202" t="s">
        <v>241</v>
      </c>
      <c r="P304" s="159"/>
      <c r="Q304" s="159"/>
      <c r="R304" s="188"/>
    </row>
    <row r="305" spans="1:18" s="33" customFormat="1" ht="246" customHeight="1" x14ac:dyDescent="0.3">
      <c r="A305" s="150" t="s">
        <v>371</v>
      </c>
      <c r="B305" s="514" t="s">
        <v>243</v>
      </c>
      <c r="C305" s="514"/>
      <c r="D305" s="204">
        <v>7873213783</v>
      </c>
      <c r="E305" s="205">
        <v>2001</v>
      </c>
      <c r="F305" s="205">
        <v>12029</v>
      </c>
      <c r="G305" s="206">
        <f>D305/(VLOOKUP(E305,$D$533:$E$564,2,FALSE))</f>
        <v>27528.719520979022</v>
      </c>
      <c r="H305" s="207">
        <v>0.54</v>
      </c>
      <c r="I305" s="206">
        <f>H305*G305</f>
        <v>14865.508541328672</v>
      </c>
      <c r="J305" s="208">
        <v>37163</v>
      </c>
      <c r="K305" s="209" t="s">
        <v>372</v>
      </c>
      <c r="L305" s="511"/>
      <c r="M305" s="200">
        <f>I305</f>
        <v>14865.508541328672</v>
      </c>
      <c r="N305" s="158" t="s">
        <v>213</v>
      </c>
      <c r="O305" s="201" t="str">
        <f>+CONCATENATE(FIXED(F305*H305,2)," ","m2")</f>
        <v>6.495,66 m2</v>
      </c>
      <c r="P305" s="158" t="s">
        <v>213</v>
      </c>
      <c r="Q305" s="158" t="s">
        <v>213</v>
      </c>
      <c r="R305" s="158"/>
    </row>
    <row r="306" spans="1:18" s="33" customFormat="1" ht="150" customHeight="1" x14ac:dyDescent="0.3">
      <c r="A306" s="203" t="s">
        <v>373</v>
      </c>
      <c r="B306" s="514" t="s">
        <v>243</v>
      </c>
      <c r="C306" s="514"/>
      <c r="D306" s="204">
        <v>860303344.26999998</v>
      </c>
      <c r="E306" s="205">
        <v>2000</v>
      </c>
      <c r="F306" s="205"/>
      <c r="G306" s="206">
        <f>D306/(VLOOKUP(E306,$D$533:$E$564,2,FALSE))</f>
        <v>3307.5868676278355</v>
      </c>
      <c r="H306" s="210">
        <v>1</v>
      </c>
      <c r="I306" s="206"/>
      <c r="J306" s="208">
        <v>36696</v>
      </c>
      <c r="K306" s="209" t="s">
        <v>374</v>
      </c>
      <c r="L306" s="511"/>
      <c r="M306" s="200">
        <f t="shared" ref="M306:M308" si="7">I306</f>
        <v>0</v>
      </c>
      <c r="N306" s="158" t="s">
        <v>213</v>
      </c>
      <c r="O306" s="201"/>
      <c r="P306" s="158"/>
      <c r="Q306" s="158"/>
      <c r="R306" s="158" t="s">
        <v>375</v>
      </c>
    </row>
    <row r="307" spans="1:18" ht="39.9" customHeight="1" x14ac:dyDescent="0.3">
      <c r="A307" s="515" t="s">
        <v>136</v>
      </c>
      <c r="B307" s="516"/>
      <c r="C307" s="516"/>
      <c r="D307" s="516"/>
      <c r="E307" s="516"/>
      <c r="F307" s="516"/>
      <c r="G307" s="516"/>
      <c r="H307" s="516"/>
      <c r="I307" s="516"/>
      <c r="J307" s="516"/>
      <c r="K307" s="517"/>
      <c r="L307" s="512"/>
      <c r="M307" s="212"/>
      <c r="N307" s="211"/>
      <c r="O307" s="211"/>
      <c r="P307" s="211"/>
      <c r="Q307" s="160"/>
      <c r="R307" s="189"/>
    </row>
    <row r="308" spans="1:18" s="33" customFormat="1" ht="150" customHeight="1" x14ac:dyDescent="0.3">
      <c r="A308" s="150" t="s">
        <v>376</v>
      </c>
      <c r="B308" s="498" t="s">
        <v>377</v>
      </c>
      <c r="C308" s="467"/>
      <c r="D308" s="23">
        <v>2870206082</v>
      </c>
      <c r="E308" s="69">
        <v>2016</v>
      </c>
      <c r="F308" s="69"/>
      <c r="G308" s="24">
        <f t="shared" ref="G308" si="8">D308/(VLOOKUP(E308,$D$533:$E$564,2,FALSE))</f>
        <v>4163.0071317199818</v>
      </c>
      <c r="H308" s="3">
        <v>0.25</v>
      </c>
      <c r="I308" s="24"/>
      <c r="J308" s="100">
        <v>42417</v>
      </c>
      <c r="K308" s="30" t="s">
        <v>378</v>
      </c>
      <c r="L308" s="512"/>
      <c r="M308" s="31">
        <f t="shared" si="7"/>
        <v>0</v>
      </c>
      <c r="N308" s="119" t="s">
        <v>213</v>
      </c>
      <c r="O308" s="186"/>
      <c r="P308" s="150"/>
      <c r="Q308" s="158" t="s">
        <v>213</v>
      </c>
      <c r="R308" s="158" t="s">
        <v>379</v>
      </c>
    </row>
    <row r="309" spans="1:18" s="33" customFormat="1" ht="150" customHeight="1" x14ac:dyDescent="0.3">
      <c r="A309" s="119" t="s">
        <v>380</v>
      </c>
      <c r="B309" s="498" t="s">
        <v>377</v>
      </c>
      <c r="C309" s="467"/>
      <c r="D309" s="23">
        <v>3304254990</v>
      </c>
      <c r="E309" s="69">
        <v>2016</v>
      </c>
      <c r="F309" s="69">
        <f>1474.7+5857.31+852.65</f>
        <v>8184.66</v>
      </c>
      <c r="G309" s="24">
        <f>D309/(VLOOKUP(E309,$D$533:$E$564,2,FALSE))</f>
        <v>4792.5607762653108</v>
      </c>
      <c r="H309" s="3">
        <v>0.33</v>
      </c>
      <c r="I309" s="24">
        <f>H309*G309</f>
        <v>1581.5450561675527</v>
      </c>
      <c r="J309" s="100">
        <v>42486</v>
      </c>
      <c r="K309" s="30"/>
      <c r="L309" s="513"/>
      <c r="M309" s="31">
        <f>I309</f>
        <v>1581.5450561675527</v>
      </c>
      <c r="N309" s="119" t="s">
        <v>213</v>
      </c>
      <c r="O309" s="186" t="str">
        <f>+CONCATENATE(FIXED(F309*H309,2)," ","m2")</f>
        <v>2.700,94 m2</v>
      </c>
      <c r="P309" s="150" t="s">
        <v>213</v>
      </c>
      <c r="Q309" s="158" t="s">
        <v>213</v>
      </c>
      <c r="R309" s="158" t="s">
        <v>381</v>
      </c>
    </row>
    <row r="310" spans="1:18" s="33" customFormat="1" ht="48" customHeight="1" x14ac:dyDescent="0.3">
      <c r="A310" s="495" t="s">
        <v>249</v>
      </c>
      <c r="B310" s="485"/>
      <c r="C310" s="485"/>
      <c r="D310" s="485"/>
      <c r="E310" s="485"/>
      <c r="F310" s="485"/>
      <c r="G310" s="485"/>
      <c r="H310" s="486"/>
      <c r="I310" s="72">
        <f>SUM(I305:I309)</f>
        <v>16447.053597496226</v>
      </c>
      <c r="J310" s="487" t="s">
        <v>250</v>
      </c>
      <c r="K310" s="488"/>
      <c r="L310" s="489"/>
      <c r="M310" s="488"/>
      <c r="N310" s="488"/>
      <c r="O310" s="488"/>
      <c r="P310" s="490"/>
      <c r="Q310" s="161"/>
      <c r="R310" s="190" t="s">
        <v>213</v>
      </c>
    </row>
    <row r="311" spans="1:18" ht="15.6" x14ac:dyDescent="0.3">
      <c r="A311" s="4"/>
      <c r="B311" s="4"/>
      <c r="C311" s="4"/>
      <c r="D311" s="4"/>
      <c r="E311" s="4"/>
      <c r="F311" s="4"/>
      <c r="G311" s="4"/>
      <c r="H311" s="4"/>
      <c r="I311" s="4"/>
      <c r="J311" s="4"/>
      <c r="K311" s="4"/>
      <c r="L311" s="4"/>
      <c r="M311" s="4"/>
      <c r="N311" s="5"/>
      <c r="O311" s="5"/>
      <c r="P311" s="5"/>
      <c r="Q311" s="5"/>
      <c r="R311" s="5"/>
    </row>
    <row r="312" spans="1:18" ht="30.75" customHeight="1" x14ac:dyDescent="0.3">
      <c r="A312" s="442">
        <f>A297+1</f>
        <v>24</v>
      </c>
      <c r="B312" s="443"/>
      <c r="C312" s="443"/>
      <c r="D312" s="444"/>
      <c r="E312" s="445" t="str">
        <f>VLOOKUP(A312,'LISTA DE OFERENTES'!$A$6:$B$38,2,FALSE)</f>
        <v>BYR CONSTRUCCIONES SAS</v>
      </c>
      <c r="F312" s="446"/>
      <c r="G312" s="446"/>
      <c r="H312" s="446"/>
      <c r="I312" s="446"/>
      <c r="J312" s="446"/>
      <c r="K312" s="446"/>
      <c r="L312" s="446"/>
      <c r="M312" s="446"/>
      <c r="N312" s="446"/>
      <c r="O312" s="446"/>
      <c r="P312" s="446"/>
      <c r="Q312" s="446"/>
      <c r="R312" s="447"/>
    </row>
    <row r="313" spans="1:18" ht="50.25" customHeight="1" x14ac:dyDescent="0.3">
      <c r="A313" s="28" t="s">
        <v>215</v>
      </c>
      <c r="B313" s="85">
        <v>2</v>
      </c>
      <c r="C313" s="29" t="s">
        <v>216</v>
      </c>
      <c r="D313" s="68">
        <f>+$E$506</f>
        <v>1649.6083550000001</v>
      </c>
      <c r="E313" s="448"/>
      <c r="F313" s="449"/>
      <c r="G313" s="449"/>
      <c r="H313" s="449"/>
      <c r="I313" s="449"/>
      <c r="J313" s="449"/>
      <c r="K313" s="449"/>
      <c r="L313" s="449"/>
      <c r="M313" s="449"/>
      <c r="N313" s="449"/>
      <c r="O313" s="449"/>
      <c r="P313" s="449"/>
      <c r="Q313" s="449"/>
      <c r="R313" s="450"/>
    </row>
    <row r="314" spans="1:18" ht="30" customHeight="1" x14ac:dyDescent="0.3">
      <c r="A314" s="454" t="s">
        <v>217</v>
      </c>
      <c r="B314" s="455"/>
      <c r="C314" s="70">
        <f>IF(B313&lt;3,0.75,IF(B313&lt;5,1.2,1.5))</f>
        <v>0.75</v>
      </c>
      <c r="D314" s="71">
        <f>+D313*C314</f>
        <v>1237.20626625</v>
      </c>
      <c r="E314" s="448"/>
      <c r="F314" s="449"/>
      <c r="G314" s="449"/>
      <c r="H314" s="449"/>
      <c r="I314" s="449"/>
      <c r="J314" s="449"/>
      <c r="K314" s="449"/>
      <c r="L314" s="449"/>
      <c r="M314" s="449"/>
      <c r="N314" s="449"/>
      <c r="O314" s="449"/>
      <c r="P314" s="449"/>
      <c r="Q314" s="449"/>
      <c r="R314" s="450"/>
    </row>
    <row r="315" spans="1:18" ht="30" customHeight="1" x14ac:dyDescent="0.3">
      <c r="A315" s="456" t="s">
        <v>218</v>
      </c>
      <c r="B315" s="455"/>
      <c r="C315" s="457">
        <v>44832</v>
      </c>
      <c r="D315" s="458"/>
      <c r="E315" s="448"/>
      <c r="F315" s="449"/>
      <c r="G315" s="449"/>
      <c r="H315" s="449"/>
      <c r="I315" s="449"/>
      <c r="J315" s="449"/>
      <c r="K315" s="449"/>
      <c r="L315" s="449"/>
      <c r="M315" s="449"/>
      <c r="N315" s="449"/>
      <c r="O315" s="449"/>
      <c r="P315" s="449"/>
      <c r="Q315" s="449"/>
      <c r="R315" s="450"/>
    </row>
    <row r="316" spans="1:18" ht="30" customHeight="1" x14ac:dyDescent="0.3">
      <c r="A316" s="459" t="s">
        <v>219</v>
      </c>
      <c r="B316" s="460"/>
      <c r="C316" s="472" t="str">
        <f>+IF(I322&gt;D314,"CUMPLE","NO CUMPLE")</f>
        <v>CUMPLE</v>
      </c>
      <c r="D316" s="473"/>
      <c r="E316" s="451"/>
      <c r="F316" s="452"/>
      <c r="G316" s="452"/>
      <c r="H316" s="452"/>
      <c r="I316" s="452"/>
      <c r="J316" s="452"/>
      <c r="K316" s="452"/>
      <c r="L316" s="452"/>
      <c r="M316" s="452"/>
      <c r="N316" s="452"/>
      <c r="O316" s="452"/>
      <c r="P316" s="452"/>
      <c r="Q316" s="452"/>
      <c r="R316" s="453"/>
    </row>
    <row r="317" spans="1:18" ht="55.5" customHeight="1" x14ac:dyDescent="0.3">
      <c r="A317" s="474" t="s">
        <v>220</v>
      </c>
      <c r="B317" s="475"/>
      <c r="C317" s="475"/>
      <c r="D317" s="475"/>
      <c r="E317" s="475"/>
      <c r="F317" s="475"/>
      <c r="G317" s="475"/>
      <c r="H317" s="475"/>
      <c r="I317" s="476"/>
      <c r="J317" s="81" t="s">
        <v>221</v>
      </c>
      <c r="K317" s="103" t="s">
        <v>222</v>
      </c>
      <c r="L317" s="477" t="s">
        <v>223</v>
      </c>
      <c r="M317" s="476"/>
      <c r="N317" s="478" t="s">
        <v>224</v>
      </c>
      <c r="O317" s="480" t="s">
        <v>225</v>
      </c>
      <c r="P317" s="481"/>
      <c r="Q317" s="478" t="s">
        <v>226</v>
      </c>
      <c r="R317" s="461" t="s">
        <v>227</v>
      </c>
    </row>
    <row r="318" spans="1:18" ht="77.25" customHeight="1" x14ac:dyDescent="0.3">
      <c r="A318" s="82" t="s">
        <v>228</v>
      </c>
      <c r="B318" s="463" t="s">
        <v>229</v>
      </c>
      <c r="C318" s="464"/>
      <c r="D318" s="83" t="s">
        <v>230</v>
      </c>
      <c r="E318" s="83" t="s">
        <v>231</v>
      </c>
      <c r="F318" s="83" t="s">
        <v>232</v>
      </c>
      <c r="G318" s="83" t="s">
        <v>233</v>
      </c>
      <c r="H318" s="116" t="s">
        <v>234</v>
      </c>
      <c r="I318" s="116" t="s">
        <v>235</v>
      </c>
      <c r="J318" s="84" t="s">
        <v>236</v>
      </c>
      <c r="K318" s="84" t="s">
        <v>237</v>
      </c>
      <c r="L318" s="191" t="s">
        <v>238</v>
      </c>
      <c r="M318" s="84" t="s">
        <v>239</v>
      </c>
      <c r="N318" s="479"/>
      <c r="O318" s="482"/>
      <c r="P318" s="483"/>
      <c r="Q318" s="479"/>
      <c r="R318" s="462"/>
    </row>
    <row r="319" spans="1:18" ht="39.9" customHeight="1" x14ac:dyDescent="0.3">
      <c r="A319" s="86" t="str">
        <f>+'LISTA DE OFERENTES'!B29</f>
        <v>BYR CONSTRUCCIONES SAS</v>
      </c>
      <c r="B319" s="87"/>
      <c r="C319" s="87"/>
      <c r="D319" s="87"/>
      <c r="E319" s="87"/>
      <c r="F319" s="87"/>
      <c r="G319" s="87"/>
      <c r="H319" s="87"/>
      <c r="I319" s="87"/>
      <c r="J319" s="87"/>
      <c r="K319" s="87"/>
      <c r="L319" s="504" t="str">
        <f>+A319</f>
        <v>BYR CONSTRUCCIONES SAS</v>
      </c>
      <c r="M319" s="87"/>
      <c r="N319" s="87"/>
      <c r="O319" s="162" t="s">
        <v>241</v>
      </c>
      <c r="P319" s="87"/>
      <c r="Q319" s="159"/>
      <c r="R319" s="188"/>
    </row>
    <row r="320" spans="1:18" s="33" customFormat="1" ht="150" customHeight="1" x14ac:dyDescent="0.3">
      <c r="A320" s="219" t="s">
        <v>382</v>
      </c>
      <c r="B320" s="518" t="s">
        <v>383</v>
      </c>
      <c r="C320" s="519"/>
      <c r="D320" s="220">
        <v>24701374844</v>
      </c>
      <c r="E320" s="221">
        <v>2016</v>
      </c>
      <c r="F320" s="221">
        <f>2486.84+782.71+1202.33+1457.3+65.76+725.42+4746.71+731.96+976.44</f>
        <v>13175.47</v>
      </c>
      <c r="G320" s="218">
        <f>D320/(VLOOKUP(E320,$D$533:$E$564,2,FALSE))</f>
        <v>35827.392424451195</v>
      </c>
      <c r="H320" s="222">
        <v>0.25</v>
      </c>
      <c r="I320" s="218">
        <f>H320*G320</f>
        <v>8956.8481061127986</v>
      </c>
      <c r="J320" s="223">
        <v>42666</v>
      </c>
      <c r="K320" s="224" t="s">
        <v>384</v>
      </c>
      <c r="L320" s="504"/>
      <c r="M320" s="225">
        <f>I320</f>
        <v>8956.8481061127986</v>
      </c>
      <c r="N320" s="219" t="s">
        <v>213</v>
      </c>
      <c r="O320" s="226" t="str">
        <f>+CONCATENATE(FIXED(F320*H320,2)," ","m2")</f>
        <v>3.293,87 m2</v>
      </c>
      <c r="P320" s="215" t="s">
        <v>213</v>
      </c>
      <c r="Q320" s="216" t="s">
        <v>213</v>
      </c>
      <c r="R320" s="216" t="s">
        <v>385</v>
      </c>
    </row>
    <row r="321" spans="1:18" s="33" customFormat="1" ht="150" customHeight="1" x14ac:dyDescent="0.3">
      <c r="A321" s="158" t="s">
        <v>386</v>
      </c>
      <c r="B321" s="520" t="s">
        <v>387</v>
      </c>
      <c r="C321" s="521"/>
      <c r="D321" s="204">
        <v>1407023420</v>
      </c>
      <c r="E321" s="205">
        <v>2016</v>
      </c>
      <c r="F321" s="228">
        <f>184.58+241.2+9171.03+142.74+45.09+5.3+24.47+24.65+15.8+288.01</f>
        <v>10142.869999999999</v>
      </c>
      <c r="G321" s="206">
        <f>D321/(VLOOKUP(E321,$D$533:$E$564,2,FALSE))</f>
        <v>2040.7762943194261</v>
      </c>
      <c r="H321" s="229">
        <v>0.5</v>
      </c>
      <c r="I321" s="206">
        <f>H321*G321</f>
        <v>1020.3881471597131</v>
      </c>
      <c r="J321" s="230">
        <v>42477</v>
      </c>
      <c r="K321" s="224" t="s">
        <v>384</v>
      </c>
      <c r="L321" s="504"/>
      <c r="M321" s="225">
        <f>I321</f>
        <v>1020.3881471597131</v>
      </c>
      <c r="N321" s="158" t="s">
        <v>213</v>
      </c>
      <c r="O321" s="226" t="str">
        <f>+CONCATENATE(FIXED(F321*H321,2)," ","m2")</f>
        <v>5.071,44 m2</v>
      </c>
      <c r="P321" s="158" t="s">
        <v>213</v>
      </c>
      <c r="Q321" s="158" t="s">
        <v>213</v>
      </c>
      <c r="R321" s="216" t="s">
        <v>388</v>
      </c>
    </row>
    <row r="322" spans="1:18" s="33" customFormat="1" ht="48" customHeight="1" x14ac:dyDescent="0.3">
      <c r="A322" s="484" t="s">
        <v>249</v>
      </c>
      <c r="B322" s="522"/>
      <c r="C322" s="522"/>
      <c r="D322" s="522"/>
      <c r="E322" s="522"/>
      <c r="F322" s="522"/>
      <c r="G322" s="522"/>
      <c r="H322" s="523"/>
      <c r="I322" s="227">
        <f>+I320+I321</f>
        <v>9977.236253272511</v>
      </c>
      <c r="J322" s="524" t="s">
        <v>250</v>
      </c>
      <c r="K322" s="525"/>
      <c r="L322" s="489"/>
      <c r="M322" s="525"/>
      <c r="N322" s="525"/>
      <c r="O322" s="525"/>
      <c r="P322" s="526"/>
      <c r="Q322" s="161"/>
      <c r="R322" s="190" t="s">
        <v>213</v>
      </c>
    </row>
    <row r="323" spans="1:18" ht="15.75" customHeight="1" x14ac:dyDescent="0.3">
      <c r="A323" s="4"/>
      <c r="B323" s="4"/>
      <c r="C323" s="120"/>
      <c r="D323" s="120"/>
      <c r="E323" s="120"/>
      <c r="F323" s="120"/>
      <c r="G323" s="120"/>
      <c r="H323" s="120"/>
      <c r="I323" s="120"/>
      <c r="J323" s="120"/>
      <c r="K323" s="120"/>
      <c r="L323" s="120"/>
      <c r="M323" s="120"/>
      <c r="N323" s="120"/>
      <c r="O323" s="120"/>
      <c r="P323" s="120"/>
      <c r="Q323" s="120"/>
      <c r="R323" s="5"/>
    </row>
    <row r="324" spans="1:18" ht="30.75" customHeight="1" x14ac:dyDescent="0.3">
      <c r="A324" s="442">
        <f>A312+1</f>
        <v>25</v>
      </c>
      <c r="B324" s="443"/>
      <c r="C324" s="443"/>
      <c r="D324" s="444"/>
      <c r="E324" s="445" t="str">
        <f>VLOOKUP(A324,'LISTA DE OFERENTES'!$A$6:$B$38,2,FALSE)</f>
        <v>CONSORCIO PANORAMA</v>
      </c>
      <c r="F324" s="446"/>
      <c r="G324" s="446"/>
      <c r="H324" s="446"/>
      <c r="I324" s="446"/>
      <c r="J324" s="446"/>
      <c r="K324" s="446"/>
      <c r="L324" s="446"/>
      <c r="M324" s="446"/>
      <c r="N324" s="446"/>
      <c r="O324" s="446"/>
      <c r="P324" s="446"/>
      <c r="Q324" s="446"/>
      <c r="R324" s="447"/>
    </row>
    <row r="325" spans="1:18" ht="50.25" customHeight="1" x14ac:dyDescent="0.3">
      <c r="A325" s="28" t="s">
        <v>215</v>
      </c>
      <c r="B325" s="85">
        <v>6</v>
      </c>
      <c r="C325" s="29" t="s">
        <v>216</v>
      </c>
      <c r="D325" s="68">
        <f>+$E$506</f>
        <v>1649.6083550000001</v>
      </c>
      <c r="E325" s="448"/>
      <c r="F325" s="449"/>
      <c r="G325" s="449"/>
      <c r="H325" s="449"/>
      <c r="I325" s="449"/>
      <c r="J325" s="449"/>
      <c r="K325" s="449"/>
      <c r="L325" s="449"/>
      <c r="M325" s="449"/>
      <c r="N325" s="449"/>
      <c r="O325" s="449"/>
      <c r="P325" s="449"/>
      <c r="Q325" s="449"/>
      <c r="R325" s="450"/>
    </row>
    <row r="326" spans="1:18" ht="30" customHeight="1" x14ac:dyDescent="0.3">
      <c r="A326" s="454" t="s">
        <v>217</v>
      </c>
      <c r="B326" s="455"/>
      <c r="C326" s="70">
        <f>IF(B325&lt;3,0.75,IF(B325&lt;5,1.2,1.5))</f>
        <v>1.5</v>
      </c>
      <c r="D326" s="71">
        <f>+D325*C326</f>
        <v>2474.4125325</v>
      </c>
      <c r="E326" s="448"/>
      <c r="F326" s="449"/>
      <c r="G326" s="449"/>
      <c r="H326" s="449"/>
      <c r="I326" s="449"/>
      <c r="J326" s="449"/>
      <c r="K326" s="449"/>
      <c r="L326" s="449"/>
      <c r="M326" s="449"/>
      <c r="N326" s="449"/>
      <c r="O326" s="449"/>
      <c r="P326" s="449"/>
      <c r="Q326" s="449"/>
      <c r="R326" s="450"/>
    </row>
    <row r="327" spans="1:18" ht="30" customHeight="1" x14ac:dyDescent="0.3">
      <c r="A327" s="456" t="s">
        <v>218</v>
      </c>
      <c r="B327" s="455"/>
      <c r="C327" s="457">
        <v>44832</v>
      </c>
      <c r="D327" s="458"/>
      <c r="E327" s="448"/>
      <c r="F327" s="449"/>
      <c r="G327" s="449"/>
      <c r="H327" s="449"/>
      <c r="I327" s="449"/>
      <c r="J327" s="449"/>
      <c r="K327" s="449"/>
      <c r="L327" s="449"/>
      <c r="M327" s="449"/>
      <c r="N327" s="449"/>
      <c r="O327" s="449"/>
      <c r="P327" s="449"/>
      <c r="Q327" s="449"/>
      <c r="R327" s="450"/>
    </row>
    <row r="328" spans="1:18" ht="30" customHeight="1" x14ac:dyDescent="0.3">
      <c r="A328" s="459" t="s">
        <v>219</v>
      </c>
      <c r="B328" s="460"/>
      <c r="C328" s="472" t="str">
        <f>+IF(I339&gt;D326,"CUMPLE","NO CUMPLE")</f>
        <v>CUMPLE</v>
      </c>
      <c r="D328" s="473"/>
      <c r="E328" s="451"/>
      <c r="F328" s="452"/>
      <c r="G328" s="452"/>
      <c r="H328" s="452"/>
      <c r="I328" s="452"/>
      <c r="J328" s="452"/>
      <c r="K328" s="452"/>
      <c r="L328" s="452"/>
      <c r="M328" s="452"/>
      <c r="N328" s="452"/>
      <c r="O328" s="452"/>
      <c r="P328" s="452"/>
      <c r="Q328" s="452"/>
      <c r="R328" s="453"/>
    </row>
    <row r="329" spans="1:18" ht="55.5" customHeight="1" x14ac:dyDescent="0.3">
      <c r="A329" s="474" t="s">
        <v>220</v>
      </c>
      <c r="B329" s="475"/>
      <c r="C329" s="475"/>
      <c r="D329" s="475"/>
      <c r="E329" s="475"/>
      <c r="F329" s="475"/>
      <c r="G329" s="475"/>
      <c r="H329" s="475"/>
      <c r="I329" s="476"/>
      <c r="J329" s="81" t="s">
        <v>221</v>
      </c>
      <c r="K329" s="103" t="s">
        <v>222</v>
      </c>
      <c r="L329" s="477" t="s">
        <v>223</v>
      </c>
      <c r="M329" s="476"/>
      <c r="N329" s="478" t="s">
        <v>224</v>
      </c>
      <c r="O329" s="480" t="s">
        <v>225</v>
      </c>
      <c r="P329" s="481"/>
      <c r="Q329" s="478" t="s">
        <v>226</v>
      </c>
      <c r="R329" s="461" t="s">
        <v>227</v>
      </c>
    </row>
    <row r="330" spans="1:18" ht="77.25" customHeight="1" x14ac:dyDescent="0.3">
      <c r="A330" s="82" t="s">
        <v>228</v>
      </c>
      <c r="B330" s="463" t="s">
        <v>229</v>
      </c>
      <c r="C330" s="464"/>
      <c r="D330" s="83" t="s">
        <v>230</v>
      </c>
      <c r="E330" s="83" t="s">
        <v>231</v>
      </c>
      <c r="F330" s="83" t="s">
        <v>232</v>
      </c>
      <c r="G330" s="83" t="s">
        <v>233</v>
      </c>
      <c r="H330" s="116" t="s">
        <v>234</v>
      </c>
      <c r="I330" s="116" t="s">
        <v>235</v>
      </c>
      <c r="J330" s="84" t="s">
        <v>236</v>
      </c>
      <c r="K330" s="84" t="s">
        <v>237</v>
      </c>
      <c r="L330" s="84" t="s">
        <v>238</v>
      </c>
      <c r="M330" s="84" t="s">
        <v>239</v>
      </c>
      <c r="N330" s="479"/>
      <c r="O330" s="482"/>
      <c r="P330" s="483"/>
      <c r="Q330" s="479"/>
      <c r="R330" s="462"/>
    </row>
    <row r="331" spans="1:18" ht="39.9" customHeight="1" x14ac:dyDescent="0.3">
      <c r="A331" s="86" t="str">
        <f>+'LISTA DE OFERENTES'!G30</f>
        <v>INCIVIAS SAS</v>
      </c>
      <c r="B331" s="87"/>
      <c r="C331" s="87"/>
      <c r="D331" s="87"/>
      <c r="E331" s="87"/>
      <c r="F331" s="87"/>
      <c r="G331" s="87"/>
      <c r="H331" s="87"/>
      <c r="I331" s="87"/>
      <c r="J331" s="87"/>
      <c r="K331" s="87"/>
      <c r="L331" s="491" t="str">
        <f>A331</f>
        <v>INCIVIAS SAS</v>
      </c>
      <c r="M331" s="87"/>
      <c r="N331" s="87"/>
      <c r="O331" s="162" t="s">
        <v>241</v>
      </c>
      <c r="P331" s="87"/>
      <c r="Q331" s="159"/>
      <c r="R331" s="188"/>
    </row>
    <row r="332" spans="1:18" s="33" customFormat="1" ht="150" customHeight="1" x14ac:dyDescent="0.3">
      <c r="A332" s="158" t="s">
        <v>389</v>
      </c>
      <c r="B332" s="498" t="s">
        <v>243</v>
      </c>
      <c r="C332" s="467"/>
      <c r="D332" s="23">
        <v>1544811565</v>
      </c>
      <c r="E332" s="69">
        <v>2019</v>
      </c>
      <c r="F332" s="69"/>
      <c r="G332" s="24">
        <f>D332/(VLOOKUP(E332,$D$533:$E$564,2,FALSE))</f>
        <v>1865.453106811123</v>
      </c>
      <c r="H332" s="3">
        <v>0.22</v>
      </c>
      <c r="I332" s="24">
        <f>H332*G332</f>
        <v>410.39968349844708</v>
      </c>
      <c r="J332" s="100">
        <v>43700</v>
      </c>
      <c r="K332" s="30" t="s">
        <v>390</v>
      </c>
      <c r="L332" s="492"/>
      <c r="M332" s="31">
        <f>I332</f>
        <v>410.39968349844708</v>
      </c>
      <c r="N332" s="119" t="s">
        <v>213</v>
      </c>
      <c r="O332" s="186"/>
      <c r="P332" s="150"/>
      <c r="Q332" s="216" t="s">
        <v>213</v>
      </c>
      <c r="R332" s="216" t="s">
        <v>391</v>
      </c>
    </row>
    <row r="333" spans="1:18" s="33" customFormat="1" ht="150" customHeight="1" x14ac:dyDescent="0.3">
      <c r="A333" s="263" t="s">
        <v>392</v>
      </c>
      <c r="B333" s="498" t="s">
        <v>243</v>
      </c>
      <c r="C333" s="467"/>
      <c r="D333" s="23">
        <v>3087313076</v>
      </c>
      <c r="E333" s="69">
        <v>2019</v>
      </c>
      <c r="F333" s="69">
        <v>2426.58</v>
      </c>
      <c r="G333" s="24">
        <f>D333/(VLOOKUP(E333,$D$533:$E$564,2,FALSE))</f>
        <v>3728.1166841360391</v>
      </c>
      <c r="H333" s="3">
        <v>0.72</v>
      </c>
      <c r="I333" s="24">
        <f>H333*G333</f>
        <v>2684.2440125779481</v>
      </c>
      <c r="J333" s="100">
        <v>43819</v>
      </c>
      <c r="K333" s="30" t="s">
        <v>393</v>
      </c>
      <c r="L333" s="492"/>
      <c r="M333" s="31">
        <f>I333</f>
        <v>2684.2440125779481</v>
      </c>
      <c r="N333" s="119" t="s">
        <v>213</v>
      </c>
      <c r="O333" s="226" t="str">
        <f>+CONCATENATE(FIXED(F333*H333,2)," ","m2")</f>
        <v>1.747,14 m2</v>
      </c>
      <c r="P333" s="150" t="s">
        <v>214</v>
      </c>
      <c r="Q333" s="216" t="s">
        <v>213</v>
      </c>
      <c r="R333" s="216" t="s">
        <v>394</v>
      </c>
    </row>
    <row r="334" spans="1:18" s="33" customFormat="1" ht="150" customHeight="1" x14ac:dyDescent="0.3">
      <c r="A334" s="158" t="s">
        <v>395</v>
      </c>
      <c r="B334" s="498" t="s">
        <v>243</v>
      </c>
      <c r="C334" s="467"/>
      <c r="D334" s="23">
        <v>1186327337</v>
      </c>
      <c r="E334" s="69">
        <v>2010</v>
      </c>
      <c r="F334" s="69">
        <f>508.94+856.56+33.35+280.565+345.68+120359+306.235+657.24+606.14+9</f>
        <v>123962.71</v>
      </c>
      <c r="G334" s="24">
        <f>D334/(VLOOKUP(E334,$D$533:$E$564,2,FALSE))</f>
        <v>2303.5482271844662</v>
      </c>
      <c r="H334" s="3">
        <v>1</v>
      </c>
      <c r="I334" s="24">
        <f>H334*G334</f>
        <v>2303.5482271844662</v>
      </c>
      <c r="J334" s="100">
        <v>40452</v>
      </c>
      <c r="K334" s="30" t="s">
        <v>396</v>
      </c>
      <c r="L334" s="492"/>
      <c r="M334" s="31">
        <f>+I334</f>
        <v>2303.5482271844662</v>
      </c>
      <c r="N334" s="119" t="s">
        <v>213</v>
      </c>
      <c r="O334" s="226" t="str">
        <f>+CONCATENATE(FIXED(F334*H334,2)," ","m2")</f>
        <v>123.962,71 m2</v>
      </c>
      <c r="P334" s="150" t="s">
        <v>213</v>
      </c>
      <c r="Q334" s="158" t="s">
        <v>214</v>
      </c>
      <c r="R334" s="216" t="s">
        <v>397</v>
      </c>
    </row>
    <row r="335" spans="1:18" s="33" customFormat="1" ht="150" customHeight="1" x14ac:dyDescent="0.3">
      <c r="A335" s="158" t="s">
        <v>398</v>
      </c>
      <c r="B335" s="498" t="s">
        <v>243</v>
      </c>
      <c r="C335" s="467"/>
      <c r="D335" s="23">
        <v>2039328893</v>
      </c>
      <c r="E335" s="69">
        <v>2006</v>
      </c>
      <c r="F335" s="69">
        <f>75.76+129.52+694.44+233.17+214.57+210.97+432.76+721.48+374.43+74+195.4+507.9+555.94+1601.59+590.41+149.15+394.44+599.44+480.24+343.16+553.57+239.62+86.33+2193.17+257.29+202.89+201.93</f>
        <v>12313.57</v>
      </c>
      <c r="G335" s="24">
        <f>D335/(VLOOKUP(E335,$D$533:$E$564,2,FALSE))</f>
        <v>4998.3551299019609</v>
      </c>
      <c r="H335" s="3">
        <v>0.5</v>
      </c>
      <c r="I335" s="24">
        <f t="shared" ref="I335" si="9">H335*G335</f>
        <v>2499.1775649509805</v>
      </c>
      <c r="J335" s="100">
        <v>39020</v>
      </c>
      <c r="K335" s="30" t="s">
        <v>399</v>
      </c>
      <c r="L335" s="492"/>
      <c r="M335" s="31">
        <f t="shared" ref="M335" si="10">+I335</f>
        <v>2499.1775649509805</v>
      </c>
      <c r="N335" s="119" t="s">
        <v>213</v>
      </c>
      <c r="O335" s="226" t="str">
        <f t="shared" ref="O335" si="11">+CONCATENATE(FIXED(F335*H335,2)," ","m2")</f>
        <v>6.156,79 m2</v>
      </c>
      <c r="P335" s="150" t="s">
        <v>213</v>
      </c>
      <c r="Q335" s="158" t="s">
        <v>214</v>
      </c>
      <c r="R335" s="216" t="s">
        <v>400</v>
      </c>
    </row>
    <row r="336" spans="1:18" s="33" customFormat="1" ht="150" customHeight="1" x14ac:dyDescent="0.3">
      <c r="A336" s="216" t="s">
        <v>401</v>
      </c>
      <c r="B336" s="518" t="s">
        <v>387</v>
      </c>
      <c r="C336" s="519"/>
      <c r="D336" s="220">
        <v>7059100635</v>
      </c>
      <c r="E336" s="221">
        <v>2007</v>
      </c>
      <c r="F336" s="221">
        <f>254.45+3103+10502</f>
        <v>13859.45</v>
      </c>
      <c r="G336" s="218">
        <f>D336/(VLOOKUP(E336,$D$533:$E$564,2,FALSE))</f>
        <v>16276.459845515334</v>
      </c>
      <c r="H336" s="222">
        <v>0.45</v>
      </c>
      <c r="I336" s="218">
        <f>H336*G336</f>
        <v>7324.4069304819004</v>
      </c>
      <c r="J336" s="223">
        <v>39306</v>
      </c>
      <c r="K336" s="224" t="s">
        <v>399</v>
      </c>
      <c r="L336" s="492"/>
      <c r="M336" s="31">
        <f>I336</f>
        <v>7324.4069304819004</v>
      </c>
      <c r="N336" s="119" t="s">
        <v>213</v>
      </c>
      <c r="O336" s="226" t="str">
        <f>+CONCATENATE(FIXED(F336*H336,2)," ","m2")</f>
        <v>6.236,75 m2</v>
      </c>
      <c r="P336" s="150" t="s">
        <v>213</v>
      </c>
      <c r="Q336" s="158" t="s">
        <v>213</v>
      </c>
      <c r="R336" s="216" t="s">
        <v>402</v>
      </c>
    </row>
    <row r="337" spans="1:18" s="33" customFormat="1" ht="50.25" customHeight="1" x14ac:dyDescent="0.3">
      <c r="A337" s="530" t="str">
        <f>+'LISTA DE OFERENTES'!K30</f>
        <v>ID SAS</v>
      </c>
      <c r="B337" s="530"/>
      <c r="C337" s="530"/>
      <c r="D337" s="530"/>
      <c r="E337" s="530"/>
      <c r="F337" s="530"/>
      <c r="G337" s="530"/>
      <c r="H337" s="530"/>
      <c r="I337" s="530"/>
      <c r="J337" s="530"/>
      <c r="K337" s="530"/>
      <c r="L337" s="529"/>
      <c r="M337" s="159"/>
      <c r="N337" s="159"/>
      <c r="O337" s="202" t="s">
        <v>241</v>
      </c>
      <c r="P337" s="159"/>
      <c r="Q337" s="159"/>
      <c r="R337" s="188"/>
    </row>
    <row r="338" spans="1:18" s="33" customFormat="1" ht="244.5" customHeight="1" x14ac:dyDescent="0.3">
      <c r="A338" s="158" t="s">
        <v>403</v>
      </c>
      <c r="B338" s="527" t="s">
        <v>404</v>
      </c>
      <c r="C338" s="527"/>
      <c r="D338" s="233">
        <v>1743610865</v>
      </c>
      <c r="E338" s="205">
        <v>2015</v>
      </c>
      <c r="F338" s="234"/>
      <c r="G338" s="231"/>
      <c r="H338" s="231"/>
      <c r="I338" s="235"/>
      <c r="J338" s="208"/>
      <c r="K338" s="234"/>
      <c r="L338" s="511"/>
      <c r="M338" s="231"/>
      <c r="N338" s="231"/>
      <c r="O338" s="231"/>
      <c r="P338" s="231"/>
      <c r="Q338" s="231"/>
      <c r="R338" s="158" t="s">
        <v>405</v>
      </c>
    </row>
    <row r="339" spans="1:18" s="33" customFormat="1" ht="48" customHeight="1" x14ac:dyDescent="0.3">
      <c r="A339" s="484" t="s">
        <v>249</v>
      </c>
      <c r="B339" s="522"/>
      <c r="C339" s="522"/>
      <c r="D339" s="522"/>
      <c r="E339" s="522"/>
      <c r="F339" s="522"/>
      <c r="G339" s="522"/>
      <c r="H339" s="523"/>
      <c r="I339" s="227">
        <f>SUM(I332:I337)</f>
        <v>15221.776418693742</v>
      </c>
      <c r="J339" s="528" t="s">
        <v>250</v>
      </c>
      <c r="K339" s="489"/>
      <c r="L339" s="488"/>
      <c r="M339" s="489"/>
      <c r="N339" s="489"/>
      <c r="O339" s="489"/>
      <c r="P339" s="509"/>
      <c r="Q339" s="161"/>
      <c r="R339" s="190" t="s">
        <v>213</v>
      </c>
    </row>
    <row r="340" spans="1:18" ht="15.6" x14ac:dyDescent="0.3">
      <c r="A340" s="4"/>
      <c r="B340" s="4" t="s">
        <v>406</v>
      </c>
      <c r="C340" s="4"/>
      <c r="D340" s="4"/>
      <c r="E340" s="4"/>
      <c r="F340" s="4"/>
      <c r="G340" s="4"/>
      <c r="H340" s="4"/>
      <c r="I340" s="4"/>
      <c r="J340" s="4"/>
      <c r="K340" s="4"/>
      <c r="L340" s="4"/>
      <c r="M340" s="4"/>
      <c r="N340" s="5"/>
      <c r="O340" s="5"/>
      <c r="P340" s="5"/>
      <c r="Q340" s="5"/>
      <c r="R340" s="5"/>
    </row>
    <row r="341" spans="1:18" ht="30.75" customHeight="1" x14ac:dyDescent="0.3">
      <c r="A341" s="442">
        <f>A324+1</f>
        <v>26</v>
      </c>
      <c r="B341" s="443"/>
      <c r="C341" s="443"/>
      <c r="D341" s="444"/>
      <c r="E341" s="445" t="str">
        <f>VLOOKUP(A341,'LISTA DE OFERENTES'!$A$6:$B$38,2,FALSE)</f>
        <v xml:space="preserve">UNIOBRAS DEL ORIENTE SAS </v>
      </c>
      <c r="F341" s="446"/>
      <c r="G341" s="446"/>
      <c r="H341" s="446"/>
      <c r="I341" s="446"/>
      <c r="J341" s="446"/>
      <c r="K341" s="446"/>
      <c r="L341" s="446"/>
      <c r="M341" s="446"/>
      <c r="N341" s="446"/>
      <c r="O341" s="446"/>
      <c r="P341" s="446"/>
      <c r="Q341" s="446"/>
      <c r="R341" s="447"/>
    </row>
    <row r="342" spans="1:18" ht="50.25" customHeight="1" x14ac:dyDescent="0.3">
      <c r="A342" s="28" t="s">
        <v>215</v>
      </c>
      <c r="B342" s="85">
        <v>2</v>
      </c>
      <c r="C342" s="29" t="s">
        <v>216</v>
      </c>
      <c r="D342" s="68">
        <f>+$E$506</f>
        <v>1649.6083550000001</v>
      </c>
      <c r="E342" s="448"/>
      <c r="F342" s="449"/>
      <c r="G342" s="449"/>
      <c r="H342" s="449"/>
      <c r="I342" s="449"/>
      <c r="J342" s="449"/>
      <c r="K342" s="449"/>
      <c r="L342" s="449"/>
      <c r="M342" s="449"/>
      <c r="N342" s="449"/>
      <c r="O342" s="449"/>
      <c r="P342" s="449"/>
      <c r="Q342" s="449"/>
      <c r="R342" s="450"/>
    </row>
    <row r="343" spans="1:18" ht="30" customHeight="1" x14ac:dyDescent="0.3">
      <c r="A343" s="454" t="s">
        <v>217</v>
      </c>
      <c r="B343" s="455"/>
      <c r="C343" s="70">
        <f>IF(B342&lt;3,0.75,IF(B342&lt;5,1.2,1.5))</f>
        <v>0.75</v>
      </c>
      <c r="D343" s="71">
        <f>+D342*C343</f>
        <v>1237.20626625</v>
      </c>
      <c r="E343" s="448"/>
      <c r="F343" s="449"/>
      <c r="G343" s="449"/>
      <c r="H343" s="449"/>
      <c r="I343" s="449"/>
      <c r="J343" s="449"/>
      <c r="K343" s="449"/>
      <c r="L343" s="449"/>
      <c r="M343" s="449"/>
      <c r="N343" s="449"/>
      <c r="O343" s="449"/>
      <c r="P343" s="449"/>
      <c r="Q343" s="449"/>
      <c r="R343" s="450"/>
    </row>
    <row r="344" spans="1:18" ht="30" customHeight="1" x14ac:dyDescent="0.3">
      <c r="A344" s="456" t="s">
        <v>218</v>
      </c>
      <c r="B344" s="455"/>
      <c r="C344" s="457">
        <v>44832</v>
      </c>
      <c r="D344" s="458"/>
      <c r="E344" s="448"/>
      <c r="F344" s="449"/>
      <c r="G344" s="449"/>
      <c r="H344" s="449"/>
      <c r="I344" s="449"/>
      <c r="J344" s="449"/>
      <c r="K344" s="449"/>
      <c r="L344" s="449"/>
      <c r="M344" s="449"/>
      <c r="N344" s="449"/>
      <c r="O344" s="449"/>
      <c r="P344" s="449"/>
      <c r="Q344" s="449"/>
      <c r="R344" s="450"/>
    </row>
    <row r="345" spans="1:18" ht="30" customHeight="1" x14ac:dyDescent="0.3">
      <c r="A345" s="459" t="s">
        <v>219</v>
      </c>
      <c r="B345" s="460"/>
      <c r="C345" s="472" t="str">
        <f>+IF(I351&gt;D343,"CUMPLE","NO CUMPLE")</f>
        <v>CUMPLE</v>
      </c>
      <c r="D345" s="473"/>
      <c r="E345" s="451"/>
      <c r="F345" s="452"/>
      <c r="G345" s="452"/>
      <c r="H345" s="452"/>
      <c r="I345" s="452"/>
      <c r="J345" s="452"/>
      <c r="K345" s="452"/>
      <c r="L345" s="452"/>
      <c r="M345" s="452"/>
      <c r="N345" s="452"/>
      <c r="O345" s="452"/>
      <c r="P345" s="452"/>
      <c r="Q345" s="452"/>
      <c r="R345" s="453"/>
    </row>
    <row r="346" spans="1:18" ht="55.5" customHeight="1" x14ac:dyDescent="0.3">
      <c r="A346" s="474" t="s">
        <v>220</v>
      </c>
      <c r="B346" s="475"/>
      <c r="C346" s="475"/>
      <c r="D346" s="475"/>
      <c r="E346" s="475"/>
      <c r="F346" s="475"/>
      <c r="G346" s="475"/>
      <c r="H346" s="475"/>
      <c r="I346" s="476"/>
      <c r="J346" s="81" t="s">
        <v>221</v>
      </c>
      <c r="K346" s="103" t="s">
        <v>222</v>
      </c>
      <c r="L346" s="477" t="s">
        <v>223</v>
      </c>
      <c r="M346" s="476"/>
      <c r="N346" s="478" t="s">
        <v>224</v>
      </c>
      <c r="O346" s="480" t="s">
        <v>225</v>
      </c>
      <c r="P346" s="481"/>
      <c r="Q346" s="478" t="s">
        <v>226</v>
      </c>
      <c r="R346" s="461" t="s">
        <v>227</v>
      </c>
    </row>
    <row r="347" spans="1:18" ht="77.25" customHeight="1" x14ac:dyDescent="0.3">
      <c r="A347" s="82" t="s">
        <v>228</v>
      </c>
      <c r="B347" s="463" t="s">
        <v>229</v>
      </c>
      <c r="C347" s="464"/>
      <c r="D347" s="83" t="s">
        <v>230</v>
      </c>
      <c r="E347" s="83" t="s">
        <v>231</v>
      </c>
      <c r="F347" s="83" t="s">
        <v>232</v>
      </c>
      <c r="G347" s="83" t="s">
        <v>233</v>
      </c>
      <c r="H347" s="116" t="s">
        <v>234</v>
      </c>
      <c r="I347" s="116" t="s">
        <v>235</v>
      </c>
      <c r="J347" s="84" t="s">
        <v>236</v>
      </c>
      <c r="K347" s="84" t="s">
        <v>237</v>
      </c>
      <c r="L347" s="84" t="s">
        <v>238</v>
      </c>
      <c r="M347" s="84" t="s">
        <v>239</v>
      </c>
      <c r="N347" s="479"/>
      <c r="O347" s="482"/>
      <c r="P347" s="483"/>
      <c r="Q347" s="479"/>
      <c r="R347" s="462"/>
    </row>
    <row r="348" spans="1:18" ht="39.9" customHeight="1" x14ac:dyDescent="0.3">
      <c r="A348" s="536" t="s">
        <v>148</v>
      </c>
      <c r="B348" s="537"/>
      <c r="C348" s="537"/>
      <c r="D348" s="537"/>
      <c r="E348" s="537"/>
      <c r="F348" s="537"/>
      <c r="G348" s="538"/>
      <c r="H348" s="88"/>
      <c r="I348" s="147"/>
      <c r="J348" s="88"/>
      <c r="K348" s="89"/>
      <c r="L348" s="491" t="s">
        <v>407</v>
      </c>
      <c r="M348" s="91"/>
      <c r="N348" s="88"/>
      <c r="O348" s="162" t="s">
        <v>241</v>
      </c>
      <c r="P348" s="88"/>
      <c r="Q348" s="87"/>
      <c r="R348" s="188"/>
    </row>
    <row r="349" spans="1:18" s="33" customFormat="1" ht="234.75" customHeight="1" x14ac:dyDescent="0.3">
      <c r="A349" s="119" t="s">
        <v>408</v>
      </c>
      <c r="B349" s="498" t="s">
        <v>409</v>
      </c>
      <c r="C349" s="467"/>
      <c r="D349" s="23" t="s">
        <v>410</v>
      </c>
      <c r="E349" s="69">
        <v>2008</v>
      </c>
      <c r="F349" s="69">
        <v>141</v>
      </c>
      <c r="G349" s="24">
        <v>8795.1200000000008</v>
      </c>
      <c r="H349" s="3">
        <v>1</v>
      </c>
      <c r="I349" s="24">
        <v>8795.1200000000008</v>
      </c>
      <c r="J349" s="100">
        <v>39734</v>
      </c>
      <c r="K349" s="224" t="s">
        <v>411</v>
      </c>
      <c r="L349" s="492"/>
      <c r="M349" s="31">
        <v>8795.1200000000008</v>
      </c>
      <c r="N349" s="119" t="s">
        <v>213</v>
      </c>
      <c r="O349" s="186" t="s">
        <v>412</v>
      </c>
      <c r="P349" s="119" t="s">
        <v>214</v>
      </c>
      <c r="Q349" s="143" t="s">
        <v>214</v>
      </c>
      <c r="R349" s="236" t="s">
        <v>413</v>
      </c>
    </row>
    <row r="350" spans="1:18" s="33" customFormat="1" ht="268.5" customHeight="1" x14ac:dyDescent="0.3">
      <c r="A350" s="119" t="s">
        <v>414</v>
      </c>
      <c r="B350" s="498" t="s">
        <v>415</v>
      </c>
      <c r="C350" s="467"/>
      <c r="D350" s="23" t="s">
        <v>416</v>
      </c>
      <c r="E350" s="69">
        <v>2012</v>
      </c>
      <c r="F350" s="69"/>
      <c r="G350" s="24"/>
      <c r="H350" s="3"/>
      <c r="I350" s="24"/>
      <c r="J350" s="100">
        <v>41228</v>
      </c>
      <c r="K350" s="224" t="s">
        <v>411</v>
      </c>
      <c r="L350" s="501"/>
      <c r="M350" s="31"/>
      <c r="N350" s="119" t="s">
        <v>214</v>
      </c>
      <c r="O350" s="186"/>
      <c r="P350" s="150" t="s">
        <v>214</v>
      </c>
      <c r="Q350" s="158" t="s">
        <v>214</v>
      </c>
      <c r="R350" s="236" t="s">
        <v>417</v>
      </c>
    </row>
    <row r="351" spans="1:18" s="33" customFormat="1" ht="48" customHeight="1" x14ac:dyDescent="0.3">
      <c r="A351" s="495" t="s">
        <v>418</v>
      </c>
      <c r="B351" s="485"/>
      <c r="C351" s="485"/>
      <c r="D351" s="485"/>
      <c r="E351" s="485"/>
      <c r="F351" s="485"/>
      <c r="G351" s="485"/>
      <c r="H351" s="486"/>
      <c r="I351" s="72">
        <v>8795.1200000000008</v>
      </c>
      <c r="J351" s="487" t="s">
        <v>250</v>
      </c>
      <c r="K351" s="488"/>
      <c r="L351" s="488"/>
      <c r="M351" s="488"/>
      <c r="N351" s="488"/>
      <c r="O351" s="488"/>
      <c r="P351" s="490"/>
      <c r="Q351" s="161"/>
      <c r="R351" s="190" t="s">
        <v>214</v>
      </c>
    </row>
    <row r="352" spans="1:18" ht="15.6" x14ac:dyDescent="0.3">
      <c r="A352" s="4"/>
      <c r="B352" s="4"/>
      <c r="C352" s="4"/>
      <c r="D352" s="4"/>
      <c r="E352" s="4"/>
      <c r="F352" s="4"/>
      <c r="G352" s="4"/>
      <c r="H352" s="4"/>
      <c r="I352" s="4"/>
      <c r="J352" s="4"/>
      <c r="K352" s="4"/>
      <c r="L352" s="4"/>
      <c r="M352" s="4"/>
      <c r="N352" s="5"/>
      <c r="O352" s="5"/>
      <c r="P352" s="5"/>
      <c r="Q352" s="5"/>
      <c r="R352" s="5"/>
    </row>
    <row r="353" spans="1:18" ht="30.75" customHeight="1" x14ac:dyDescent="0.3">
      <c r="A353" s="442">
        <v>27</v>
      </c>
      <c r="B353" s="443"/>
      <c r="C353" s="443"/>
      <c r="D353" s="444"/>
      <c r="E353" s="445" t="str">
        <f>VLOOKUP(A353,'LISTA DE OFERENTES'!$A$6:$B$38,2,FALSE)</f>
        <v>CONSORCIO TUNAL CL</v>
      </c>
      <c r="F353" s="446"/>
      <c r="G353" s="446"/>
      <c r="H353" s="446"/>
      <c r="I353" s="446"/>
      <c r="J353" s="446"/>
      <c r="K353" s="446"/>
      <c r="L353" s="446"/>
      <c r="M353" s="446"/>
      <c r="N353" s="446"/>
      <c r="O353" s="446"/>
      <c r="P353" s="446"/>
      <c r="Q353" s="446"/>
      <c r="R353" s="447"/>
    </row>
    <row r="354" spans="1:18" ht="50.25" customHeight="1" x14ac:dyDescent="0.3">
      <c r="A354" s="28" t="s">
        <v>215</v>
      </c>
      <c r="B354" s="85">
        <v>4</v>
      </c>
      <c r="C354" s="29" t="s">
        <v>216</v>
      </c>
      <c r="D354" s="68">
        <f>+$E$506</f>
        <v>1649.6083550000001</v>
      </c>
      <c r="E354" s="448"/>
      <c r="F354" s="449"/>
      <c r="G354" s="449"/>
      <c r="H354" s="449"/>
      <c r="I354" s="449"/>
      <c r="J354" s="449"/>
      <c r="K354" s="449"/>
      <c r="L354" s="449"/>
      <c r="M354" s="449"/>
      <c r="N354" s="449"/>
      <c r="O354" s="449"/>
      <c r="P354" s="449"/>
      <c r="Q354" s="449"/>
      <c r="R354" s="450"/>
    </row>
    <row r="355" spans="1:18" ht="30" customHeight="1" x14ac:dyDescent="0.3">
      <c r="A355" s="531" t="s">
        <v>217</v>
      </c>
      <c r="B355" s="532"/>
      <c r="C355" s="70">
        <f>IF(B354&lt;3,0.75,IF(B354&lt;5,1.2,1.5))</f>
        <v>1.2</v>
      </c>
      <c r="D355" s="71">
        <f>+D354*C355</f>
        <v>1979.5300259999999</v>
      </c>
      <c r="E355" s="448"/>
      <c r="F355" s="449"/>
      <c r="G355" s="449"/>
      <c r="H355" s="449"/>
      <c r="I355" s="449"/>
      <c r="J355" s="449"/>
      <c r="K355" s="449"/>
      <c r="L355" s="449"/>
      <c r="M355" s="449"/>
      <c r="N355" s="449"/>
      <c r="O355" s="449"/>
      <c r="P355" s="449"/>
      <c r="Q355" s="449"/>
      <c r="R355" s="450"/>
    </row>
    <row r="356" spans="1:18" ht="30" customHeight="1" x14ac:dyDescent="0.3">
      <c r="A356" s="253" t="str">
        <f>+A344</f>
        <v>TERMINO DE EJECUCION EXIGIDO</v>
      </c>
      <c r="B356" s="254"/>
      <c r="C356" s="533">
        <v>44832</v>
      </c>
      <c r="D356" s="458"/>
      <c r="E356" s="448"/>
      <c r="F356" s="449"/>
      <c r="G356" s="449"/>
      <c r="H356" s="449"/>
      <c r="I356" s="449"/>
      <c r="J356" s="449"/>
      <c r="K356" s="449"/>
      <c r="L356" s="449"/>
      <c r="M356" s="449"/>
      <c r="N356" s="449"/>
      <c r="O356" s="449"/>
      <c r="P356" s="449"/>
      <c r="Q356" s="449"/>
      <c r="R356" s="450"/>
    </row>
    <row r="357" spans="1:18" ht="30" customHeight="1" x14ac:dyDescent="0.3">
      <c r="A357" s="534" t="s">
        <v>219</v>
      </c>
      <c r="B357" s="535"/>
      <c r="C357" s="472" t="str">
        <f>+IF(I365&gt;D355,"CUMPLE","NO CUMPLE")</f>
        <v>NO CUMPLE</v>
      </c>
      <c r="D357" s="473"/>
      <c r="E357" s="451"/>
      <c r="F357" s="452"/>
      <c r="G357" s="452"/>
      <c r="H357" s="452"/>
      <c r="I357" s="452"/>
      <c r="J357" s="452"/>
      <c r="K357" s="452"/>
      <c r="L357" s="452"/>
      <c r="M357" s="452"/>
      <c r="N357" s="452"/>
      <c r="O357" s="452"/>
      <c r="P357" s="452"/>
      <c r="Q357" s="452"/>
      <c r="R357" s="453"/>
    </row>
    <row r="358" spans="1:18" ht="55.5" customHeight="1" x14ac:dyDescent="0.3">
      <c r="A358" s="474" t="s">
        <v>220</v>
      </c>
      <c r="B358" s="475"/>
      <c r="C358" s="475"/>
      <c r="D358" s="475"/>
      <c r="E358" s="475"/>
      <c r="F358" s="475"/>
      <c r="G358" s="475"/>
      <c r="H358" s="475"/>
      <c r="I358" s="476"/>
      <c r="J358" s="81" t="s">
        <v>221</v>
      </c>
      <c r="K358" s="103" t="s">
        <v>222</v>
      </c>
      <c r="L358" s="477" t="s">
        <v>223</v>
      </c>
      <c r="M358" s="476"/>
      <c r="N358" s="478" t="s">
        <v>224</v>
      </c>
      <c r="O358" s="480" t="s">
        <v>225</v>
      </c>
      <c r="P358" s="481"/>
      <c r="Q358" s="478" t="s">
        <v>226</v>
      </c>
      <c r="R358" s="461" t="s">
        <v>227</v>
      </c>
    </row>
    <row r="359" spans="1:18" ht="77.25" customHeight="1" x14ac:dyDescent="0.3">
      <c r="A359" s="82" t="s">
        <v>228</v>
      </c>
      <c r="B359" s="463" t="s">
        <v>229</v>
      </c>
      <c r="C359" s="464"/>
      <c r="D359" s="83" t="s">
        <v>230</v>
      </c>
      <c r="E359" s="83" t="s">
        <v>231</v>
      </c>
      <c r="F359" s="83" t="s">
        <v>232</v>
      </c>
      <c r="G359" s="83" t="s">
        <v>233</v>
      </c>
      <c r="H359" s="116" t="s">
        <v>234</v>
      </c>
      <c r="I359" s="116" t="s">
        <v>235</v>
      </c>
      <c r="J359" s="84" t="s">
        <v>236</v>
      </c>
      <c r="K359" s="84" t="s">
        <v>237</v>
      </c>
      <c r="L359" s="84" t="s">
        <v>238</v>
      </c>
      <c r="M359" s="84" t="s">
        <v>239</v>
      </c>
      <c r="N359" s="479"/>
      <c r="O359" s="482"/>
      <c r="P359" s="483"/>
      <c r="Q359" s="479"/>
      <c r="R359" s="462"/>
    </row>
    <row r="360" spans="1:18" ht="39.9" customHeight="1" x14ac:dyDescent="0.3">
      <c r="A360" s="539" t="s">
        <v>419</v>
      </c>
      <c r="B360" s="540"/>
      <c r="C360" s="540"/>
      <c r="D360" s="540"/>
      <c r="E360" s="540"/>
      <c r="F360" s="540"/>
      <c r="G360" s="540"/>
      <c r="H360" s="540"/>
      <c r="I360" s="540"/>
      <c r="J360" s="540"/>
      <c r="K360" s="540"/>
      <c r="L360" s="541" t="s">
        <v>420</v>
      </c>
      <c r="M360" s="159"/>
      <c r="N360" s="159"/>
      <c r="O360" s="202" t="s">
        <v>241</v>
      </c>
      <c r="P360" s="159"/>
      <c r="Q360" s="159"/>
      <c r="R360" s="188"/>
    </row>
    <row r="361" spans="1:18" s="33" customFormat="1" ht="150" customHeight="1" x14ac:dyDescent="0.3">
      <c r="A361" s="119" t="s">
        <v>421</v>
      </c>
      <c r="B361" s="498" t="s">
        <v>243</v>
      </c>
      <c r="C361" s="467"/>
      <c r="D361" s="23" t="s">
        <v>422</v>
      </c>
      <c r="E361" s="69">
        <v>2003</v>
      </c>
      <c r="F361" s="69">
        <v>7337</v>
      </c>
      <c r="G361" s="24">
        <v>1673.55</v>
      </c>
      <c r="H361" s="3">
        <v>1</v>
      </c>
      <c r="I361" s="24">
        <v>1673.55</v>
      </c>
      <c r="J361" s="256">
        <v>37907</v>
      </c>
      <c r="K361" s="209" t="s">
        <v>423</v>
      </c>
      <c r="L361" s="511"/>
      <c r="M361" s="200">
        <v>1673.55</v>
      </c>
      <c r="N361" s="158" t="s">
        <v>213</v>
      </c>
      <c r="O361" s="201" t="s">
        <v>424</v>
      </c>
      <c r="P361" s="158" t="s">
        <v>213</v>
      </c>
      <c r="Q361" s="158" t="s">
        <v>213</v>
      </c>
      <c r="R361" s="543" t="s">
        <v>425</v>
      </c>
    </row>
    <row r="362" spans="1:18" s="33" customFormat="1" ht="150" customHeight="1" x14ac:dyDescent="0.3">
      <c r="A362" s="320" t="s">
        <v>426</v>
      </c>
      <c r="B362" s="498" t="s">
        <v>427</v>
      </c>
      <c r="C362" s="467"/>
      <c r="D362" s="23" t="s">
        <v>428</v>
      </c>
      <c r="E362" s="69">
        <v>2012</v>
      </c>
      <c r="F362" s="69">
        <v>2471</v>
      </c>
      <c r="G362" s="24">
        <v>4395.4399999999996</v>
      </c>
      <c r="H362" s="3">
        <v>1</v>
      </c>
      <c r="I362" s="24">
        <v>4395.4399999999996</v>
      </c>
      <c r="J362" s="256">
        <v>41143</v>
      </c>
      <c r="K362" s="260" t="s">
        <v>423</v>
      </c>
      <c r="L362" s="511"/>
      <c r="M362" s="200">
        <v>4395.4399999999996</v>
      </c>
      <c r="N362" s="258" t="s">
        <v>213</v>
      </c>
      <c r="O362" s="201" t="s">
        <v>429</v>
      </c>
      <c r="P362" s="258" t="s">
        <v>213</v>
      </c>
      <c r="Q362" s="258" t="s">
        <v>213</v>
      </c>
      <c r="R362" s="544"/>
    </row>
    <row r="363" spans="1:18" s="33" customFormat="1" ht="150" customHeight="1" x14ac:dyDescent="0.3">
      <c r="A363" s="119" t="s">
        <v>430</v>
      </c>
      <c r="B363" s="498" t="s">
        <v>243</v>
      </c>
      <c r="C363" s="467"/>
      <c r="D363" s="23" t="s">
        <v>431</v>
      </c>
      <c r="E363" s="69">
        <v>2002</v>
      </c>
      <c r="F363" s="69">
        <v>7418</v>
      </c>
      <c r="G363" s="24">
        <v>2761.35</v>
      </c>
      <c r="H363" s="3">
        <v>0.5</v>
      </c>
      <c r="I363" s="24">
        <v>1380.67</v>
      </c>
      <c r="J363" s="256">
        <v>37483</v>
      </c>
      <c r="K363" s="257" t="s">
        <v>423</v>
      </c>
      <c r="L363" s="511"/>
      <c r="M363" s="324">
        <v>1380.67</v>
      </c>
      <c r="N363" s="216" t="s">
        <v>213</v>
      </c>
      <c r="O363" s="325" t="s">
        <v>432</v>
      </c>
      <c r="P363" s="216" t="s">
        <v>213</v>
      </c>
      <c r="Q363" s="216" t="s">
        <v>213</v>
      </c>
      <c r="R363" s="544"/>
    </row>
    <row r="364" spans="1:18" s="33" customFormat="1" ht="150" customHeight="1" x14ac:dyDescent="0.3">
      <c r="A364" s="119" t="s">
        <v>433</v>
      </c>
      <c r="B364" s="498" t="s">
        <v>243</v>
      </c>
      <c r="C364" s="467"/>
      <c r="D364" s="23" t="s">
        <v>434</v>
      </c>
      <c r="E364" s="69">
        <v>2002</v>
      </c>
      <c r="F364" s="69">
        <v>3200</v>
      </c>
      <c r="G364" s="24">
        <v>1297.52</v>
      </c>
      <c r="H364" s="3">
        <v>0.9</v>
      </c>
      <c r="I364" s="24">
        <v>1167.76</v>
      </c>
      <c r="J364" s="256">
        <v>37383</v>
      </c>
      <c r="K364" s="257" t="s">
        <v>423</v>
      </c>
      <c r="L364" s="542"/>
      <c r="M364" s="200">
        <v>1167.76</v>
      </c>
      <c r="N364" s="158" t="s">
        <v>213</v>
      </c>
      <c r="O364" s="201" t="s">
        <v>435</v>
      </c>
      <c r="P364" s="158" t="s">
        <v>213</v>
      </c>
      <c r="Q364" s="158" t="s">
        <v>213</v>
      </c>
      <c r="R364" s="545"/>
    </row>
    <row r="365" spans="1:18" s="33" customFormat="1" ht="48" customHeight="1" x14ac:dyDescent="0.3">
      <c r="A365" s="495" t="s">
        <v>249</v>
      </c>
      <c r="B365" s="485"/>
      <c r="C365" s="485"/>
      <c r="D365" s="485"/>
      <c r="E365" s="485"/>
      <c r="F365" s="485"/>
      <c r="G365" s="485"/>
      <c r="H365" s="486"/>
      <c r="I365" s="72">
        <v>1673.55</v>
      </c>
      <c r="J365" s="528" t="s">
        <v>250</v>
      </c>
      <c r="K365" s="489"/>
      <c r="L365" s="489"/>
      <c r="M365" s="489"/>
      <c r="N365" s="489"/>
      <c r="O365" s="489"/>
      <c r="P365" s="509"/>
      <c r="Q365" s="161"/>
      <c r="R365" s="190" t="s">
        <v>213</v>
      </c>
    </row>
    <row r="366" spans="1:18" ht="15.6" x14ac:dyDescent="0.3">
      <c r="A366" s="4"/>
      <c r="B366" s="4"/>
      <c r="C366" s="4"/>
      <c r="D366" s="4"/>
      <c r="E366" s="4"/>
      <c r="F366" s="4"/>
      <c r="G366" s="4"/>
      <c r="H366" s="4"/>
      <c r="I366" s="4"/>
      <c r="J366" s="4"/>
      <c r="K366" s="4"/>
      <c r="L366" s="4"/>
      <c r="M366" s="4"/>
      <c r="N366" s="5"/>
      <c r="O366" s="5"/>
      <c r="P366" s="5"/>
      <c r="Q366" s="5"/>
      <c r="R366" s="5"/>
    </row>
    <row r="367" spans="1:18" ht="30.75" customHeight="1" x14ac:dyDescent="0.3">
      <c r="A367" s="442">
        <v>28</v>
      </c>
      <c r="B367" s="443"/>
      <c r="C367" s="443"/>
      <c r="D367" s="444"/>
      <c r="E367" s="445" t="str">
        <f>VLOOKUP(A367,'LISTA DE OFERENTES'!$A$6:$B$38,2,FALSE)</f>
        <v xml:space="preserve">MAURICIO RAFAEL PABA PINZON </v>
      </c>
      <c r="F367" s="446"/>
      <c r="G367" s="446"/>
      <c r="H367" s="446"/>
      <c r="I367" s="446"/>
      <c r="J367" s="446"/>
      <c r="K367" s="446"/>
      <c r="L367" s="446"/>
      <c r="M367" s="446"/>
      <c r="N367" s="446"/>
      <c r="O367" s="446"/>
      <c r="P367" s="446"/>
      <c r="Q367" s="446"/>
      <c r="R367" s="447"/>
    </row>
    <row r="368" spans="1:18" ht="50.25" customHeight="1" x14ac:dyDescent="0.3">
      <c r="A368" s="28" t="s">
        <v>215</v>
      </c>
      <c r="B368" s="85">
        <v>1</v>
      </c>
      <c r="C368" s="29" t="s">
        <v>216</v>
      </c>
      <c r="D368" s="68">
        <f>+$E$506</f>
        <v>1649.6083550000001</v>
      </c>
      <c r="E368" s="448"/>
      <c r="F368" s="449"/>
      <c r="G368" s="449"/>
      <c r="H368" s="449"/>
      <c r="I368" s="449"/>
      <c r="J368" s="449"/>
      <c r="K368" s="449"/>
      <c r="L368" s="449"/>
      <c r="M368" s="449"/>
      <c r="N368" s="449"/>
      <c r="O368" s="449"/>
      <c r="P368" s="449"/>
      <c r="Q368" s="449"/>
      <c r="R368" s="450"/>
    </row>
    <row r="369" spans="1:18" ht="30" customHeight="1" x14ac:dyDescent="0.3">
      <c r="A369" s="454" t="str">
        <f>+A355</f>
        <v>VALOR MÍNIMO A CERTIFICAR</v>
      </c>
      <c r="B369" s="455"/>
      <c r="C369" s="70">
        <f>IF(B368&lt;3,0.75,IF(B368&lt;5,1.2,1.5))</f>
        <v>0.75</v>
      </c>
      <c r="D369" s="71">
        <f>+D368*C369</f>
        <v>1237.20626625</v>
      </c>
      <c r="E369" s="448"/>
      <c r="F369" s="449"/>
      <c r="G369" s="449"/>
      <c r="H369" s="449"/>
      <c r="I369" s="449"/>
      <c r="J369" s="449"/>
      <c r="K369" s="449"/>
      <c r="L369" s="449"/>
      <c r="M369" s="449"/>
      <c r="N369" s="449"/>
      <c r="O369" s="449"/>
      <c r="P369" s="449"/>
      <c r="Q369" s="449"/>
      <c r="R369" s="450"/>
    </row>
    <row r="370" spans="1:18" ht="30" customHeight="1" x14ac:dyDescent="0.3">
      <c r="A370" s="456" t="str">
        <f>+A356</f>
        <v>TERMINO DE EJECUCION EXIGIDO</v>
      </c>
      <c r="B370" s="455"/>
      <c r="C370" s="457">
        <v>44832</v>
      </c>
      <c r="D370" s="458"/>
      <c r="E370" s="448"/>
      <c r="F370" s="449"/>
      <c r="G370" s="449"/>
      <c r="H370" s="449"/>
      <c r="I370" s="449"/>
      <c r="J370" s="449"/>
      <c r="K370" s="449"/>
      <c r="L370" s="449"/>
      <c r="M370" s="449"/>
      <c r="N370" s="449"/>
      <c r="O370" s="449"/>
      <c r="P370" s="449"/>
      <c r="Q370" s="449"/>
      <c r="R370" s="450"/>
    </row>
    <row r="371" spans="1:18" ht="30" customHeight="1" x14ac:dyDescent="0.3">
      <c r="A371" s="459" t="str">
        <f>+A357</f>
        <v>TOTAL SALARIOS MINIMOS ACREDITADOS</v>
      </c>
      <c r="B371" s="460"/>
      <c r="C371" s="472" t="str">
        <f>+IF(I376&gt;D369,"CUMPLE","NO CUMPLE")</f>
        <v>NO CUMPLE</v>
      </c>
      <c r="D371" s="473"/>
      <c r="E371" s="451"/>
      <c r="F371" s="452"/>
      <c r="G371" s="452"/>
      <c r="H371" s="452"/>
      <c r="I371" s="452"/>
      <c r="J371" s="452"/>
      <c r="K371" s="452"/>
      <c r="L371" s="452"/>
      <c r="M371" s="452"/>
      <c r="N371" s="452"/>
      <c r="O371" s="452"/>
      <c r="P371" s="452"/>
      <c r="Q371" s="452"/>
      <c r="R371" s="453"/>
    </row>
    <row r="372" spans="1:18" ht="55.5" customHeight="1" x14ac:dyDescent="0.3">
      <c r="A372" s="474" t="s">
        <v>436</v>
      </c>
      <c r="B372" s="475"/>
      <c r="C372" s="475"/>
      <c r="D372" s="475"/>
      <c r="E372" s="475"/>
      <c r="F372" s="475"/>
      <c r="G372" s="475"/>
      <c r="H372" s="475"/>
      <c r="I372" s="476"/>
      <c r="J372" s="81" t="s">
        <v>221</v>
      </c>
      <c r="K372" s="103" t="s">
        <v>222</v>
      </c>
      <c r="L372" s="477" t="s">
        <v>223</v>
      </c>
      <c r="M372" s="476"/>
      <c r="N372" s="478" t="s">
        <v>224</v>
      </c>
      <c r="O372" s="480" t="s">
        <v>225</v>
      </c>
      <c r="P372" s="481"/>
      <c r="Q372" s="478" t="s">
        <v>226</v>
      </c>
      <c r="R372" s="461" t="s">
        <v>227</v>
      </c>
    </row>
    <row r="373" spans="1:18" ht="77.25" customHeight="1" x14ac:dyDescent="0.3">
      <c r="A373" s="82" t="s">
        <v>228</v>
      </c>
      <c r="B373" s="463" t="s">
        <v>229</v>
      </c>
      <c r="C373" s="464"/>
      <c r="D373" s="83" t="s">
        <v>230</v>
      </c>
      <c r="E373" s="83" t="s">
        <v>231</v>
      </c>
      <c r="F373" s="83" t="s">
        <v>232</v>
      </c>
      <c r="G373" s="83" t="s">
        <v>233</v>
      </c>
      <c r="H373" s="116" t="s">
        <v>234</v>
      </c>
      <c r="I373" s="116" t="s">
        <v>235</v>
      </c>
      <c r="J373" s="84" t="s">
        <v>236</v>
      </c>
      <c r="K373" s="84" t="s">
        <v>237</v>
      </c>
      <c r="L373" s="84" t="s">
        <v>238</v>
      </c>
      <c r="M373" s="84" t="s">
        <v>239</v>
      </c>
      <c r="N373" s="479"/>
      <c r="O373" s="482"/>
      <c r="P373" s="483"/>
      <c r="Q373" s="479"/>
      <c r="R373" s="462"/>
    </row>
    <row r="374" spans="1:18" ht="39.9" customHeight="1" x14ac:dyDescent="0.3">
      <c r="A374" s="546" t="str">
        <f>+'LISTA DE OFERENTES'!B33</f>
        <v xml:space="preserve">MAURICIO RAFAEL PABA PINZON </v>
      </c>
      <c r="B374" s="537"/>
      <c r="C374" s="537"/>
      <c r="D374" s="537"/>
      <c r="E374" s="537"/>
      <c r="F374" s="537"/>
      <c r="G374" s="537"/>
      <c r="H374" s="537"/>
      <c r="I374" s="537"/>
      <c r="J374" s="537"/>
      <c r="K374" s="538"/>
      <c r="L374" s="491" t="str">
        <f>+A374</f>
        <v xml:space="preserve">MAURICIO RAFAEL PABA PINZON </v>
      </c>
      <c r="M374" s="87"/>
      <c r="N374" s="87"/>
      <c r="O374" s="162" t="s">
        <v>241</v>
      </c>
      <c r="P374" s="87"/>
      <c r="Q374" s="159"/>
      <c r="R374" s="188"/>
    </row>
    <row r="375" spans="1:18" s="33" customFormat="1" ht="150" customHeight="1" x14ac:dyDescent="0.3">
      <c r="A375" s="119" t="s">
        <v>437</v>
      </c>
      <c r="B375" s="498" t="s">
        <v>438</v>
      </c>
      <c r="C375" s="467"/>
      <c r="D375" s="23">
        <v>5126864172</v>
      </c>
      <c r="E375" s="69">
        <v>2017</v>
      </c>
      <c r="F375" s="69">
        <v>14697.59</v>
      </c>
      <c r="G375" s="24">
        <f>D375/(VLOOKUP(E375,$D$533:$E$564,2,FALSE))</f>
        <v>6949.6353913492576</v>
      </c>
      <c r="H375" s="3">
        <v>0.35</v>
      </c>
      <c r="I375" s="24">
        <f>H375*G375</f>
        <v>2432.3723869722398</v>
      </c>
      <c r="J375" s="100">
        <v>43023</v>
      </c>
      <c r="K375" s="261" t="s">
        <v>439</v>
      </c>
      <c r="L375" s="492"/>
      <c r="M375" s="31">
        <f>I375</f>
        <v>2432.3723869722398</v>
      </c>
      <c r="N375" s="119" t="s">
        <v>213</v>
      </c>
      <c r="O375" s="186" t="str">
        <f>+CONCATENATE(FIXED(F375*H375,2)," ","m2")</f>
        <v>5.144,16 m2</v>
      </c>
      <c r="P375" s="150" t="s">
        <v>213</v>
      </c>
      <c r="Q375" s="158" t="s">
        <v>213</v>
      </c>
      <c r="R375" s="158"/>
    </row>
    <row r="376" spans="1:18" s="33" customFormat="1" ht="48" customHeight="1" x14ac:dyDescent="0.3">
      <c r="A376" s="495" t="s">
        <v>249</v>
      </c>
      <c r="B376" s="485"/>
      <c r="C376" s="485"/>
      <c r="D376" s="485"/>
      <c r="E376" s="485"/>
      <c r="F376" s="485"/>
      <c r="G376" s="485"/>
      <c r="H376" s="486"/>
      <c r="I376" s="72"/>
      <c r="J376" s="487" t="s">
        <v>250</v>
      </c>
      <c r="K376" s="488"/>
      <c r="L376" s="488"/>
      <c r="M376" s="488"/>
      <c r="N376" s="488"/>
      <c r="O376" s="488"/>
      <c r="P376" s="490"/>
      <c r="Q376" s="161"/>
      <c r="R376" s="190" t="s">
        <v>213</v>
      </c>
    </row>
    <row r="377" spans="1:18" ht="15.6" x14ac:dyDescent="0.3">
      <c r="A377" s="4"/>
      <c r="B377" s="4"/>
      <c r="C377" s="4"/>
      <c r="D377" s="4"/>
      <c r="E377" s="4"/>
      <c r="F377" s="4"/>
      <c r="G377" s="4"/>
      <c r="H377" s="4"/>
      <c r="I377" s="4"/>
      <c r="J377" s="4"/>
      <c r="K377" s="4"/>
      <c r="L377" s="4"/>
      <c r="M377" s="4"/>
      <c r="N377" s="5"/>
      <c r="O377" s="5"/>
      <c r="P377" s="5"/>
      <c r="Q377" s="5"/>
      <c r="R377" s="5"/>
    </row>
    <row r="378" spans="1:18" ht="30.75" customHeight="1" x14ac:dyDescent="0.3">
      <c r="A378" s="442">
        <f>A367+1</f>
        <v>29</v>
      </c>
      <c r="B378" s="443"/>
      <c r="C378" s="443"/>
      <c r="D378" s="444"/>
      <c r="E378" s="445" t="str">
        <f>VLOOKUP(A378,'LISTA DE OFERENTES'!$A$6:$B$38,2,FALSE)</f>
        <v>CONSORCIO CDJ 05</v>
      </c>
      <c r="F378" s="446"/>
      <c r="G378" s="446"/>
      <c r="H378" s="446"/>
      <c r="I378" s="446"/>
      <c r="J378" s="446"/>
      <c r="K378" s="446"/>
      <c r="L378" s="446"/>
      <c r="M378" s="446"/>
      <c r="N378" s="446"/>
      <c r="O378" s="446"/>
      <c r="P378" s="446"/>
      <c r="Q378" s="446"/>
      <c r="R378" s="447"/>
    </row>
    <row r="379" spans="1:18" ht="50.25" customHeight="1" x14ac:dyDescent="0.3">
      <c r="A379" s="28" t="s">
        <v>215</v>
      </c>
      <c r="B379" s="85">
        <v>2</v>
      </c>
      <c r="C379" s="29" t="s">
        <v>216</v>
      </c>
      <c r="D379" s="68">
        <f>+$E$506</f>
        <v>1649.6083550000001</v>
      </c>
      <c r="E379" s="448"/>
      <c r="F379" s="449"/>
      <c r="G379" s="449"/>
      <c r="H379" s="449"/>
      <c r="I379" s="449"/>
      <c r="J379" s="449"/>
      <c r="K379" s="449"/>
      <c r="L379" s="449"/>
      <c r="M379" s="449"/>
      <c r="N379" s="449"/>
      <c r="O379" s="449"/>
      <c r="P379" s="449"/>
      <c r="Q379" s="449"/>
      <c r="R379" s="450"/>
    </row>
    <row r="380" spans="1:18" ht="30" customHeight="1" x14ac:dyDescent="0.3">
      <c r="A380" s="454" t="s">
        <v>217</v>
      </c>
      <c r="B380" s="455"/>
      <c r="C380" s="70">
        <f>IF(B379&lt;3,0.75,IF(B379&lt;5,1.2,1.5))</f>
        <v>0.75</v>
      </c>
      <c r="D380" s="71">
        <f>+D379*C380</f>
        <v>1237.20626625</v>
      </c>
      <c r="E380" s="448"/>
      <c r="F380" s="449"/>
      <c r="G380" s="449"/>
      <c r="H380" s="449"/>
      <c r="I380" s="449"/>
      <c r="J380" s="449"/>
      <c r="K380" s="449"/>
      <c r="L380" s="449"/>
      <c r="M380" s="449"/>
      <c r="N380" s="449"/>
      <c r="O380" s="449"/>
      <c r="P380" s="449"/>
      <c r="Q380" s="449"/>
      <c r="R380" s="450"/>
    </row>
    <row r="381" spans="1:18" ht="30" customHeight="1" x14ac:dyDescent="0.3">
      <c r="A381" s="456" t="s">
        <v>218</v>
      </c>
      <c r="B381" s="455"/>
      <c r="C381" s="457">
        <v>44832</v>
      </c>
      <c r="D381" s="458"/>
      <c r="E381" s="448"/>
      <c r="F381" s="449"/>
      <c r="G381" s="449"/>
      <c r="H381" s="449"/>
      <c r="I381" s="449"/>
      <c r="J381" s="449"/>
      <c r="K381" s="449"/>
      <c r="L381" s="449"/>
      <c r="M381" s="449"/>
      <c r="N381" s="449"/>
      <c r="O381" s="449"/>
      <c r="P381" s="449"/>
      <c r="Q381" s="449"/>
      <c r="R381" s="450"/>
    </row>
    <row r="382" spans="1:18" ht="30" customHeight="1" x14ac:dyDescent="0.3">
      <c r="A382" s="459" t="s">
        <v>219</v>
      </c>
      <c r="B382" s="460"/>
      <c r="C382" s="472" t="str">
        <f>+IF(I388&gt;D380,"CUMPLE","NO CUMPLE")</f>
        <v>CUMPLE</v>
      </c>
      <c r="D382" s="473"/>
      <c r="E382" s="451"/>
      <c r="F382" s="452"/>
      <c r="G382" s="452"/>
      <c r="H382" s="452"/>
      <c r="I382" s="452"/>
      <c r="J382" s="452"/>
      <c r="K382" s="452"/>
      <c r="L382" s="452"/>
      <c r="M382" s="452"/>
      <c r="N382" s="452"/>
      <c r="O382" s="452"/>
      <c r="P382" s="452"/>
      <c r="Q382" s="452"/>
      <c r="R382" s="453"/>
    </row>
    <row r="383" spans="1:18" ht="55.5" customHeight="1" x14ac:dyDescent="0.3">
      <c r="A383" s="474" t="s">
        <v>220</v>
      </c>
      <c r="B383" s="475"/>
      <c r="C383" s="475"/>
      <c r="D383" s="475"/>
      <c r="E383" s="475"/>
      <c r="F383" s="475"/>
      <c r="G383" s="475"/>
      <c r="H383" s="475"/>
      <c r="I383" s="476"/>
      <c r="J383" s="81" t="s">
        <v>221</v>
      </c>
      <c r="K383" s="103" t="s">
        <v>222</v>
      </c>
      <c r="L383" s="477" t="s">
        <v>223</v>
      </c>
      <c r="M383" s="476"/>
      <c r="N383" s="478" t="s">
        <v>224</v>
      </c>
      <c r="O383" s="480" t="s">
        <v>225</v>
      </c>
      <c r="P383" s="481"/>
      <c r="Q383" s="478" t="s">
        <v>226</v>
      </c>
      <c r="R383" s="461" t="s">
        <v>227</v>
      </c>
    </row>
    <row r="384" spans="1:18" ht="77.25" customHeight="1" x14ac:dyDescent="0.3">
      <c r="A384" s="82" t="s">
        <v>228</v>
      </c>
      <c r="B384" s="463" t="s">
        <v>229</v>
      </c>
      <c r="C384" s="464"/>
      <c r="D384" s="83" t="s">
        <v>230</v>
      </c>
      <c r="E384" s="83" t="s">
        <v>231</v>
      </c>
      <c r="F384" s="83" t="s">
        <v>232</v>
      </c>
      <c r="G384" s="83" t="s">
        <v>233</v>
      </c>
      <c r="H384" s="116" t="s">
        <v>234</v>
      </c>
      <c r="I384" s="116" t="s">
        <v>235</v>
      </c>
      <c r="J384" s="84" t="s">
        <v>236</v>
      </c>
      <c r="K384" s="84" t="s">
        <v>237</v>
      </c>
      <c r="L384" s="84" t="s">
        <v>238</v>
      </c>
      <c r="M384" s="84" t="s">
        <v>239</v>
      </c>
      <c r="N384" s="479"/>
      <c r="O384" s="482"/>
      <c r="P384" s="483"/>
      <c r="Q384" s="479"/>
      <c r="R384" s="462"/>
    </row>
    <row r="385" spans="1:18" ht="39.9" customHeight="1" x14ac:dyDescent="0.3">
      <c r="A385" s="86" t="s">
        <v>155</v>
      </c>
      <c r="B385" s="87"/>
      <c r="C385" s="87"/>
      <c r="D385" s="87"/>
      <c r="E385" s="87"/>
      <c r="F385" s="87"/>
      <c r="G385" s="87"/>
      <c r="H385" s="87"/>
      <c r="I385" s="87"/>
      <c r="J385" s="87"/>
      <c r="K385" s="87"/>
      <c r="L385" s="491" t="s">
        <v>440</v>
      </c>
      <c r="M385" s="87"/>
      <c r="N385" s="87"/>
      <c r="O385" s="162" t="s">
        <v>241</v>
      </c>
      <c r="P385" s="87"/>
      <c r="Q385" s="159"/>
      <c r="R385" s="188"/>
    </row>
    <row r="386" spans="1:18" s="33" customFormat="1" ht="248.25" customHeight="1" x14ac:dyDescent="0.3">
      <c r="A386" s="320" t="s">
        <v>441</v>
      </c>
      <c r="B386" s="498" t="s">
        <v>442</v>
      </c>
      <c r="C386" s="467"/>
      <c r="D386" s="23">
        <v>341582224</v>
      </c>
      <c r="E386" s="69"/>
      <c r="F386" s="69"/>
      <c r="G386" s="24" t="s">
        <v>295</v>
      </c>
      <c r="H386" s="3"/>
      <c r="I386" s="24" t="s">
        <v>295</v>
      </c>
      <c r="J386" s="100"/>
      <c r="K386" s="30"/>
      <c r="L386" s="492"/>
      <c r="M386" s="31" t="s">
        <v>295</v>
      </c>
      <c r="N386" s="119"/>
      <c r="O386" s="186" t="s">
        <v>265</v>
      </c>
      <c r="P386" s="150"/>
      <c r="Q386" s="158"/>
      <c r="R386" s="158" t="s">
        <v>443</v>
      </c>
    </row>
    <row r="387" spans="1:18" s="33" customFormat="1" ht="150" customHeight="1" x14ac:dyDescent="0.3">
      <c r="A387" s="119" t="s">
        <v>444</v>
      </c>
      <c r="B387" s="498" t="s">
        <v>445</v>
      </c>
      <c r="C387" s="467"/>
      <c r="D387" s="23" t="s">
        <v>446</v>
      </c>
      <c r="E387" s="69">
        <v>2014</v>
      </c>
      <c r="F387" s="69">
        <v>840</v>
      </c>
      <c r="G387" s="24">
        <v>554.52</v>
      </c>
      <c r="H387" s="3">
        <v>1</v>
      </c>
      <c r="I387" s="24">
        <v>554.52</v>
      </c>
      <c r="J387" s="100">
        <v>41833</v>
      </c>
      <c r="K387" s="30" t="s">
        <v>447</v>
      </c>
      <c r="L387" s="501"/>
      <c r="M387" s="31">
        <v>554.52</v>
      </c>
      <c r="N387" s="119" t="s">
        <v>213</v>
      </c>
      <c r="O387" s="186" t="s">
        <v>448</v>
      </c>
      <c r="P387" s="150" t="s">
        <v>214</v>
      </c>
      <c r="Q387" s="158" t="s">
        <v>213</v>
      </c>
      <c r="R387" s="216" t="s">
        <v>449</v>
      </c>
    </row>
    <row r="388" spans="1:18" s="33" customFormat="1" ht="48" customHeight="1" x14ac:dyDescent="0.3">
      <c r="A388" s="495" t="s">
        <v>249</v>
      </c>
      <c r="B388" s="485"/>
      <c r="C388" s="485"/>
      <c r="D388" s="485"/>
      <c r="E388" s="485"/>
      <c r="F388" s="485"/>
      <c r="G388" s="485"/>
      <c r="H388" s="486"/>
      <c r="I388" s="72" t="s">
        <v>295</v>
      </c>
      <c r="J388" s="487" t="s">
        <v>250</v>
      </c>
      <c r="K388" s="488"/>
      <c r="L388" s="488"/>
      <c r="M388" s="488"/>
      <c r="N388" s="488"/>
      <c r="O388" s="488"/>
      <c r="P388" s="490"/>
      <c r="Q388" s="161"/>
      <c r="R388" s="190" t="s">
        <v>214</v>
      </c>
    </row>
    <row r="389" spans="1:18" ht="15.6" x14ac:dyDescent="0.3">
      <c r="A389" s="4"/>
      <c r="B389" s="4"/>
      <c r="C389" s="4"/>
      <c r="D389" s="4"/>
      <c r="E389" s="4"/>
      <c r="F389" s="4"/>
      <c r="G389" s="4"/>
      <c r="H389" s="4"/>
      <c r="I389" s="4"/>
      <c r="J389" s="4"/>
      <c r="K389" s="4"/>
      <c r="L389" s="4"/>
      <c r="M389" s="4"/>
      <c r="N389" s="5"/>
      <c r="O389" s="5"/>
      <c r="P389" s="5"/>
      <c r="Q389" s="5"/>
      <c r="R389" s="5"/>
    </row>
    <row r="390" spans="1:18" ht="30.75" customHeight="1" x14ac:dyDescent="0.3">
      <c r="A390" s="442">
        <f>A378+1</f>
        <v>30</v>
      </c>
      <c r="B390" s="443"/>
      <c r="C390" s="443"/>
      <c r="D390" s="444"/>
      <c r="E390" s="445" t="str">
        <f>VLOOKUP(A390,'LISTA DE OFERENTES'!$A$6:$B$38,2,FALSE)</f>
        <v>CONSORCIO PARQUES INLF</v>
      </c>
      <c r="F390" s="446"/>
      <c r="G390" s="446"/>
      <c r="H390" s="446"/>
      <c r="I390" s="446"/>
      <c r="J390" s="446"/>
      <c r="K390" s="446"/>
      <c r="L390" s="446"/>
      <c r="M390" s="446"/>
      <c r="N390" s="446"/>
      <c r="O390" s="446"/>
      <c r="P390" s="446"/>
      <c r="Q390" s="446"/>
      <c r="R390" s="447"/>
    </row>
    <row r="391" spans="1:18" ht="50.25" customHeight="1" x14ac:dyDescent="0.3">
      <c r="A391" s="28" t="s">
        <v>215</v>
      </c>
      <c r="B391" s="85">
        <v>2</v>
      </c>
      <c r="C391" s="29" t="s">
        <v>216</v>
      </c>
      <c r="D391" s="68">
        <f>+$E$506</f>
        <v>1649.6083550000001</v>
      </c>
      <c r="E391" s="448"/>
      <c r="F391" s="449"/>
      <c r="G391" s="449"/>
      <c r="H391" s="449"/>
      <c r="I391" s="449"/>
      <c r="J391" s="449"/>
      <c r="K391" s="449"/>
      <c r="L391" s="449"/>
      <c r="M391" s="449"/>
      <c r="N391" s="449"/>
      <c r="O391" s="449"/>
      <c r="P391" s="449"/>
      <c r="Q391" s="449"/>
      <c r="R391" s="450"/>
    </row>
    <row r="392" spans="1:18" ht="30" customHeight="1" x14ac:dyDescent="0.3">
      <c r="A392" s="454" t="s">
        <v>217</v>
      </c>
      <c r="B392" s="455"/>
      <c r="C392" s="273">
        <f>IF(B391&lt;3,0.75,IF(B391&lt;5,1.2,1.5))</f>
        <v>0.75</v>
      </c>
      <c r="D392" s="71">
        <f>+D391*C392</f>
        <v>1237.20626625</v>
      </c>
      <c r="E392" s="448"/>
      <c r="F392" s="449"/>
      <c r="G392" s="449"/>
      <c r="H392" s="449"/>
      <c r="I392" s="449"/>
      <c r="J392" s="449"/>
      <c r="K392" s="449"/>
      <c r="L392" s="449"/>
      <c r="M392" s="449"/>
      <c r="N392" s="449"/>
      <c r="O392" s="449"/>
      <c r="P392" s="449"/>
      <c r="Q392" s="449"/>
      <c r="R392" s="450"/>
    </row>
    <row r="393" spans="1:18" ht="30" customHeight="1" x14ac:dyDescent="0.3">
      <c r="A393" s="456" t="s">
        <v>218</v>
      </c>
      <c r="B393" s="455"/>
      <c r="C393" s="457">
        <v>44832</v>
      </c>
      <c r="D393" s="458"/>
      <c r="E393" s="448"/>
      <c r="F393" s="449"/>
      <c r="G393" s="449"/>
      <c r="H393" s="449"/>
      <c r="I393" s="449"/>
      <c r="J393" s="449"/>
      <c r="K393" s="449"/>
      <c r="L393" s="449"/>
      <c r="M393" s="449"/>
      <c r="N393" s="449"/>
      <c r="O393" s="449"/>
      <c r="P393" s="449"/>
      <c r="Q393" s="449"/>
      <c r="R393" s="450"/>
    </row>
    <row r="394" spans="1:18" ht="30" customHeight="1" x14ac:dyDescent="0.3">
      <c r="A394" s="459" t="s">
        <v>219</v>
      </c>
      <c r="B394" s="460"/>
      <c r="C394" s="472" t="str">
        <f>+IF(I401&gt;D392,"CUMPLE","NO CUMPLE")</f>
        <v>CUMPLE</v>
      </c>
      <c r="D394" s="473"/>
      <c r="E394" s="451"/>
      <c r="F394" s="452"/>
      <c r="G394" s="452"/>
      <c r="H394" s="452"/>
      <c r="I394" s="452"/>
      <c r="J394" s="452"/>
      <c r="K394" s="452"/>
      <c r="L394" s="452"/>
      <c r="M394" s="452"/>
      <c r="N394" s="452"/>
      <c r="O394" s="452"/>
      <c r="P394" s="452"/>
      <c r="Q394" s="452"/>
      <c r="R394" s="453"/>
    </row>
    <row r="395" spans="1:18" ht="55.5" customHeight="1" x14ac:dyDescent="0.3">
      <c r="A395" s="474" t="s">
        <v>220</v>
      </c>
      <c r="B395" s="475"/>
      <c r="C395" s="475"/>
      <c r="D395" s="475"/>
      <c r="E395" s="475"/>
      <c r="F395" s="475"/>
      <c r="G395" s="475"/>
      <c r="H395" s="475"/>
      <c r="I395" s="476"/>
      <c r="J395" s="81" t="s">
        <v>221</v>
      </c>
      <c r="K395" s="103" t="s">
        <v>222</v>
      </c>
      <c r="L395" s="477" t="s">
        <v>223</v>
      </c>
      <c r="M395" s="476"/>
      <c r="N395" s="478" t="s">
        <v>224</v>
      </c>
      <c r="O395" s="480" t="s">
        <v>225</v>
      </c>
      <c r="P395" s="481"/>
      <c r="Q395" s="478" t="s">
        <v>226</v>
      </c>
      <c r="R395" s="461" t="s">
        <v>227</v>
      </c>
    </row>
    <row r="396" spans="1:18" ht="77.25" customHeight="1" x14ac:dyDescent="0.3">
      <c r="A396" s="82" t="s">
        <v>228</v>
      </c>
      <c r="B396" s="463" t="s">
        <v>229</v>
      </c>
      <c r="C396" s="464"/>
      <c r="D396" s="83" t="s">
        <v>230</v>
      </c>
      <c r="E396" s="83" t="s">
        <v>231</v>
      </c>
      <c r="F396" s="83" t="s">
        <v>232</v>
      </c>
      <c r="G396" s="83" t="s">
        <v>233</v>
      </c>
      <c r="H396" s="116" t="s">
        <v>234</v>
      </c>
      <c r="I396" s="116" t="s">
        <v>235</v>
      </c>
      <c r="J396" s="84" t="s">
        <v>236</v>
      </c>
      <c r="K396" s="84" t="s">
        <v>237</v>
      </c>
      <c r="L396" s="84" t="s">
        <v>238</v>
      </c>
      <c r="M396" s="84" t="s">
        <v>239</v>
      </c>
      <c r="N396" s="479"/>
      <c r="O396" s="482"/>
      <c r="P396" s="483"/>
      <c r="Q396" s="479"/>
      <c r="R396" s="462"/>
    </row>
    <row r="397" spans="1:18" ht="39.9" customHeight="1" x14ac:dyDescent="0.3">
      <c r="A397" s="86" t="s">
        <v>161</v>
      </c>
      <c r="B397" s="87"/>
      <c r="C397" s="87"/>
      <c r="D397" s="87"/>
      <c r="E397" s="87"/>
      <c r="F397" s="87"/>
      <c r="G397" s="87"/>
      <c r="H397" s="87"/>
      <c r="I397" s="87"/>
      <c r="J397" s="87"/>
      <c r="K397" s="87"/>
      <c r="L397" s="362" t="s">
        <v>450</v>
      </c>
      <c r="M397" s="87"/>
      <c r="N397" s="87"/>
      <c r="O397" s="162" t="s">
        <v>241</v>
      </c>
      <c r="P397" s="87"/>
      <c r="Q397" s="159"/>
      <c r="R397" s="188"/>
    </row>
    <row r="398" spans="1:18" s="33" customFormat="1" ht="251.25" customHeight="1" x14ac:dyDescent="0.3">
      <c r="A398" s="320" t="s">
        <v>451</v>
      </c>
      <c r="B398" s="498" t="s">
        <v>452</v>
      </c>
      <c r="C398" s="467"/>
      <c r="D398" s="23" t="s">
        <v>453</v>
      </c>
      <c r="E398" s="69">
        <v>2021</v>
      </c>
      <c r="F398" s="69"/>
      <c r="G398" s="24">
        <v>3088.85</v>
      </c>
      <c r="H398" s="3">
        <v>0.95</v>
      </c>
      <c r="I398" s="24">
        <v>2934.41</v>
      </c>
      <c r="J398" s="100">
        <v>44525</v>
      </c>
      <c r="K398" s="30" t="s">
        <v>454</v>
      </c>
      <c r="L398" s="363"/>
      <c r="M398" s="31">
        <v>2934.41</v>
      </c>
      <c r="N398" s="365" t="s">
        <v>213</v>
      </c>
      <c r="O398" s="366">
        <f>56.36+455.4+9.57+113.65</f>
        <v>634.98</v>
      </c>
      <c r="P398" s="367" t="s">
        <v>214</v>
      </c>
      <c r="Q398" s="368" t="s">
        <v>213</v>
      </c>
      <c r="R398" s="368" t="s">
        <v>455</v>
      </c>
    </row>
    <row r="399" spans="1:18" s="33" customFormat="1" ht="38.25" customHeight="1" x14ac:dyDescent="0.3">
      <c r="A399" s="547" t="s">
        <v>163</v>
      </c>
      <c r="B399" s="548"/>
      <c r="C399" s="548"/>
      <c r="D399" s="548"/>
      <c r="E399" s="548"/>
      <c r="F399" s="548"/>
      <c r="G399" s="548"/>
      <c r="H399" s="548"/>
      <c r="I399" s="548"/>
      <c r="J399" s="548"/>
      <c r="K399" s="549"/>
      <c r="L399" s="363"/>
      <c r="M399" s="269"/>
      <c r="N399" s="270"/>
      <c r="O399" s="272" t="s">
        <v>241</v>
      </c>
      <c r="P399" s="270"/>
      <c r="Q399" s="270"/>
      <c r="R399" s="271"/>
    </row>
    <row r="400" spans="1:18" s="33" customFormat="1" ht="276" customHeight="1" x14ac:dyDescent="0.3">
      <c r="A400" s="237" t="s">
        <v>456</v>
      </c>
      <c r="B400" s="498" t="s">
        <v>457</v>
      </c>
      <c r="C400" s="467"/>
      <c r="D400" s="23" t="s">
        <v>458</v>
      </c>
      <c r="E400" s="69">
        <v>2014</v>
      </c>
      <c r="F400" s="69">
        <v>3963</v>
      </c>
      <c r="G400" s="24">
        <v>4505.05</v>
      </c>
      <c r="H400" s="3">
        <v>1</v>
      </c>
      <c r="I400" s="24">
        <v>4505.05</v>
      </c>
      <c r="J400" s="100">
        <v>41802</v>
      </c>
      <c r="K400" s="30" t="s">
        <v>459</v>
      </c>
      <c r="L400" s="364"/>
      <c r="M400" s="31">
        <v>4505.05</v>
      </c>
      <c r="N400" s="119" t="s">
        <v>213</v>
      </c>
      <c r="O400" s="186" t="s">
        <v>460</v>
      </c>
      <c r="P400" s="150" t="s">
        <v>213</v>
      </c>
      <c r="Q400" s="158" t="s">
        <v>213</v>
      </c>
      <c r="R400" s="158" t="s">
        <v>461</v>
      </c>
    </row>
    <row r="401" spans="1:18" s="33" customFormat="1" ht="48" customHeight="1" x14ac:dyDescent="0.3">
      <c r="A401" s="495" t="s">
        <v>249</v>
      </c>
      <c r="B401" s="485"/>
      <c r="C401" s="485"/>
      <c r="D401" s="485"/>
      <c r="E401" s="485"/>
      <c r="F401" s="485"/>
      <c r="G401" s="485"/>
      <c r="H401" s="486"/>
      <c r="I401" s="72">
        <f>SUM(I398:I400)</f>
        <v>7439.46</v>
      </c>
      <c r="J401" s="487" t="s">
        <v>250</v>
      </c>
      <c r="K401" s="488"/>
      <c r="L401" s="488"/>
      <c r="M401" s="488"/>
      <c r="N401" s="488"/>
      <c r="O401" s="488"/>
      <c r="P401" s="490"/>
      <c r="Q401" s="161"/>
      <c r="R401" s="190" t="s">
        <v>213</v>
      </c>
    </row>
    <row r="402" spans="1:18" ht="15.75" customHeight="1" x14ac:dyDescent="0.3">
      <c r="A402" s="4"/>
      <c r="B402" s="4"/>
      <c r="C402" s="120"/>
      <c r="D402" s="120"/>
      <c r="E402" s="120"/>
      <c r="F402" s="120"/>
      <c r="G402" s="120"/>
      <c r="H402" s="120"/>
      <c r="I402" s="120"/>
      <c r="J402" s="120"/>
      <c r="K402" s="120"/>
      <c r="L402" s="120"/>
      <c r="M402" s="120"/>
      <c r="N402" s="120"/>
      <c r="O402" s="120"/>
      <c r="P402" s="120"/>
      <c r="Q402" s="120"/>
      <c r="R402" s="5"/>
    </row>
    <row r="403" spans="1:18" ht="30.75" customHeight="1" x14ac:dyDescent="0.3">
      <c r="A403" s="442">
        <f>A390+1</f>
        <v>31</v>
      </c>
      <c r="B403" s="443"/>
      <c r="C403" s="443"/>
      <c r="D403" s="444"/>
      <c r="E403" s="445" t="s">
        <v>462</v>
      </c>
      <c r="F403" s="446"/>
      <c r="G403" s="446"/>
      <c r="H403" s="446"/>
      <c r="I403" s="446"/>
      <c r="J403" s="446"/>
      <c r="K403" s="446"/>
      <c r="L403" s="446"/>
      <c r="M403" s="446"/>
      <c r="N403" s="446"/>
      <c r="O403" s="446"/>
      <c r="P403" s="446"/>
      <c r="Q403" s="446"/>
      <c r="R403" s="447"/>
    </row>
    <row r="404" spans="1:18" ht="50.25" customHeight="1" x14ac:dyDescent="0.3">
      <c r="A404" s="28" t="s">
        <v>215</v>
      </c>
      <c r="B404" s="85">
        <v>2</v>
      </c>
      <c r="C404" s="29" t="s">
        <v>216</v>
      </c>
      <c r="D404" s="68">
        <f>+$E$506</f>
        <v>1649.6083550000001</v>
      </c>
      <c r="E404" s="448"/>
      <c r="F404" s="449"/>
      <c r="G404" s="449"/>
      <c r="H404" s="449"/>
      <c r="I404" s="449"/>
      <c r="J404" s="449"/>
      <c r="K404" s="449"/>
      <c r="L404" s="449"/>
      <c r="M404" s="449"/>
      <c r="N404" s="449"/>
      <c r="O404" s="449"/>
      <c r="P404" s="449"/>
      <c r="Q404" s="449"/>
      <c r="R404" s="450"/>
    </row>
    <row r="405" spans="1:18" ht="30" customHeight="1" x14ac:dyDescent="0.3">
      <c r="A405" s="454" t="s">
        <v>217</v>
      </c>
      <c r="B405" s="455"/>
      <c r="C405" s="70">
        <f>IF(B404&lt;3,0.75,IF(B404&lt;5,1.2,1.5))</f>
        <v>0.75</v>
      </c>
      <c r="D405" s="71">
        <f>+D404*C405</f>
        <v>1237.20626625</v>
      </c>
      <c r="E405" s="448"/>
      <c r="F405" s="449"/>
      <c r="G405" s="449"/>
      <c r="H405" s="449"/>
      <c r="I405" s="449"/>
      <c r="J405" s="449"/>
      <c r="K405" s="449"/>
      <c r="L405" s="449"/>
      <c r="M405" s="449"/>
      <c r="N405" s="449"/>
      <c r="O405" s="449"/>
      <c r="P405" s="449"/>
      <c r="Q405" s="449"/>
      <c r="R405" s="450"/>
    </row>
    <row r="406" spans="1:18" ht="30" customHeight="1" x14ac:dyDescent="0.3">
      <c r="A406" s="456" t="s">
        <v>218</v>
      </c>
      <c r="B406" s="455"/>
      <c r="C406" s="457">
        <v>44771</v>
      </c>
      <c r="D406" s="458"/>
      <c r="E406" s="448"/>
      <c r="F406" s="449"/>
      <c r="G406" s="449"/>
      <c r="H406" s="449"/>
      <c r="I406" s="449"/>
      <c r="J406" s="449"/>
      <c r="K406" s="449"/>
      <c r="L406" s="449"/>
      <c r="M406" s="449"/>
      <c r="N406" s="449"/>
      <c r="O406" s="449"/>
      <c r="P406" s="449"/>
      <c r="Q406" s="449"/>
      <c r="R406" s="450"/>
    </row>
    <row r="407" spans="1:18" ht="30" customHeight="1" x14ac:dyDescent="0.3">
      <c r="A407" s="459" t="s">
        <v>219</v>
      </c>
      <c r="B407" s="460"/>
      <c r="C407" s="472" t="str">
        <f>+IF(I414&gt;D405,"CUMPLE","NO CUMPLE")</f>
        <v>CUMPLE</v>
      </c>
      <c r="D407" s="473"/>
      <c r="E407" s="451"/>
      <c r="F407" s="452"/>
      <c r="G407" s="452"/>
      <c r="H407" s="452"/>
      <c r="I407" s="452"/>
      <c r="J407" s="452"/>
      <c r="K407" s="452"/>
      <c r="L407" s="452"/>
      <c r="M407" s="452"/>
      <c r="N407" s="452"/>
      <c r="O407" s="452"/>
      <c r="P407" s="452"/>
      <c r="Q407" s="452"/>
      <c r="R407" s="453"/>
    </row>
    <row r="408" spans="1:18" ht="55.5" customHeight="1" x14ac:dyDescent="0.3">
      <c r="A408" s="474" t="s">
        <v>220</v>
      </c>
      <c r="B408" s="475"/>
      <c r="C408" s="475"/>
      <c r="D408" s="475"/>
      <c r="E408" s="475"/>
      <c r="F408" s="475"/>
      <c r="G408" s="475"/>
      <c r="H408" s="475"/>
      <c r="I408" s="476"/>
      <c r="J408" s="81" t="s">
        <v>221</v>
      </c>
      <c r="K408" s="103" t="s">
        <v>222</v>
      </c>
      <c r="L408" s="477" t="s">
        <v>223</v>
      </c>
      <c r="M408" s="476"/>
      <c r="N408" s="478" t="s">
        <v>224</v>
      </c>
      <c r="O408" s="480" t="s">
        <v>225</v>
      </c>
      <c r="P408" s="481"/>
      <c r="Q408" s="478" t="s">
        <v>226</v>
      </c>
      <c r="R408" s="461" t="s">
        <v>227</v>
      </c>
    </row>
    <row r="409" spans="1:18" ht="77.25" customHeight="1" x14ac:dyDescent="0.3">
      <c r="A409" s="82" t="s">
        <v>228</v>
      </c>
      <c r="B409" s="463" t="s">
        <v>229</v>
      </c>
      <c r="C409" s="464"/>
      <c r="D409" s="83" t="s">
        <v>230</v>
      </c>
      <c r="E409" s="83" t="s">
        <v>231</v>
      </c>
      <c r="F409" s="83" t="s">
        <v>232</v>
      </c>
      <c r="G409" s="83" t="s">
        <v>233</v>
      </c>
      <c r="H409" s="116" t="s">
        <v>234</v>
      </c>
      <c r="I409" s="116" t="s">
        <v>235</v>
      </c>
      <c r="J409" s="84" t="s">
        <v>236</v>
      </c>
      <c r="K409" s="84" t="s">
        <v>237</v>
      </c>
      <c r="L409" s="84" t="s">
        <v>238</v>
      </c>
      <c r="M409" s="84" t="s">
        <v>239</v>
      </c>
      <c r="N409" s="479"/>
      <c r="O409" s="482"/>
      <c r="P409" s="483"/>
      <c r="Q409" s="479"/>
      <c r="R409" s="462"/>
    </row>
    <row r="410" spans="1:18" ht="39.9" customHeight="1" x14ac:dyDescent="0.3">
      <c r="A410" s="86" t="s">
        <v>167</v>
      </c>
      <c r="B410" s="87"/>
      <c r="C410" s="87"/>
      <c r="D410" s="87"/>
      <c r="E410" s="87"/>
      <c r="F410" s="87"/>
      <c r="G410" s="87"/>
      <c r="H410" s="87"/>
      <c r="I410" s="87"/>
      <c r="J410" s="87"/>
      <c r="K410" s="87"/>
      <c r="L410" s="491" t="s">
        <v>463</v>
      </c>
      <c r="M410" s="87"/>
      <c r="N410" s="87"/>
      <c r="O410" s="162" t="s">
        <v>241</v>
      </c>
      <c r="P410" s="87"/>
      <c r="Q410" s="87"/>
      <c r="R410" s="90"/>
    </row>
    <row r="411" spans="1:18" s="33" customFormat="1" ht="150" customHeight="1" x14ac:dyDescent="0.3">
      <c r="A411" s="119" t="s">
        <v>464</v>
      </c>
      <c r="B411" s="498" t="s">
        <v>465</v>
      </c>
      <c r="C411" s="467"/>
      <c r="D411" s="23" t="s">
        <v>466</v>
      </c>
      <c r="E411" s="69">
        <v>2008</v>
      </c>
      <c r="F411" s="69">
        <v>14262</v>
      </c>
      <c r="G411" s="24">
        <v>12152.13</v>
      </c>
      <c r="H411" s="3">
        <v>0.95</v>
      </c>
      <c r="I411" s="24">
        <v>11544.53</v>
      </c>
      <c r="J411" s="100">
        <v>39853</v>
      </c>
      <c r="K411" s="30" t="s">
        <v>454</v>
      </c>
      <c r="L411" s="492"/>
      <c r="M411" s="31">
        <v>11544.53</v>
      </c>
      <c r="N411" s="119" t="s">
        <v>213</v>
      </c>
      <c r="O411" s="186">
        <v>14262</v>
      </c>
      <c r="P411" s="119"/>
      <c r="Q411" s="142" t="s">
        <v>213</v>
      </c>
      <c r="R411" s="32"/>
    </row>
    <row r="412" spans="1:18" ht="39.9" customHeight="1" x14ac:dyDescent="0.3">
      <c r="A412" s="88" t="s">
        <v>168</v>
      </c>
      <c r="B412" s="499"/>
      <c r="C412" s="500"/>
      <c r="D412" s="88"/>
      <c r="E412" s="88"/>
      <c r="F412" s="88"/>
      <c r="G412" s="88"/>
      <c r="H412" s="88"/>
      <c r="I412" s="147"/>
      <c r="J412" s="88"/>
      <c r="K412" s="89"/>
      <c r="L412" s="492"/>
      <c r="M412" s="91"/>
      <c r="N412" s="88"/>
      <c r="O412" s="88"/>
      <c r="P412" s="88"/>
      <c r="Q412" s="87"/>
      <c r="R412" s="90"/>
    </row>
    <row r="413" spans="1:18" s="33" customFormat="1" ht="150" customHeight="1" x14ac:dyDescent="0.3">
      <c r="A413" s="119" t="s">
        <v>467</v>
      </c>
      <c r="B413" s="498" t="s">
        <v>243</v>
      </c>
      <c r="C413" s="467"/>
      <c r="D413" s="23" t="s">
        <v>468</v>
      </c>
      <c r="E413" s="69">
        <v>2017</v>
      </c>
      <c r="F413" s="69" t="s">
        <v>469</v>
      </c>
      <c r="G413" s="24">
        <v>9140.69</v>
      </c>
      <c r="H413" s="3">
        <v>0.95</v>
      </c>
      <c r="I413" s="24">
        <v>8683.66</v>
      </c>
      <c r="J413" s="100">
        <v>43969</v>
      </c>
      <c r="K413" s="30" t="s">
        <v>454</v>
      </c>
      <c r="L413" s="501"/>
      <c r="M413" s="31">
        <v>8683.66</v>
      </c>
      <c r="N413" s="119" t="s">
        <v>213</v>
      </c>
      <c r="O413" s="186">
        <v>0</v>
      </c>
      <c r="P413" s="119"/>
      <c r="Q413" s="142" t="s">
        <v>213</v>
      </c>
      <c r="R413" s="32" t="s">
        <v>470</v>
      </c>
    </row>
    <row r="414" spans="1:18" s="33" customFormat="1" ht="48" customHeight="1" x14ac:dyDescent="0.3">
      <c r="A414" s="495" t="s">
        <v>249</v>
      </c>
      <c r="B414" s="485"/>
      <c r="C414" s="485"/>
      <c r="D414" s="485"/>
      <c r="E414" s="485"/>
      <c r="F414" s="485"/>
      <c r="G414" s="485"/>
      <c r="H414" s="486"/>
      <c r="I414" s="72">
        <v>20228.18</v>
      </c>
      <c r="J414" s="487" t="s">
        <v>250</v>
      </c>
      <c r="K414" s="488"/>
      <c r="L414" s="488"/>
      <c r="M414" s="488"/>
      <c r="N414" s="488"/>
      <c r="O414" s="488"/>
      <c r="P414" s="490"/>
      <c r="Q414" s="136"/>
      <c r="R414" s="92" t="s">
        <v>214</v>
      </c>
    </row>
    <row r="415" spans="1:18" ht="15.6" x14ac:dyDescent="0.3">
      <c r="A415" s="4"/>
      <c r="B415" s="4"/>
      <c r="C415" s="4"/>
      <c r="D415" s="4"/>
      <c r="E415" s="4"/>
      <c r="F415" s="4"/>
      <c r="G415" s="4"/>
      <c r="H415" s="4"/>
      <c r="I415" s="4"/>
      <c r="J415" s="4"/>
      <c r="K415" s="4"/>
      <c r="L415" s="4"/>
      <c r="M415" s="4"/>
      <c r="N415" s="5"/>
      <c r="O415" s="5"/>
      <c r="P415" s="5"/>
      <c r="Q415" s="5"/>
      <c r="R415" s="5"/>
    </row>
    <row r="416" spans="1:18" ht="30.75" customHeight="1" x14ac:dyDescent="0.3">
      <c r="A416" s="442">
        <f>A403+1</f>
        <v>32</v>
      </c>
      <c r="B416" s="443"/>
      <c r="C416" s="443"/>
      <c r="D416" s="444"/>
      <c r="E416" s="445" t="s">
        <v>170</v>
      </c>
      <c r="F416" s="446"/>
      <c r="G416" s="446"/>
      <c r="H416" s="446"/>
      <c r="I416" s="446"/>
      <c r="J416" s="446"/>
      <c r="K416" s="446"/>
      <c r="L416" s="446"/>
      <c r="M416" s="446"/>
      <c r="N416" s="446"/>
      <c r="O416" s="446"/>
      <c r="P416" s="446"/>
      <c r="Q416" s="446"/>
      <c r="R416" s="447"/>
    </row>
    <row r="417" spans="1:18" ht="50.25" customHeight="1" x14ac:dyDescent="0.3">
      <c r="A417" s="28" t="s">
        <v>215</v>
      </c>
      <c r="B417" s="85">
        <v>2</v>
      </c>
      <c r="C417" s="29" t="s">
        <v>216</v>
      </c>
      <c r="D417" s="68">
        <f>+$E$506</f>
        <v>1649.6083550000001</v>
      </c>
      <c r="E417" s="448"/>
      <c r="F417" s="449"/>
      <c r="G417" s="449"/>
      <c r="H417" s="449"/>
      <c r="I417" s="449"/>
      <c r="J417" s="449"/>
      <c r="K417" s="449"/>
      <c r="L417" s="449"/>
      <c r="M417" s="449"/>
      <c r="N417" s="449"/>
      <c r="O417" s="449"/>
      <c r="P417" s="449"/>
      <c r="Q417" s="449"/>
      <c r="R417" s="450"/>
    </row>
    <row r="418" spans="1:18" ht="30" customHeight="1" x14ac:dyDescent="0.3">
      <c r="A418" s="454" t="s">
        <v>217</v>
      </c>
      <c r="B418" s="455"/>
      <c r="C418" s="70">
        <f>IF(B417&lt;3,0.75,IF(B417&lt;5,1.2,1.5))</f>
        <v>0.75</v>
      </c>
      <c r="D418" s="71">
        <f>+D417*C418</f>
        <v>1237.20626625</v>
      </c>
      <c r="E418" s="448"/>
      <c r="F418" s="449"/>
      <c r="G418" s="449"/>
      <c r="H418" s="449"/>
      <c r="I418" s="449"/>
      <c r="J418" s="449"/>
      <c r="K418" s="449"/>
      <c r="L418" s="449"/>
      <c r="M418" s="449"/>
      <c r="N418" s="449"/>
      <c r="O418" s="449"/>
      <c r="P418" s="449"/>
      <c r="Q418" s="449"/>
      <c r="R418" s="450"/>
    </row>
    <row r="419" spans="1:18" ht="30" customHeight="1" x14ac:dyDescent="0.3">
      <c r="A419" s="456" t="s">
        <v>218</v>
      </c>
      <c r="B419" s="455"/>
      <c r="C419" s="457">
        <v>44771</v>
      </c>
      <c r="D419" s="458"/>
      <c r="E419" s="448"/>
      <c r="F419" s="449"/>
      <c r="G419" s="449"/>
      <c r="H419" s="449"/>
      <c r="I419" s="449"/>
      <c r="J419" s="449"/>
      <c r="K419" s="449"/>
      <c r="L419" s="449"/>
      <c r="M419" s="449"/>
      <c r="N419" s="449"/>
      <c r="O419" s="449"/>
      <c r="P419" s="449"/>
      <c r="Q419" s="449"/>
      <c r="R419" s="450"/>
    </row>
    <row r="420" spans="1:18" ht="30" customHeight="1" x14ac:dyDescent="0.3">
      <c r="A420" s="459" t="s">
        <v>219</v>
      </c>
      <c r="B420" s="460"/>
      <c r="C420" s="472" t="str">
        <f>+IF(I426&gt;D418,"CUMPLE","NO CUMPLE")</f>
        <v>CUMPLE</v>
      </c>
      <c r="D420" s="473"/>
      <c r="E420" s="451"/>
      <c r="F420" s="452"/>
      <c r="G420" s="452"/>
      <c r="H420" s="452"/>
      <c r="I420" s="452"/>
      <c r="J420" s="452"/>
      <c r="K420" s="452"/>
      <c r="L420" s="452"/>
      <c r="M420" s="452"/>
      <c r="N420" s="452"/>
      <c r="O420" s="452"/>
      <c r="P420" s="452"/>
      <c r="Q420" s="452"/>
      <c r="R420" s="453"/>
    </row>
    <row r="421" spans="1:18" ht="55.5" customHeight="1" x14ac:dyDescent="0.3">
      <c r="A421" s="474" t="s">
        <v>220</v>
      </c>
      <c r="B421" s="475"/>
      <c r="C421" s="475"/>
      <c r="D421" s="475"/>
      <c r="E421" s="475"/>
      <c r="F421" s="475"/>
      <c r="G421" s="475"/>
      <c r="H421" s="475"/>
      <c r="I421" s="476"/>
      <c r="J421" s="81" t="s">
        <v>221</v>
      </c>
      <c r="K421" s="103" t="s">
        <v>222</v>
      </c>
      <c r="L421" s="477" t="s">
        <v>223</v>
      </c>
      <c r="M421" s="476"/>
      <c r="N421" s="478" t="s">
        <v>224</v>
      </c>
      <c r="O421" s="480" t="s">
        <v>225</v>
      </c>
      <c r="P421" s="481"/>
      <c r="Q421" s="478" t="s">
        <v>226</v>
      </c>
      <c r="R421" s="461" t="s">
        <v>227</v>
      </c>
    </row>
    <row r="422" spans="1:18" ht="77.25" customHeight="1" x14ac:dyDescent="0.3">
      <c r="A422" s="82" t="s">
        <v>228</v>
      </c>
      <c r="B422" s="463" t="s">
        <v>229</v>
      </c>
      <c r="C422" s="464"/>
      <c r="D422" s="83" t="s">
        <v>230</v>
      </c>
      <c r="E422" s="83" t="s">
        <v>231</v>
      </c>
      <c r="F422" s="83" t="s">
        <v>232</v>
      </c>
      <c r="G422" s="83" t="s">
        <v>233</v>
      </c>
      <c r="H422" s="116" t="s">
        <v>234</v>
      </c>
      <c r="I422" s="116" t="s">
        <v>235</v>
      </c>
      <c r="J422" s="84" t="s">
        <v>236</v>
      </c>
      <c r="K422" s="84" t="s">
        <v>237</v>
      </c>
      <c r="L422" s="84" t="s">
        <v>238</v>
      </c>
      <c r="M422" s="84" t="s">
        <v>239</v>
      </c>
      <c r="N422" s="479"/>
      <c r="O422" s="482"/>
      <c r="P422" s="483"/>
      <c r="Q422" s="479"/>
      <c r="R422" s="462"/>
    </row>
    <row r="423" spans="1:18" ht="39.9" customHeight="1" x14ac:dyDescent="0.3">
      <c r="A423" s="86" t="str">
        <f>VLOOKUP(A416,'LISTA DE OFERENTES'!$A$6:$R$38,2,FALSE)</f>
        <v>CONSORCIO TUNALITO</v>
      </c>
      <c r="B423" s="87"/>
      <c r="C423" s="87"/>
      <c r="D423" s="87"/>
      <c r="E423" s="87"/>
      <c r="F423" s="87"/>
      <c r="G423" s="87"/>
      <c r="H423" s="87"/>
      <c r="I423" s="87"/>
      <c r="J423" s="87"/>
      <c r="K423" s="87"/>
      <c r="L423" s="496" t="s">
        <v>172</v>
      </c>
      <c r="M423" s="87"/>
      <c r="N423" s="87"/>
      <c r="O423" s="162" t="s">
        <v>241</v>
      </c>
      <c r="P423" s="87"/>
      <c r="Q423" s="87"/>
      <c r="R423" s="90"/>
    </row>
    <row r="424" spans="1:18" s="33" customFormat="1" ht="150" customHeight="1" x14ac:dyDescent="0.3">
      <c r="A424" s="119" t="s">
        <v>471</v>
      </c>
      <c r="B424" s="498" t="s">
        <v>472</v>
      </c>
      <c r="C424" s="467"/>
      <c r="D424" s="23">
        <v>1391875232</v>
      </c>
      <c r="E424" s="69">
        <v>2007</v>
      </c>
      <c r="F424" s="69">
        <v>29687</v>
      </c>
      <c r="G424" s="24">
        <f>D424/(VLOOKUP(E424,$D$533:$E$564,2,FALSE))</f>
        <v>3209.3042010606409</v>
      </c>
      <c r="H424" s="3">
        <v>0.95</v>
      </c>
      <c r="I424" s="24">
        <f>H424*G424</f>
        <v>3048.8389910076089</v>
      </c>
      <c r="J424" s="100">
        <v>39797</v>
      </c>
      <c r="K424" s="30" t="s">
        <v>473</v>
      </c>
      <c r="L424" s="497"/>
      <c r="M424" s="31">
        <f>I424</f>
        <v>3048.8389910076089</v>
      </c>
      <c r="N424" s="119" t="s">
        <v>213</v>
      </c>
      <c r="O424" s="186" t="str">
        <f>+CONCATENATE(FIXED(F424*H424,2)," ","m2")</f>
        <v>28.202,65 m2</v>
      </c>
      <c r="P424" s="119" t="s">
        <v>213</v>
      </c>
      <c r="Q424" s="142" t="s">
        <v>213</v>
      </c>
      <c r="R424" s="32"/>
    </row>
    <row r="425" spans="1:18" s="33" customFormat="1" ht="150" customHeight="1" x14ac:dyDescent="0.3">
      <c r="A425" s="119" t="s">
        <v>474</v>
      </c>
      <c r="B425" s="498" t="s">
        <v>475</v>
      </c>
      <c r="C425" s="467"/>
      <c r="D425" s="23">
        <v>4264503813</v>
      </c>
      <c r="E425" s="69">
        <v>2010</v>
      </c>
      <c r="F425" s="69">
        <v>0</v>
      </c>
      <c r="G425" s="24">
        <f>D425/(VLOOKUP(E425,$D$533:$E$564,2,FALSE))</f>
        <v>8280.5899281553393</v>
      </c>
      <c r="H425" s="3">
        <v>0.95</v>
      </c>
      <c r="I425" s="24">
        <f>H425*G425</f>
        <v>7866.5604317475718</v>
      </c>
      <c r="J425" s="100">
        <v>40791</v>
      </c>
      <c r="K425" s="30" t="s">
        <v>473</v>
      </c>
      <c r="L425" s="497"/>
      <c r="M425" s="31">
        <f>I425</f>
        <v>7866.5604317475718</v>
      </c>
      <c r="N425" s="119" t="s">
        <v>213</v>
      </c>
      <c r="O425" s="186" t="str">
        <f>+CONCATENATE(FIXED(F425*H425,2)," ","m2")</f>
        <v>0,00 m2</v>
      </c>
      <c r="P425" s="119" t="s">
        <v>213</v>
      </c>
      <c r="Q425" s="142" t="s">
        <v>213</v>
      </c>
      <c r="R425" s="32"/>
    </row>
    <row r="426" spans="1:18" s="33" customFormat="1" ht="48" customHeight="1" x14ac:dyDescent="0.3">
      <c r="A426" s="495" t="s">
        <v>249</v>
      </c>
      <c r="B426" s="485"/>
      <c r="C426" s="485"/>
      <c r="D426" s="485"/>
      <c r="E426" s="485"/>
      <c r="F426" s="485"/>
      <c r="G426" s="485"/>
      <c r="H426" s="486"/>
      <c r="I426" s="72">
        <f>SUM(I424:I425)</f>
        <v>10915.399422755181</v>
      </c>
      <c r="J426" s="487" t="s">
        <v>250</v>
      </c>
      <c r="K426" s="488"/>
      <c r="L426" s="488"/>
      <c r="M426" s="488"/>
      <c r="N426" s="488"/>
      <c r="O426" s="488"/>
      <c r="P426" s="490"/>
      <c r="Q426" s="136"/>
      <c r="R426" s="92" t="s">
        <v>213</v>
      </c>
    </row>
    <row r="427" spans="1:18" ht="15.6" x14ac:dyDescent="0.3">
      <c r="A427" s="4"/>
      <c r="B427" s="4"/>
      <c r="C427" s="4"/>
      <c r="D427" s="4"/>
      <c r="E427" s="4"/>
      <c r="F427" s="4"/>
      <c r="G427" s="4"/>
      <c r="H427" s="4"/>
      <c r="I427" s="4"/>
      <c r="J427" s="4"/>
      <c r="K427" s="4"/>
      <c r="L427" s="4"/>
      <c r="M427" s="4"/>
      <c r="N427" s="5"/>
      <c r="O427" s="5"/>
      <c r="P427" s="5"/>
      <c r="Q427" s="5"/>
      <c r="R427" s="5"/>
    </row>
    <row r="428" spans="1:18" ht="30.75" customHeight="1" x14ac:dyDescent="0.3">
      <c r="A428" s="442">
        <f>A416+1</f>
        <v>33</v>
      </c>
      <c r="B428" s="443"/>
      <c r="C428" s="443"/>
      <c r="D428" s="444"/>
      <c r="E428" s="445" t="s">
        <v>476</v>
      </c>
      <c r="F428" s="446"/>
      <c r="G428" s="446"/>
      <c r="H428" s="446"/>
      <c r="I428" s="446"/>
      <c r="J428" s="446"/>
      <c r="K428" s="446"/>
      <c r="L428" s="446"/>
      <c r="M428" s="446"/>
      <c r="N428" s="446"/>
      <c r="O428" s="446"/>
      <c r="P428" s="446"/>
      <c r="Q428" s="446"/>
      <c r="R428" s="447"/>
    </row>
    <row r="429" spans="1:18" ht="50.25" customHeight="1" x14ac:dyDescent="0.3">
      <c r="A429" s="28" t="s">
        <v>215</v>
      </c>
      <c r="B429" s="85">
        <v>2</v>
      </c>
      <c r="C429" s="29" t="s">
        <v>216</v>
      </c>
      <c r="D429" s="68">
        <f>+$E$506</f>
        <v>1649.6083550000001</v>
      </c>
      <c r="E429" s="448"/>
      <c r="F429" s="449"/>
      <c r="G429" s="449"/>
      <c r="H429" s="449"/>
      <c r="I429" s="449"/>
      <c r="J429" s="449"/>
      <c r="K429" s="449"/>
      <c r="L429" s="449"/>
      <c r="M429" s="449"/>
      <c r="N429" s="449"/>
      <c r="O429" s="449"/>
      <c r="P429" s="449"/>
      <c r="Q429" s="449"/>
      <c r="R429" s="450"/>
    </row>
    <row r="430" spans="1:18" ht="30" customHeight="1" x14ac:dyDescent="0.3">
      <c r="A430" s="454" t="s">
        <v>217</v>
      </c>
      <c r="B430" s="455"/>
      <c r="C430" s="70">
        <f>IF(B429&lt;3,0.75,IF(B429&lt;5,1.2,1.5))</f>
        <v>0.75</v>
      </c>
      <c r="D430" s="71">
        <f>+D429*C430</f>
        <v>1237.20626625</v>
      </c>
      <c r="E430" s="448"/>
      <c r="F430" s="449"/>
      <c r="G430" s="449"/>
      <c r="H430" s="449"/>
      <c r="I430" s="449"/>
      <c r="J430" s="449"/>
      <c r="K430" s="449"/>
      <c r="L430" s="449"/>
      <c r="M430" s="449"/>
      <c r="N430" s="449"/>
      <c r="O430" s="449"/>
      <c r="P430" s="449"/>
      <c r="Q430" s="449"/>
      <c r="R430" s="450"/>
    </row>
    <row r="431" spans="1:18" ht="30" customHeight="1" x14ac:dyDescent="0.3">
      <c r="A431" s="456" t="s">
        <v>218</v>
      </c>
      <c r="B431" s="455"/>
      <c r="C431" s="457">
        <v>44771</v>
      </c>
      <c r="D431" s="458"/>
      <c r="E431" s="448"/>
      <c r="F431" s="449"/>
      <c r="G431" s="449"/>
      <c r="H431" s="449"/>
      <c r="I431" s="449"/>
      <c r="J431" s="449"/>
      <c r="K431" s="449"/>
      <c r="L431" s="449"/>
      <c r="M431" s="449"/>
      <c r="N431" s="449"/>
      <c r="O431" s="449"/>
      <c r="P431" s="449"/>
      <c r="Q431" s="449"/>
      <c r="R431" s="450"/>
    </row>
    <row r="432" spans="1:18" ht="30" customHeight="1" x14ac:dyDescent="0.3">
      <c r="A432" s="459" t="s">
        <v>219</v>
      </c>
      <c r="B432" s="460"/>
      <c r="C432" s="472" t="str">
        <f>+IF(I438&gt;D430,"CUMPLE","NO CUMPLE")</f>
        <v>CUMPLE</v>
      </c>
      <c r="D432" s="473"/>
      <c r="E432" s="451"/>
      <c r="F432" s="452"/>
      <c r="G432" s="452"/>
      <c r="H432" s="452"/>
      <c r="I432" s="452"/>
      <c r="J432" s="452"/>
      <c r="K432" s="452"/>
      <c r="L432" s="452"/>
      <c r="M432" s="452"/>
      <c r="N432" s="452"/>
      <c r="O432" s="452"/>
      <c r="P432" s="452"/>
      <c r="Q432" s="452"/>
      <c r="R432" s="453"/>
    </row>
    <row r="433" spans="1:18" ht="55.5" customHeight="1" x14ac:dyDescent="0.3">
      <c r="A433" s="474" t="s">
        <v>220</v>
      </c>
      <c r="B433" s="475"/>
      <c r="C433" s="475"/>
      <c r="D433" s="475"/>
      <c r="E433" s="475"/>
      <c r="F433" s="475"/>
      <c r="G433" s="475"/>
      <c r="H433" s="475"/>
      <c r="I433" s="476"/>
      <c r="J433" s="81" t="s">
        <v>221</v>
      </c>
      <c r="K433" s="103" t="s">
        <v>222</v>
      </c>
      <c r="L433" s="477" t="s">
        <v>223</v>
      </c>
      <c r="M433" s="476"/>
      <c r="N433" s="478" t="s">
        <v>224</v>
      </c>
      <c r="O433" s="480" t="s">
        <v>225</v>
      </c>
      <c r="P433" s="481"/>
      <c r="Q433" s="478" t="s">
        <v>226</v>
      </c>
      <c r="R433" s="461" t="s">
        <v>227</v>
      </c>
    </row>
    <row r="434" spans="1:18" ht="77.25" customHeight="1" x14ac:dyDescent="0.3">
      <c r="A434" s="82" t="s">
        <v>228</v>
      </c>
      <c r="B434" s="463" t="s">
        <v>229</v>
      </c>
      <c r="C434" s="464"/>
      <c r="D434" s="83" t="s">
        <v>230</v>
      </c>
      <c r="E434" s="83" t="s">
        <v>231</v>
      </c>
      <c r="F434" s="83" t="s">
        <v>232</v>
      </c>
      <c r="G434" s="83" t="s">
        <v>233</v>
      </c>
      <c r="H434" s="116" t="s">
        <v>234</v>
      </c>
      <c r="I434" s="116" t="s">
        <v>235</v>
      </c>
      <c r="J434" s="84" t="s">
        <v>236</v>
      </c>
      <c r="K434" s="84" t="s">
        <v>237</v>
      </c>
      <c r="L434" s="84" t="s">
        <v>238</v>
      </c>
      <c r="M434" s="84" t="s">
        <v>239</v>
      </c>
      <c r="N434" s="479"/>
      <c r="O434" s="482"/>
      <c r="P434" s="483"/>
      <c r="Q434" s="479"/>
      <c r="R434" s="462"/>
    </row>
    <row r="435" spans="1:18" ht="39.9" customHeight="1" x14ac:dyDescent="0.3">
      <c r="A435" s="86" t="str">
        <f>VLOOKUP(A428,'LISTA DE OFERENTES'!$A$6:$R$38,2,FALSE)</f>
        <v>CONSORCIO EL TUNAL V4G</v>
      </c>
      <c r="B435" s="87"/>
      <c r="C435" s="87"/>
      <c r="D435" s="87"/>
      <c r="E435" s="87"/>
      <c r="F435" s="87"/>
      <c r="G435" s="87"/>
      <c r="H435" s="87"/>
      <c r="I435" s="87"/>
      <c r="J435" s="87"/>
      <c r="K435" s="87"/>
      <c r="L435" s="496" t="s">
        <v>477</v>
      </c>
      <c r="M435" s="87"/>
      <c r="N435" s="87"/>
      <c r="O435" s="162" t="s">
        <v>241</v>
      </c>
      <c r="P435" s="87"/>
      <c r="Q435" s="87"/>
      <c r="R435" s="90"/>
    </row>
    <row r="436" spans="1:18" s="33" customFormat="1" ht="150" customHeight="1" x14ac:dyDescent="0.3">
      <c r="A436" s="119" t="s">
        <v>478</v>
      </c>
      <c r="B436" s="498" t="s">
        <v>479</v>
      </c>
      <c r="C436" s="467"/>
      <c r="D436" s="23">
        <v>16884442607</v>
      </c>
      <c r="E436" s="69">
        <v>2015</v>
      </c>
      <c r="F436" s="69">
        <v>33315</v>
      </c>
      <c r="G436" s="24">
        <f>D436/(VLOOKUP(E436,$D$533:$E$564,2,FALSE))</f>
        <v>26203.837366338172</v>
      </c>
      <c r="H436" s="3">
        <v>0.6</v>
      </c>
      <c r="I436" s="24">
        <f>H436*G436</f>
        <v>15722.302419802902</v>
      </c>
      <c r="J436" s="100">
        <v>43090</v>
      </c>
      <c r="K436" s="30" t="s">
        <v>473</v>
      </c>
      <c r="L436" s="497"/>
      <c r="M436" s="31">
        <f>I436</f>
        <v>15722.302419802902</v>
      </c>
      <c r="N436" s="119" t="s">
        <v>213</v>
      </c>
      <c r="O436" s="186" t="str">
        <f>+CONCATENATE(FIXED(F436*H436,2)," ","m2")</f>
        <v>19.989,00 m2</v>
      </c>
      <c r="P436" s="119" t="s">
        <v>213</v>
      </c>
      <c r="Q436" s="142" t="s">
        <v>213</v>
      </c>
      <c r="R436" s="32"/>
    </row>
    <row r="437" spans="1:18" s="33" customFormat="1" ht="150" customHeight="1" x14ac:dyDescent="0.3">
      <c r="A437" s="119" t="s">
        <v>480</v>
      </c>
      <c r="B437" s="498" t="s">
        <v>481</v>
      </c>
      <c r="C437" s="467"/>
      <c r="D437" s="23">
        <v>557150329</v>
      </c>
      <c r="E437" s="69">
        <v>2018</v>
      </c>
      <c r="F437" s="69">
        <v>0</v>
      </c>
      <c r="G437" s="24">
        <f>D437/(VLOOKUP(E437,$D$533:$E$564,2,FALSE))</f>
        <v>713.15972387557247</v>
      </c>
      <c r="H437" s="3">
        <v>1</v>
      </c>
      <c r="I437" s="24">
        <f>H437*G437</f>
        <v>713.15972387557247</v>
      </c>
      <c r="J437" s="100">
        <v>43340</v>
      </c>
      <c r="K437" s="30" t="s">
        <v>473</v>
      </c>
      <c r="L437" s="550"/>
      <c r="M437" s="31">
        <f>I437</f>
        <v>713.15972387557247</v>
      </c>
      <c r="N437" s="119" t="s">
        <v>214</v>
      </c>
      <c r="O437" s="186" t="str">
        <f>+CONCATENATE(FIXED(F437*H437,2)," ","m2")</f>
        <v>0,00 m2</v>
      </c>
      <c r="P437" s="119" t="s">
        <v>214</v>
      </c>
      <c r="Q437" s="142" t="s">
        <v>214</v>
      </c>
      <c r="R437" s="32" t="s">
        <v>482</v>
      </c>
    </row>
    <row r="438" spans="1:18" s="33" customFormat="1" ht="48" customHeight="1" x14ac:dyDescent="0.3">
      <c r="A438" s="495" t="s">
        <v>249</v>
      </c>
      <c r="B438" s="485"/>
      <c r="C438" s="485"/>
      <c r="D438" s="485"/>
      <c r="E438" s="485"/>
      <c r="F438" s="485"/>
      <c r="G438" s="485"/>
      <c r="H438" s="486"/>
      <c r="I438" s="72">
        <f>SUM(I436:I437)</f>
        <v>16435.462143678473</v>
      </c>
      <c r="J438" s="487" t="s">
        <v>250</v>
      </c>
      <c r="K438" s="488"/>
      <c r="L438" s="489"/>
      <c r="M438" s="488"/>
      <c r="N438" s="488"/>
      <c r="O438" s="488"/>
      <c r="P438" s="490"/>
      <c r="Q438" s="136"/>
      <c r="R438" s="92" t="s">
        <v>213</v>
      </c>
    </row>
    <row r="439" spans="1:18" ht="15.75" customHeight="1" x14ac:dyDescent="0.3">
      <c r="A439" s="4"/>
      <c r="B439" s="4"/>
      <c r="C439" s="120"/>
      <c r="D439" s="120"/>
      <c r="E439" s="120"/>
      <c r="F439" s="120"/>
      <c r="G439" s="120"/>
      <c r="H439" s="120"/>
      <c r="I439" s="120"/>
      <c r="J439" s="120"/>
      <c r="K439" s="120"/>
      <c r="L439" s="120"/>
      <c r="M439" s="120"/>
      <c r="N439" s="120"/>
      <c r="O439" s="120"/>
      <c r="P439" s="120"/>
      <c r="Q439" s="120"/>
      <c r="R439" s="5"/>
    </row>
    <row r="440" spans="1:18" ht="30.75" customHeight="1" x14ac:dyDescent="0.3">
      <c r="A440" s="442">
        <f>A428+1</f>
        <v>34</v>
      </c>
      <c r="B440" s="443"/>
      <c r="C440" s="443"/>
      <c r="D440" s="444"/>
      <c r="E440" s="551" t="s">
        <v>483</v>
      </c>
      <c r="F440" s="446"/>
      <c r="G440" s="446"/>
      <c r="H440" s="446"/>
      <c r="I440" s="446"/>
      <c r="J440" s="446"/>
      <c r="K440" s="446"/>
      <c r="L440" s="446"/>
      <c r="M440" s="446"/>
      <c r="N440" s="446"/>
      <c r="O440" s="446"/>
      <c r="P440" s="446"/>
      <c r="Q440" s="446"/>
      <c r="R440" s="447"/>
    </row>
    <row r="441" spans="1:18" ht="50.25" customHeight="1" x14ac:dyDescent="0.3">
      <c r="A441" s="28" t="s">
        <v>215</v>
      </c>
      <c r="B441" s="85">
        <v>2</v>
      </c>
      <c r="C441" s="29" t="s">
        <v>216</v>
      </c>
      <c r="D441" s="68">
        <f>+$E$506</f>
        <v>1649.6083550000001</v>
      </c>
      <c r="E441" s="448"/>
      <c r="F441" s="449"/>
      <c r="G441" s="449"/>
      <c r="H441" s="449"/>
      <c r="I441" s="449"/>
      <c r="J441" s="449"/>
      <c r="K441" s="449"/>
      <c r="L441" s="449"/>
      <c r="M441" s="449"/>
      <c r="N441" s="449"/>
      <c r="O441" s="449"/>
      <c r="P441" s="449"/>
      <c r="Q441" s="449"/>
      <c r="R441" s="450"/>
    </row>
    <row r="442" spans="1:18" ht="30" customHeight="1" x14ac:dyDescent="0.3">
      <c r="A442" s="454" t="s">
        <v>217</v>
      </c>
      <c r="B442" s="455"/>
      <c r="C442" s="70">
        <f>IF(B441&lt;3,0.75,IF(B441&lt;5,1.2,1.5))</f>
        <v>0.75</v>
      </c>
      <c r="D442" s="71">
        <f>+D441*C442</f>
        <v>1237.20626625</v>
      </c>
      <c r="E442" s="448"/>
      <c r="F442" s="449"/>
      <c r="G442" s="449"/>
      <c r="H442" s="449"/>
      <c r="I442" s="449"/>
      <c r="J442" s="449"/>
      <c r="K442" s="449"/>
      <c r="L442" s="449"/>
      <c r="M442" s="449"/>
      <c r="N442" s="449"/>
      <c r="O442" s="449"/>
      <c r="P442" s="449"/>
      <c r="Q442" s="449"/>
      <c r="R442" s="450"/>
    </row>
    <row r="443" spans="1:18" ht="30" customHeight="1" x14ac:dyDescent="0.3">
      <c r="A443" s="456" t="s">
        <v>218</v>
      </c>
      <c r="B443" s="455"/>
      <c r="C443" s="457">
        <v>44771</v>
      </c>
      <c r="D443" s="458"/>
      <c r="E443" s="448"/>
      <c r="F443" s="449"/>
      <c r="G443" s="449"/>
      <c r="H443" s="449"/>
      <c r="I443" s="449"/>
      <c r="J443" s="449"/>
      <c r="K443" s="449"/>
      <c r="L443" s="449"/>
      <c r="M443" s="449"/>
      <c r="N443" s="449"/>
      <c r="O443" s="449"/>
      <c r="P443" s="449"/>
      <c r="Q443" s="449"/>
      <c r="R443" s="450"/>
    </row>
    <row r="444" spans="1:18" ht="30" customHeight="1" x14ac:dyDescent="0.3">
      <c r="A444" s="459" t="s">
        <v>219</v>
      </c>
      <c r="B444" s="460"/>
      <c r="C444" s="472" t="str">
        <f>+IF(I450&gt;D442,"CUMPLE","NO CUMPLE")</f>
        <v>CUMPLE</v>
      </c>
      <c r="D444" s="473"/>
      <c r="E444" s="451"/>
      <c r="F444" s="452"/>
      <c r="G444" s="452"/>
      <c r="H444" s="452"/>
      <c r="I444" s="452"/>
      <c r="J444" s="452"/>
      <c r="K444" s="452"/>
      <c r="L444" s="452"/>
      <c r="M444" s="452"/>
      <c r="N444" s="452"/>
      <c r="O444" s="452"/>
      <c r="P444" s="452"/>
      <c r="Q444" s="452"/>
      <c r="R444" s="453"/>
    </row>
    <row r="445" spans="1:18" ht="55.5" customHeight="1" x14ac:dyDescent="0.3">
      <c r="A445" s="474" t="s">
        <v>220</v>
      </c>
      <c r="B445" s="475"/>
      <c r="C445" s="475"/>
      <c r="D445" s="475"/>
      <c r="E445" s="475"/>
      <c r="F445" s="475"/>
      <c r="G445" s="475"/>
      <c r="H445" s="475"/>
      <c r="I445" s="476"/>
      <c r="J445" s="81" t="s">
        <v>221</v>
      </c>
      <c r="K445" s="103" t="s">
        <v>222</v>
      </c>
      <c r="L445" s="477" t="s">
        <v>223</v>
      </c>
      <c r="M445" s="476"/>
      <c r="N445" s="478" t="s">
        <v>224</v>
      </c>
      <c r="O445" s="480" t="s">
        <v>225</v>
      </c>
      <c r="P445" s="481"/>
      <c r="Q445" s="478" t="s">
        <v>226</v>
      </c>
      <c r="R445" s="461" t="s">
        <v>227</v>
      </c>
    </row>
    <row r="446" spans="1:18" ht="77.25" customHeight="1" x14ac:dyDescent="0.3">
      <c r="A446" s="82" t="s">
        <v>228</v>
      </c>
      <c r="B446" s="463" t="s">
        <v>229</v>
      </c>
      <c r="C446" s="464"/>
      <c r="D446" s="83" t="s">
        <v>230</v>
      </c>
      <c r="E446" s="83" t="s">
        <v>231</v>
      </c>
      <c r="F446" s="83" t="s">
        <v>232</v>
      </c>
      <c r="G446" s="83" t="s">
        <v>233</v>
      </c>
      <c r="H446" s="116" t="s">
        <v>234</v>
      </c>
      <c r="I446" s="116" t="s">
        <v>235</v>
      </c>
      <c r="J446" s="84" t="s">
        <v>236</v>
      </c>
      <c r="K446" s="84" t="s">
        <v>237</v>
      </c>
      <c r="L446" s="84" t="s">
        <v>238</v>
      </c>
      <c r="M446" s="84" t="s">
        <v>239</v>
      </c>
      <c r="N446" s="479"/>
      <c r="O446" s="482"/>
      <c r="P446" s="483"/>
      <c r="Q446" s="479"/>
      <c r="R446" s="462"/>
    </row>
    <row r="447" spans="1:18" ht="39.9" customHeight="1" x14ac:dyDescent="0.3">
      <c r="A447" s="86" t="str">
        <f>VLOOKUP(A440,'LISTA DE OFERENTES'!$A$6:$R$43,2,FALSE)</f>
        <v>PANAM INGENIEROS SAS</v>
      </c>
      <c r="B447" s="87"/>
      <c r="C447" s="87"/>
      <c r="D447" s="87"/>
      <c r="E447" s="87"/>
      <c r="F447" s="87"/>
      <c r="G447" s="87"/>
      <c r="H447" s="87"/>
      <c r="I447" s="87"/>
      <c r="J447" s="87"/>
      <c r="K447" s="87"/>
      <c r="L447" s="496"/>
      <c r="M447" s="87"/>
      <c r="N447" s="87"/>
      <c r="O447" s="162" t="s">
        <v>241</v>
      </c>
      <c r="P447" s="87"/>
      <c r="Q447" s="87"/>
      <c r="R447" s="90"/>
    </row>
    <row r="448" spans="1:18" s="33" customFormat="1" ht="150" customHeight="1" x14ac:dyDescent="0.3">
      <c r="A448" s="119" t="s">
        <v>484</v>
      </c>
      <c r="B448" s="498" t="s">
        <v>485</v>
      </c>
      <c r="C448" s="467"/>
      <c r="D448" s="23">
        <v>1523636938</v>
      </c>
      <c r="E448" s="69">
        <v>2021</v>
      </c>
      <c r="F448" s="69">
        <v>3783</v>
      </c>
      <c r="G448" s="24">
        <f>D448/(VLOOKUP(E448,$D$533:$E$564,2,FALSE))</f>
        <v>1677.0427461624654</v>
      </c>
      <c r="H448" s="3">
        <v>0.95</v>
      </c>
      <c r="I448" s="24">
        <f>H448*G448</f>
        <v>1593.1906088543421</v>
      </c>
      <c r="J448" s="100">
        <v>44531</v>
      </c>
      <c r="K448" s="30" t="s">
        <v>473</v>
      </c>
      <c r="L448" s="497"/>
      <c r="M448" s="31">
        <f>I448</f>
        <v>1593.1906088543421</v>
      </c>
      <c r="N448" s="119" t="s">
        <v>213</v>
      </c>
      <c r="O448" s="186" t="str">
        <f>+CONCATENATE(FIXED(F448*H448,2)," ","m2")</f>
        <v>3.593,85 m2</v>
      </c>
      <c r="P448" s="119" t="s">
        <v>213</v>
      </c>
      <c r="Q448" s="142" t="s">
        <v>213</v>
      </c>
      <c r="R448" s="32"/>
    </row>
    <row r="449" spans="1:18" s="33" customFormat="1" ht="150" customHeight="1" x14ac:dyDescent="0.3">
      <c r="A449" s="119" t="s">
        <v>486</v>
      </c>
      <c r="B449" s="498" t="s">
        <v>487</v>
      </c>
      <c r="C449" s="467"/>
      <c r="D449" s="23">
        <v>3218785047</v>
      </c>
      <c r="E449" s="69">
        <v>2015</v>
      </c>
      <c r="F449" s="69">
        <v>0</v>
      </c>
      <c r="G449" s="24">
        <f>D449/(VLOOKUP(E449,$D$533:$E$564,2,FALSE))</f>
        <v>4995.3985365096605</v>
      </c>
      <c r="H449" s="3">
        <v>0.3</v>
      </c>
      <c r="I449" s="24">
        <f>H449*G449</f>
        <v>1498.6195609528982</v>
      </c>
      <c r="J449" s="100">
        <v>42794</v>
      </c>
      <c r="K449" s="30" t="s">
        <v>473</v>
      </c>
      <c r="L449" s="497"/>
      <c r="M449" s="31">
        <f>I449</f>
        <v>1498.6195609528982</v>
      </c>
      <c r="N449" s="119" t="s">
        <v>213</v>
      </c>
      <c r="O449" s="186" t="str">
        <f>+CONCATENATE(FIXED(F449*H449,2)," ","m2")</f>
        <v>0,00 m2</v>
      </c>
      <c r="P449" s="119" t="s">
        <v>213</v>
      </c>
      <c r="Q449" s="142" t="s">
        <v>213</v>
      </c>
      <c r="R449" s="32"/>
    </row>
    <row r="450" spans="1:18" s="33" customFormat="1" ht="48" customHeight="1" x14ac:dyDescent="0.3">
      <c r="A450" s="495" t="s">
        <v>249</v>
      </c>
      <c r="B450" s="485"/>
      <c r="C450" s="485"/>
      <c r="D450" s="485"/>
      <c r="E450" s="485"/>
      <c r="F450" s="485"/>
      <c r="G450" s="485"/>
      <c r="H450" s="486"/>
      <c r="I450" s="72">
        <f>SUM(I448:I449)</f>
        <v>3091.8101698072405</v>
      </c>
      <c r="J450" s="487" t="s">
        <v>250</v>
      </c>
      <c r="K450" s="488"/>
      <c r="L450" s="488"/>
      <c r="M450" s="488"/>
      <c r="N450" s="488"/>
      <c r="O450" s="488"/>
      <c r="P450" s="490"/>
      <c r="Q450" s="136"/>
      <c r="R450" s="92" t="s">
        <v>213</v>
      </c>
    </row>
    <row r="451" spans="1:18" ht="21" customHeight="1" x14ac:dyDescent="0.3">
      <c r="A451" s="4"/>
      <c r="B451" s="4"/>
      <c r="C451" s="120"/>
      <c r="D451" s="120"/>
      <c r="E451" s="120"/>
      <c r="F451" s="120"/>
      <c r="G451" s="120"/>
      <c r="H451" s="120"/>
      <c r="I451" s="120"/>
      <c r="J451" s="120"/>
      <c r="K451" s="120"/>
      <c r="L451" s="120"/>
      <c r="M451" s="120"/>
      <c r="N451" s="120"/>
      <c r="O451" s="120"/>
      <c r="P451" s="120"/>
      <c r="Q451" s="120"/>
      <c r="R451" s="5"/>
    </row>
    <row r="452" spans="1:18" ht="30.75" customHeight="1" x14ac:dyDescent="0.3">
      <c r="A452" s="442">
        <f>A440+1</f>
        <v>35</v>
      </c>
      <c r="B452" s="443"/>
      <c r="C452" s="443"/>
      <c r="D452" s="444"/>
      <c r="E452" s="445" t="s">
        <v>185</v>
      </c>
      <c r="F452" s="446"/>
      <c r="G452" s="446"/>
      <c r="H452" s="446"/>
      <c r="I452" s="446"/>
      <c r="J452" s="446"/>
      <c r="K452" s="446"/>
      <c r="L452" s="446"/>
      <c r="M452" s="446"/>
      <c r="N452" s="446"/>
      <c r="O452" s="446"/>
      <c r="P452" s="446"/>
      <c r="Q452" s="446"/>
      <c r="R452" s="447"/>
    </row>
    <row r="453" spans="1:18" ht="50.25" customHeight="1" x14ac:dyDescent="0.3">
      <c r="A453" s="28" t="s">
        <v>215</v>
      </c>
      <c r="B453" s="85">
        <v>3</v>
      </c>
      <c r="C453" s="29" t="s">
        <v>216</v>
      </c>
      <c r="D453" s="68">
        <f>+$E$506</f>
        <v>1649.6083550000001</v>
      </c>
      <c r="E453" s="448"/>
      <c r="F453" s="449"/>
      <c r="G453" s="449"/>
      <c r="H453" s="449"/>
      <c r="I453" s="449"/>
      <c r="J453" s="449"/>
      <c r="K453" s="449"/>
      <c r="L453" s="449"/>
      <c r="M453" s="449"/>
      <c r="N453" s="449"/>
      <c r="O453" s="449"/>
      <c r="P453" s="449"/>
      <c r="Q453" s="449"/>
      <c r="R453" s="450"/>
    </row>
    <row r="454" spans="1:18" ht="30" customHeight="1" x14ac:dyDescent="0.3">
      <c r="A454" s="454" t="s">
        <v>217</v>
      </c>
      <c r="B454" s="455"/>
      <c r="C454" s="70">
        <f>IF(B453&lt;3,0.75,IF(B453&lt;5,1.2,1.5))</f>
        <v>1.2</v>
      </c>
      <c r="D454" s="71">
        <f>+D453*C454</f>
        <v>1979.5300259999999</v>
      </c>
      <c r="E454" s="448"/>
      <c r="F454" s="449"/>
      <c r="G454" s="449"/>
      <c r="H454" s="449"/>
      <c r="I454" s="449"/>
      <c r="J454" s="449"/>
      <c r="K454" s="449"/>
      <c r="L454" s="449"/>
      <c r="M454" s="449"/>
      <c r="N454" s="449"/>
      <c r="O454" s="449"/>
      <c r="P454" s="449"/>
      <c r="Q454" s="449"/>
      <c r="R454" s="450"/>
    </row>
    <row r="455" spans="1:18" ht="30" customHeight="1" x14ac:dyDescent="0.3">
      <c r="A455" s="456" t="s">
        <v>218</v>
      </c>
      <c r="B455" s="455"/>
      <c r="C455" s="457">
        <v>44771</v>
      </c>
      <c r="D455" s="458"/>
      <c r="E455" s="448"/>
      <c r="F455" s="449"/>
      <c r="G455" s="449"/>
      <c r="H455" s="449"/>
      <c r="I455" s="449"/>
      <c r="J455" s="449"/>
      <c r="K455" s="449"/>
      <c r="L455" s="449"/>
      <c r="M455" s="449"/>
      <c r="N455" s="449"/>
      <c r="O455" s="449"/>
      <c r="P455" s="449"/>
      <c r="Q455" s="449"/>
      <c r="R455" s="450"/>
    </row>
    <row r="456" spans="1:18" ht="30" customHeight="1" x14ac:dyDescent="0.3">
      <c r="A456" s="459" t="s">
        <v>219</v>
      </c>
      <c r="B456" s="460"/>
      <c r="C456" s="472" t="str">
        <f>+IF(I463&gt;D454,"CUMPLE","NO CUMPLE")</f>
        <v>CUMPLE</v>
      </c>
      <c r="D456" s="473"/>
      <c r="E456" s="451"/>
      <c r="F456" s="452"/>
      <c r="G456" s="452"/>
      <c r="H456" s="452"/>
      <c r="I456" s="452"/>
      <c r="J456" s="452"/>
      <c r="K456" s="452"/>
      <c r="L456" s="452"/>
      <c r="M456" s="452"/>
      <c r="N456" s="452"/>
      <c r="O456" s="452"/>
      <c r="P456" s="452"/>
      <c r="Q456" s="452"/>
      <c r="R456" s="453"/>
    </row>
    <row r="457" spans="1:18" ht="55.5" customHeight="1" x14ac:dyDescent="0.3">
      <c r="A457" s="474" t="s">
        <v>220</v>
      </c>
      <c r="B457" s="475"/>
      <c r="C457" s="475"/>
      <c r="D457" s="475"/>
      <c r="E457" s="475"/>
      <c r="F457" s="475"/>
      <c r="G457" s="475"/>
      <c r="H457" s="475"/>
      <c r="I457" s="476"/>
      <c r="J457" s="81" t="s">
        <v>221</v>
      </c>
      <c r="K457" s="103" t="s">
        <v>222</v>
      </c>
      <c r="L457" s="477" t="s">
        <v>223</v>
      </c>
      <c r="M457" s="476"/>
      <c r="N457" s="478" t="s">
        <v>224</v>
      </c>
      <c r="O457" s="480" t="s">
        <v>225</v>
      </c>
      <c r="P457" s="481"/>
      <c r="Q457" s="478" t="s">
        <v>226</v>
      </c>
      <c r="R457" s="461" t="s">
        <v>227</v>
      </c>
    </row>
    <row r="458" spans="1:18" ht="77.25" customHeight="1" x14ac:dyDescent="0.3">
      <c r="A458" s="82" t="s">
        <v>228</v>
      </c>
      <c r="B458" s="463" t="s">
        <v>229</v>
      </c>
      <c r="C458" s="464"/>
      <c r="D458" s="83" t="s">
        <v>230</v>
      </c>
      <c r="E458" s="83" t="s">
        <v>231</v>
      </c>
      <c r="F458" s="83" t="s">
        <v>232</v>
      </c>
      <c r="G458" s="83" t="s">
        <v>233</v>
      </c>
      <c r="H458" s="116" t="s">
        <v>234</v>
      </c>
      <c r="I458" s="116" t="s">
        <v>235</v>
      </c>
      <c r="J458" s="84" t="s">
        <v>236</v>
      </c>
      <c r="K458" s="84" t="s">
        <v>237</v>
      </c>
      <c r="L458" s="84" t="s">
        <v>238</v>
      </c>
      <c r="M458" s="84" t="s">
        <v>239</v>
      </c>
      <c r="N458" s="479"/>
      <c r="O458" s="482"/>
      <c r="P458" s="483"/>
      <c r="Q458" s="479"/>
      <c r="R458" s="462"/>
    </row>
    <row r="459" spans="1:18" ht="39.9" customHeight="1" x14ac:dyDescent="0.3">
      <c r="A459" s="86" t="str">
        <f>VLOOKUP(A452,'LISTA DE OFERENTES'!$A$6:$R$43,2,FALSE)</f>
        <v>CONSORCIO TUNJUELITO VHJ</v>
      </c>
      <c r="B459" s="87"/>
      <c r="C459" s="87"/>
      <c r="D459" s="87"/>
      <c r="E459" s="87"/>
      <c r="F459" s="87"/>
      <c r="G459" s="87"/>
      <c r="H459" s="87"/>
      <c r="I459" s="87"/>
      <c r="J459" s="87"/>
      <c r="K459" s="87"/>
      <c r="L459" s="496" t="s">
        <v>189</v>
      </c>
      <c r="M459" s="87"/>
      <c r="N459" s="87"/>
      <c r="O459" s="162" t="s">
        <v>241</v>
      </c>
      <c r="P459" s="87"/>
      <c r="Q459" s="87"/>
      <c r="R459" s="90"/>
    </row>
    <row r="460" spans="1:18" s="33" customFormat="1" ht="150" customHeight="1" x14ac:dyDescent="0.3">
      <c r="A460" s="119" t="s">
        <v>488</v>
      </c>
      <c r="B460" s="498" t="s">
        <v>489</v>
      </c>
      <c r="C460" s="467"/>
      <c r="D460" s="23">
        <v>2371179067</v>
      </c>
      <c r="E460" s="69">
        <v>2020</v>
      </c>
      <c r="F460" s="69" t="s">
        <v>490</v>
      </c>
      <c r="G460" s="24">
        <f>D460/(VLOOKUP(E460,$D$533:$E$564,2,FALSE))</f>
        <v>2701.265622240981</v>
      </c>
      <c r="H460" s="3">
        <v>0.3</v>
      </c>
      <c r="I460" s="24">
        <f>H460*G460</f>
        <v>810.37968667229427</v>
      </c>
      <c r="J460" s="100">
        <v>44376</v>
      </c>
      <c r="K460" s="30" t="s">
        <v>491</v>
      </c>
      <c r="L460" s="497"/>
      <c r="M460" s="31">
        <f>I460</f>
        <v>810.37968667229427</v>
      </c>
      <c r="N460" s="119" t="s">
        <v>213</v>
      </c>
      <c r="O460" s="69" t="s">
        <v>490</v>
      </c>
      <c r="P460" s="119" t="s">
        <v>213</v>
      </c>
      <c r="Q460" s="142" t="s">
        <v>213</v>
      </c>
      <c r="R460" s="32"/>
    </row>
    <row r="461" spans="1:18" s="33" customFormat="1" ht="150" customHeight="1" x14ac:dyDescent="0.3">
      <c r="A461" s="119" t="s">
        <v>492</v>
      </c>
      <c r="B461" s="498" t="s">
        <v>489</v>
      </c>
      <c r="C461" s="467"/>
      <c r="D461" s="23">
        <v>2158158628</v>
      </c>
      <c r="E461" s="69">
        <v>2021</v>
      </c>
      <c r="F461" s="69">
        <v>0</v>
      </c>
      <c r="G461" s="24">
        <f>D461/(VLOOKUP(E461,$D$533:$E$564,2,FALSE))</f>
        <v>2375.4505958002301</v>
      </c>
      <c r="H461" s="3">
        <v>0.49</v>
      </c>
      <c r="I461" s="24">
        <f>H461*G461</f>
        <v>1163.9707919421128</v>
      </c>
      <c r="J461" s="100">
        <v>44391</v>
      </c>
      <c r="K461" s="288" t="s">
        <v>493</v>
      </c>
      <c r="L461" s="497"/>
      <c r="M461" s="31">
        <f>I461</f>
        <v>1163.9707919421128</v>
      </c>
      <c r="N461" s="119" t="s">
        <v>213</v>
      </c>
      <c r="O461" s="186"/>
      <c r="P461" s="119"/>
      <c r="Q461" s="142"/>
      <c r="R461" s="32"/>
    </row>
    <row r="462" spans="1:18" s="33" customFormat="1" ht="150" customHeight="1" x14ac:dyDescent="0.3">
      <c r="A462" s="119" t="s">
        <v>494</v>
      </c>
      <c r="B462" s="498" t="s">
        <v>495</v>
      </c>
      <c r="C462" s="467"/>
      <c r="D462" s="23">
        <v>1108132506</v>
      </c>
      <c r="E462" s="69">
        <v>2013</v>
      </c>
      <c r="F462" s="69">
        <v>0</v>
      </c>
      <c r="G462" s="24">
        <f>D462/(VLOOKUP(E462,$D$533:$E$564,2,FALSE))</f>
        <v>1879.7837251908397</v>
      </c>
      <c r="H462" s="3">
        <v>0.6</v>
      </c>
      <c r="I462" s="24">
        <f>H462*G462</f>
        <v>1127.8702351145039</v>
      </c>
      <c r="J462" s="100">
        <v>41585</v>
      </c>
      <c r="K462" s="288">
        <v>721015</v>
      </c>
      <c r="L462" s="497"/>
      <c r="M462" s="31">
        <f>I462</f>
        <v>1127.8702351145039</v>
      </c>
      <c r="N462" s="119" t="s">
        <v>213</v>
      </c>
      <c r="O462" s="186" t="str">
        <f>+CONCATENATE(FIXED(F462*H462,2)," ","m2")</f>
        <v>0,00 m2</v>
      </c>
      <c r="P462" s="119"/>
      <c r="Q462" s="142"/>
      <c r="R462" s="32"/>
    </row>
    <row r="463" spans="1:18" s="33" customFormat="1" ht="48" customHeight="1" x14ac:dyDescent="0.3">
      <c r="A463" s="495" t="s">
        <v>249</v>
      </c>
      <c r="B463" s="485"/>
      <c r="C463" s="485"/>
      <c r="D463" s="485"/>
      <c r="E463" s="485"/>
      <c r="F463" s="485"/>
      <c r="G463" s="485"/>
      <c r="H463" s="486"/>
      <c r="I463" s="72">
        <f>SUM(I460:I462)</f>
        <v>3102.2207137289111</v>
      </c>
      <c r="J463" s="487" t="s">
        <v>250</v>
      </c>
      <c r="K463" s="488"/>
      <c r="L463" s="488"/>
      <c r="M463" s="488"/>
      <c r="N463" s="488"/>
      <c r="O463" s="488"/>
      <c r="P463" s="490"/>
      <c r="Q463" s="136"/>
      <c r="R463" s="92" t="s">
        <v>213</v>
      </c>
    </row>
    <row r="464" spans="1:18" ht="21" customHeight="1" x14ac:dyDescent="0.3">
      <c r="A464" s="4"/>
      <c r="B464" s="4"/>
      <c r="C464" s="120"/>
      <c r="D464" s="120"/>
      <c r="E464" s="120"/>
      <c r="F464" s="120"/>
      <c r="G464" s="120"/>
      <c r="H464" s="120"/>
      <c r="I464" s="120"/>
      <c r="J464" s="120"/>
      <c r="K464" s="120"/>
      <c r="L464" s="120"/>
      <c r="M464" s="120"/>
      <c r="N464" s="120"/>
      <c r="O464" s="120"/>
      <c r="P464" s="120"/>
      <c r="Q464" s="120"/>
      <c r="R464" s="5"/>
    </row>
    <row r="465" spans="1:18" ht="30.75" customHeight="1" x14ac:dyDescent="0.3">
      <c r="A465" s="442">
        <f>A452+1</f>
        <v>36</v>
      </c>
      <c r="B465" s="443"/>
      <c r="C465" s="443"/>
      <c r="D465" s="444"/>
      <c r="E465" s="445" t="str">
        <f>VLOOKUP(A465,'LISTA DE OFERENTES'!$A$6:$B$43,2,FALSE)</f>
        <v>CONSORCIO PARQUE VECINAL 2022</v>
      </c>
      <c r="F465" s="446"/>
      <c r="G465" s="446"/>
      <c r="H465" s="446"/>
      <c r="I465" s="446"/>
      <c r="J465" s="446"/>
      <c r="K465" s="446"/>
      <c r="L465" s="446"/>
      <c r="M465" s="446"/>
      <c r="N465" s="446"/>
      <c r="O465" s="446"/>
      <c r="P465" s="446"/>
      <c r="Q465" s="446"/>
      <c r="R465" s="447"/>
    </row>
    <row r="466" spans="1:18" ht="50.25" customHeight="1" x14ac:dyDescent="0.3">
      <c r="A466" s="28" t="s">
        <v>215</v>
      </c>
      <c r="B466" s="85">
        <v>4</v>
      </c>
      <c r="C466" s="29" t="s">
        <v>216</v>
      </c>
      <c r="D466" s="68">
        <f>+$E$506</f>
        <v>1649.6083550000001</v>
      </c>
      <c r="E466" s="448"/>
      <c r="F466" s="449"/>
      <c r="G466" s="449"/>
      <c r="H466" s="449"/>
      <c r="I466" s="449"/>
      <c r="J466" s="449"/>
      <c r="K466" s="449"/>
      <c r="L466" s="449"/>
      <c r="M466" s="449"/>
      <c r="N466" s="449"/>
      <c r="O466" s="449"/>
      <c r="P466" s="449"/>
      <c r="Q466" s="449"/>
      <c r="R466" s="450"/>
    </row>
    <row r="467" spans="1:18" ht="30" customHeight="1" x14ac:dyDescent="0.3">
      <c r="A467" s="454" t="s">
        <v>217</v>
      </c>
      <c r="B467" s="455"/>
      <c r="C467" s="70">
        <f>IF(B466&lt;3,0.75,IF(B466&lt;5,1.2,1.5))</f>
        <v>1.2</v>
      </c>
      <c r="D467" s="71">
        <f>+D466*C467</f>
        <v>1979.5300259999999</v>
      </c>
      <c r="E467" s="448"/>
      <c r="F467" s="449"/>
      <c r="G467" s="449"/>
      <c r="H467" s="449"/>
      <c r="I467" s="449"/>
      <c r="J467" s="449"/>
      <c r="K467" s="449"/>
      <c r="L467" s="449"/>
      <c r="M467" s="449"/>
      <c r="N467" s="449"/>
      <c r="O467" s="449"/>
      <c r="P467" s="449"/>
      <c r="Q467" s="449"/>
      <c r="R467" s="450"/>
    </row>
    <row r="468" spans="1:18" ht="30" customHeight="1" x14ac:dyDescent="0.3">
      <c r="A468" s="456" t="s">
        <v>218</v>
      </c>
      <c r="B468" s="455"/>
      <c r="C468" s="457">
        <v>44771</v>
      </c>
      <c r="D468" s="458"/>
      <c r="E468" s="448"/>
      <c r="F468" s="449"/>
      <c r="G468" s="449"/>
      <c r="H468" s="449"/>
      <c r="I468" s="449"/>
      <c r="J468" s="449"/>
      <c r="K468" s="449"/>
      <c r="L468" s="449"/>
      <c r="M468" s="449"/>
      <c r="N468" s="449"/>
      <c r="O468" s="449"/>
      <c r="P468" s="449"/>
      <c r="Q468" s="449"/>
      <c r="R468" s="450"/>
    </row>
    <row r="469" spans="1:18" ht="30" customHeight="1" x14ac:dyDescent="0.3">
      <c r="A469" s="459" t="s">
        <v>219</v>
      </c>
      <c r="B469" s="460"/>
      <c r="C469" s="472" t="str">
        <f>+IF(I478&gt;D467,"CUMPLE","NO CUMPLE")</f>
        <v>CUMPLE</v>
      </c>
      <c r="D469" s="473"/>
      <c r="E469" s="451"/>
      <c r="F469" s="452"/>
      <c r="G469" s="452"/>
      <c r="H469" s="452"/>
      <c r="I469" s="452"/>
      <c r="J469" s="452"/>
      <c r="K469" s="452"/>
      <c r="L469" s="452"/>
      <c r="M469" s="452"/>
      <c r="N469" s="452"/>
      <c r="O469" s="452"/>
      <c r="P469" s="452"/>
      <c r="Q469" s="452"/>
      <c r="R469" s="453"/>
    </row>
    <row r="470" spans="1:18" ht="55.5" customHeight="1" x14ac:dyDescent="0.3">
      <c r="A470" s="474" t="s">
        <v>220</v>
      </c>
      <c r="B470" s="475"/>
      <c r="C470" s="475"/>
      <c r="D470" s="475"/>
      <c r="E470" s="475"/>
      <c r="F470" s="475"/>
      <c r="G470" s="475"/>
      <c r="H470" s="475"/>
      <c r="I470" s="476"/>
      <c r="J470" s="81" t="s">
        <v>221</v>
      </c>
      <c r="K470" s="103" t="s">
        <v>222</v>
      </c>
      <c r="L470" s="477" t="s">
        <v>223</v>
      </c>
      <c r="M470" s="476"/>
      <c r="N470" s="478" t="s">
        <v>224</v>
      </c>
      <c r="O470" s="480" t="s">
        <v>225</v>
      </c>
      <c r="P470" s="481"/>
      <c r="Q470" s="478" t="s">
        <v>226</v>
      </c>
      <c r="R470" s="461" t="s">
        <v>227</v>
      </c>
    </row>
    <row r="471" spans="1:18" ht="77.25" customHeight="1" x14ac:dyDescent="0.3">
      <c r="A471" s="82" t="s">
        <v>228</v>
      </c>
      <c r="B471" s="463" t="s">
        <v>229</v>
      </c>
      <c r="C471" s="464"/>
      <c r="D471" s="83" t="s">
        <v>230</v>
      </c>
      <c r="E471" s="83" t="s">
        <v>231</v>
      </c>
      <c r="F471" s="83" t="s">
        <v>232</v>
      </c>
      <c r="G471" s="83" t="s">
        <v>233</v>
      </c>
      <c r="H471" s="116" t="s">
        <v>234</v>
      </c>
      <c r="I471" s="116" t="s">
        <v>235</v>
      </c>
      <c r="J471" s="84" t="s">
        <v>236</v>
      </c>
      <c r="K471" s="84" t="s">
        <v>237</v>
      </c>
      <c r="L471" s="84" t="s">
        <v>238</v>
      </c>
      <c r="M471" s="84" t="s">
        <v>239</v>
      </c>
      <c r="N471" s="479"/>
      <c r="O471" s="482"/>
      <c r="P471" s="483"/>
      <c r="Q471" s="479"/>
      <c r="R471" s="462"/>
    </row>
    <row r="472" spans="1:18" ht="39.9" customHeight="1" x14ac:dyDescent="0.3">
      <c r="A472" s="86" t="str">
        <f>VLOOKUP(A465,'LISTA DE OFERENTES'!$A$6:$R$43,2,FALSE)</f>
        <v>CONSORCIO PARQUE VECINAL 2022</v>
      </c>
      <c r="B472" s="87"/>
      <c r="C472" s="87"/>
      <c r="D472" s="87"/>
      <c r="E472" s="87"/>
      <c r="F472" s="87"/>
      <c r="G472" s="87"/>
      <c r="H472" s="87"/>
      <c r="I472" s="87"/>
      <c r="J472" s="87"/>
      <c r="K472" s="87"/>
      <c r="L472" s="491" t="s">
        <v>496</v>
      </c>
      <c r="M472" s="87"/>
      <c r="N472" s="87"/>
      <c r="O472" s="162" t="s">
        <v>241</v>
      </c>
      <c r="P472" s="87"/>
      <c r="Q472" s="87"/>
      <c r="R472" s="90"/>
    </row>
    <row r="473" spans="1:18" ht="39.9" customHeight="1" x14ac:dyDescent="0.3">
      <c r="A473" s="87"/>
      <c r="B473" s="87"/>
      <c r="C473" s="87"/>
      <c r="D473" s="87"/>
      <c r="E473" s="87"/>
      <c r="F473" s="87"/>
      <c r="G473" s="87"/>
      <c r="H473" s="87"/>
      <c r="I473" s="87"/>
      <c r="J473" s="87"/>
      <c r="K473" s="87"/>
      <c r="L473" s="492"/>
      <c r="M473" s="87"/>
      <c r="N473" s="87"/>
      <c r="O473" s="162"/>
      <c r="P473" s="87"/>
      <c r="Q473" s="87"/>
      <c r="R473" s="90"/>
    </row>
    <row r="474" spans="1:18" s="33" customFormat="1" ht="150" customHeight="1" x14ac:dyDescent="0.3">
      <c r="A474" s="119" t="s">
        <v>497</v>
      </c>
      <c r="B474" s="498" t="s">
        <v>498</v>
      </c>
      <c r="C474" s="467"/>
      <c r="D474" s="23" t="s">
        <v>499</v>
      </c>
      <c r="E474" s="69">
        <v>2011</v>
      </c>
      <c r="F474" s="69">
        <v>17224</v>
      </c>
      <c r="G474" s="24">
        <v>11884.34</v>
      </c>
      <c r="H474" s="3">
        <v>0.5</v>
      </c>
      <c r="I474" s="24">
        <f>H474*G474</f>
        <v>5942.17</v>
      </c>
      <c r="J474" s="100">
        <v>41782</v>
      </c>
      <c r="K474" s="30" t="s">
        <v>264</v>
      </c>
      <c r="L474" s="492"/>
      <c r="M474" s="31">
        <f>I474</f>
        <v>5942.17</v>
      </c>
      <c r="N474" s="119" t="s">
        <v>213</v>
      </c>
      <c r="O474" s="186" t="s">
        <v>500</v>
      </c>
      <c r="P474" s="119" t="s">
        <v>213</v>
      </c>
      <c r="Q474" s="142" t="s">
        <v>213</v>
      </c>
      <c r="R474" s="32"/>
    </row>
    <row r="475" spans="1:18" s="33" customFormat="1" ht="150" customHeight="1" x14ac:dyDescent="0.3">
      <c r="A475" s="119" t="s">
        <v>501</v>
      </c>
      <c r="B475" s="498" t="s">
        <v>502</v>
      </c>
      <c r="C475" s="467"/>
      <c r="D475" s="23" t="s">
        <v>503</v>
      </c>
      <c r="E475" s="69">
        <v>2002</v>
      </c>
      <c r="F475" s="69"/>
      <c r="G475" s="24">
        <v>473.12</v>
      </c>
      <c r="H475" s="3">
        <v>1</v>
      </c>
      <c r="I475" s="24">
        <f>H475*G475</f>
        <v>473.12</v>
      </c>
      <c r="J475" s="100">
        <v>37606</v>
      </c>
      <c r="K475" s="30" t="s">
        <v>264</v>
      </c>
      <c r="L475" s="492"/>
      <c r="M475" s="31">
        <f>I475</f>
        <v>473.12</v>
      </c>
      <c r="N475" s="119" t="s">
        <v>213</v>
      </c>
      <c r="O475" s="186"/>
      <c r="P475" s="119" t="s">
        <v>214</v>
      </c>
      <c r="Q475" s="142" t="s">
        <v>213</v>
      </c>
      <c r="R475" s="32" t="s">
        <v>504</v>
      </c>
    </row>
    <row r="476" spans="1:18" s="33" customFormat="1" ht="150" customHeight="1" x14ac:dyDescent="0.3">
      <c r="A476" s="119" t="s">
        <v>505</v>
      </c>
      <c r="B476" s="498" t="s">
        <v>506</v>
      </c>
      <c r="C476" s="467"/>
      <c r="D476" s="23" t="s">
        <v>507</v>
      </c>
      <c r="E476" s="69">
        <v>2019</v>
      </c>
      <c r="F476" s="69"/>
      <c r="G476" s="24">
        <v>5106.8599999999997</v>
      </c>
      <c r="H476" s="3">
        <v>1</v>
      </c>
      <c r="I476" s="24">
        <f>H476*G476</f>
        <v>5106.8599999999997</v>
      </c>
      <c r="J476" s="100">
        <v>43890</v>
      </c>
      <c r="K476" s="30" t="s">
        <v>264</v>
      </c>
      <c r="L476" s="492"/>
      <c r="M476" s="31">
        <f>I476</f>
        <v>5106.8599999999997</v>
      </c>
      <c r="N476" s="119" t="s">
        <v>213</v>
      </c>
      <c r="O476" s="186"/>
      <c r="P476" s="119" t="s">
        <v>214</v>
      </c>
      <c r="Q476" s="142" t="s">
        <v>213</v>
      </c>
      <c r="R476" s="32" t="s">
        <v>504</v>
      </c>
    </row>
    <row r="477" spans="1:18" s="33" customFormat="1" ht="150" customHeight="1" x14ac:dyDescent="0.3">
      <c r="A477" s="119" t="s">
        <v>508</v>
      </c>
      <c r="B477" s="498" t="s">
        <v>509</v>
      </c>
      <c r="C477" s="467"/>
      <c r="D477" s="23" t="s">
        <v>510</v>
      </c>
      <c r="E477" s="69">
        <v>2015</v>
      </c>
      <c r="F477" s="69"/>
      <c r="G477" s="24">
        <v>7219.45</v>
      </c>
      <c r="H477" s="3">
        <v>0.16</v>
      </c>
      <c r="I477" s="24">
        <f>H477*G477</f>
        <v>1155.1120000000001</v>
      </c>
      <c r="J477" s="100">
        <v>42611</v>
      </c>
      <c r="K477" s="30" t="s">
        <v>264</v>
      </c>
      <c r="L477" s="501"/>
      <c r="M477" s="31">
        <f>I477</f>
        <v>1155.1120000000001</v>
      </c>
      <c r="N477" s="119" t="s">
        <v>213</v>
      </c>
      <c r="O477" s="186" t="s">
        <v>265</v>
      </c>
      <c r="P477" s="119" t="s">
        <v>214</v>
      </c>
      <c r="Q477" s="142" t="s">
        <v>213</v>
      </c>
      <c r="R477" s="32" t="s">
        <v>504</v>
      </c>
    </row>
    <row r="478" spans="1:18" s="33" customFormat="1" ht="48" customHeight="1" x14ac:dyDescent="0.3">
      <c r="A478" s="495" t="s">
        <v>249</v>
      </c>
      <c r="B478" s="485"/>
      <c r="C478" s="485"/>
      <c r="D478" s="485"/>
      <c r="E478" s="485"/>
      <c r="F478" s="485"/>
      <c r="G478" s="485"/>
      <c r="H478" s="486"/>
      <c r="I478" s="72">
        <f>SUM(I474:I477)</f>
        <v>12677.261999999999</v>
      </c>
      <c r="J478" s="487" t="s">
        <v>250</v>
      </c>
      <c r="K478" s="488"/>
      <c r="L478" s="488"/>
      <c r="M478" s="488"/>
      <c r="N478" s="488"/>
      <c r="O478" s="488"/>
      <c r="P478" s="490"/>
      <c r="Q478" s="136"/>
      <c r="R478" s="92" t="s">
        <v>213</v>
      </c>
    </row>
    <row r="479" spans="1:18" ht="15.6" x14ac:dyDescent="0.3">
      <c r="A479" s="4"/>
      <c r="B479" s="4"/>
      <c r="C479" s="4"/>
      <c r="D479" s="4"/>
      <c r="E479" s="4"/>
      <c r="F479" s="4"/>
      <c r="G479" s="4"/>
      <c r="H479" s="4"/>
      <c r="I479" s="4"/>
      <c r="J479" s="4"/>
      <c r="K479" s="4"/>
      <c r="L479" s="4"/>
      <c r="M479" s="4"/>
      <c r="N479" s="5"/>
      <c r="O479" s="5"/>
      <c r="P479" s="5"/>
      <c r="Q479" s="5"/>
      <c r="R479" s="5"/>
    </row>
    <row r="480" spans="1:18" ht="30.75" customHeight="1" x14ac:dyDescent="0.3">
      <c r="A480" s="442">
        <f>A465+1</f>
        <v>37</v>
      </c>
      <c r="B480" s="443"/>
      <c r="C480" s="443"/>
      <c r="D480" s="444"/>
      <c r="E480" s="445" t="str">
        <f>VLOOKUP(A480,'LISTA DE OFERENTES'!$A$6:$B$43,2,FALSE)</f>
        <v>CONSORCIO PARQUE CAIS2022</v>
      </c>
      <c r="F480" s="446"/>
      <c r="G480" s="446"/>
      <c r="H480" s="446"/>
      <c r="I480" s="446"/>
      <c r="J480" s="446"/>
      <c r="K480" s="446"/>
      <c r="L480" s="446"/>
      <c r="M480" s="446"/>
      <c r="N480" s="446"/>
      <c r="O480" s="446"/>
      <c r="P480" s="446"/>
      <c r="Q480" s="446"/>
      <c r="R480" s="447"/>
    </row>
    <row r="481" spans="1:18" ht="50.25" customHeight="1" x14ac:dyDescent="0.3">
      <c r="A481" s="28" t="s">
        <v>215</v>
      </c>
      <c r="B481" s="85">
        <v>3</v>
      </c>
      <c r="C481" s="29" t="s">
        <v>216</v>
      </c>
      <c r="D481" s="68">
        <f>+$E$506</f>
        <v>1649.6083550000001</v>
      </c>
      <c r="E481" s="448"/>
      <c r="F481" s="449"/>
      <c r="G481" s="449"/>
      <c r="H481" s="449"/>
      <c r="I481" s="449"/>
      <c r="J481" s="449"/>
      <c r="K481" s="449"/>
      <c r="L481" s="449"/>
      <c r="M481" s="449"/>
      <c r="N481" s="449"/>
      <c r="O481" s="449"/>
      <c r="P481" s="449"/>
      <c r="Q481" s="449"/>
      <c r="R481" s="450"/>
    </row>
    <row r="482" spans="1:18" ht="30" customHeight="1" x14ac:dyDescent="0.3">
      <c r="A482" s="454" t="s">
        <v>217</v>
      </c>
      <c r="B482" s="455"/>
      <c r="C482" s="70">
        <f>IF(B481&lt;3,0.75,IF(B481&lt;5,1.2,1.5))</f>
        <v>1.2</v>
      </c>
      <c r="D482" s="71">
        <f>+D481*C482</f>
        <v>1979.5300259999999</v>
      </c>
      <c r="E482" s="448"/>
      <c r="F482" s="449"/>
      <c r="G482" s="449"/>
      <c r="H482" s="449"/>
      <c r="I482" s="449"/>
      <c r="J482" s="449"/>
      <c r="K482" s="449"/>
      <c r="L482" s="449"/>
      <c r="M482" s="449"/>
      <c r="N482" s="449"/>
      <c r="O482" s="449"/>
      <c r="P482" s="449"/>
      <c r="Q482" s="449"/>
      <c r="R482" s="450"/>
    </row>
    <row r="483" spans="1:18" ht="30" customHeight="1" x14ac:dyDescent="0.3">
      <c r="A483" s="456" t="s">
        <v>218</v>
      </c>
      <c r="B483" s="455"/>
      <c r="C483" s="457">
        <v>44771</v>
      </c>
      <c r="D483" s="458"/>
      <c r="E483" s="448"/>
      <c r="F483" s="449"/>
      <c r="G483" s="449"/>
      <c r="H483" s="449"/>
      <c r="I483" s="449"/>
      <c r="J483" s="449"/>
      <c r="K483" s="449"/>
      <c r="L483" s="449"/>
      <c r="M483" s="449"/>
      <c r="N483" s="449"/>
      <c r="O483" s="449"/>
      <c r="P483" s="449"/>
      <c r="Q483" s="449"/>
      <c r="R483" s="450"/>
    </row>
    <row r="484" spans="1:18" ht="30" customHeight="1" x14ac:dyDescent="0.3">
      <c r="A484" s="459" t="s">
        <v>219</v>
      </c>
      <c r="B484" s="460"/>
      <c r="C484" s="472" t="str">
        <f>+IF(I491&gt;D482,"CUMPLE","NO CUMPLE")</f>
        <v>CUMPLE</v>
      </c>
      <c r="D484" s="473"/>
      <c r="E484" s="451"/>
      <c r="F484" s="452"/>
      <c r="G484" s="452"/>
      <c r="H484" s="452"/>
      <c r="I484" s="452"/>
      <c r="J484" s="452"/>
      <c r="K484" s="452"/>
      <c r="L484" s="452"/>
      <c r="M484" s="452"/>
      <c r="N484" s="452"/>
      <c r="O484" s="452"/>
      <c r="P484" s="452"/>
      <c r="Q484" s="452"/>
      <c r="R484" s="453"/>
    </row>
    <row r="485" spans="1:18" ht="55.5" customHeight="1" x14ac:dyDescent="0.3">
      <c r="A485" s="474" t="s">
        <v>220</v>
      </c>
      <c r="B485" s="475"/>
      <c r="C485" s="475"/>
      <c r="D485" s="475"/>
      <c r="E485" s="475"/>
      <c r="F485" s="475"/>
      <c r="G485" s="475"/>
      <c r="H485" s="475"/>
      <c r="I485" s="476"/>
      <c r="J485" s="81" t="s">
        <v>221</v>
      </c>
      <c r="K485" s="103" t="s">
        <v>222</v>
      </c>
      <c r="L485" s="477" t="s">
        <v>223</v>
      </c>
      <c r="M485" s="476"/>
      <c r="N485" s="478" t="s">
        <v>224</v>
      </c>
      <c r="O485" s="480" t="s">
        <v>225</v>
      </c>
      <c r="P485" s="481"/>
      <c r="Q485" s="478" t="s">
        <v>226</v>
      </c>
      <c r="R485" s="461" t="s">
        <v>227</v>
      </c>
    </row>
    <row r="486" spans="1:18" ht="77.25" customHeight="1" x14ac:dyDescent="0.3">
      <c r="A486" s="82" t="s">
        <v>228</v>
      </c>
      <c r="B486" s="463" t="s">
        <v>229</v>
      </c>
      <c r="C486" s="464"/>
      <c r="D486" s="83" t="s">
        <v>230</v>
      </c>
      <c r="E486" s="83" t="s">
        <v>231</v>
      </c>
      <c r="F486" s="83" t="s">
        <v>232</v>
      </c>
      <c r="G486" s="83" t="s">
        <v>233</v>
      </c>
      <c r="H486" s="116" t="s">
        <v>234</v>
      </c>
      <c r="I486" s="116" t="s">
        <v>235</v>
      </c>
      <c r="J486" s="84" t="s">
        <v>236</v>
      </c>
      <c r="K486" s="84" t="s">
        <v>237</v>
      </c>
      <c r="L486" s="84" t="s">
        <v>238</v>
      </c>
      <c r="M486" s="84" t="s">
        <v>239</v>
      </c>
      <c r="N486" s="479"/>
      <c r="O486" s="482"/>
      <c r="P486" s="483"/>
      <c r="Q486" s="479"/>
      <c r="R486" s="462"/>
    </row>
    <row r="487" spans="1:18" ht="39.9" customHeight="1" x14ac:dyDescent="0.3">
      <c r="A487" s="86" t="s">
        <v>201</v>
      </c>
      <c r="B487" s="87"/>
      <c r="C487" s="87"/>
      <c r="D487" s="87"/>
      <c r="E487" s="87"/>
      <c r="F487" s="87"/>
      <c r="G487" s="87"/>
      <c r="H487" s="87"/>
      <c r="I487" s="87"/>
      <c r="J487" s="87"/>
      <c r="K487" s="87"/>
      <c r="L487" s="491" t="s">
        <v>511</v>
      </c>
      <c r="M487" s="87"/>
      <c r="N487" s="87"/>
      <c r="O487" s="162" t="s">
        <v>241</v>
      </c>
      <c r="P487" s="87"/>
      <c r="Q487" s="87"/>
      <c r="R487" s="90"/>
    </row>
    <row r="488" spans="1:18" s="33" customFormat="1" ht="150" customHeight="1" x14ac:dyDescent="0.3">
      <c r="A488" s="119" t="s">
        <v>512</v>
      </c>
      <c r="B488" s="498" t="s">
        <v>513</v>
      </c>
      <c r="C488" s="467"/>
      <c r="D488" s="23" t="s">
        <v>514</v>
      </c>
      <c r="E488" s="69">
        <v>2017</v>
      </c>
      <c r="F488" s="69">
        <v>23177</v>
      </c>
      <c r="G488" s="24">
        <v>8625.86</v>
      </c>
      <c r="H488" s="3">
        <v>0.3</v>
      </c>
      <c r="I488" s="24">
        <v>2587.7600000000002</v>
      </c>
      <c r="J488" s="100">
        <v>43069</v>
      </c>
      <c r="K488" s="30" t="s">
        <v>515</v>
      </c>
      <c r="L488" s="492"/>
      <c r="M488" s="31">
        <v>2587.7600000000002</v>
      </c>
      <c r="N488" s="119" t="s">
        <v>213</v>
      </c>
      <c r="O488" s="186" t="s">
        <v>516</v>
      </c>
      <c r="P488" s="119" t="s">
        <v>213</v>
      </c>
      <c r="Q488" s="142"/>
      <c r="R488" s="32"/>
    </row>
    <row r="489" spans="1:18" s="33" customFormat="1" ht="150" customHeight="1" x14ac:dyDescent="0.3">
      <c r="A489" s="119" t="s">
        <v>512</v>
      </c>
      <c r="B489" s="498" t="s">
        <v>513</v>
      </c>
      <c r="C489" s="467"/>
      <c r="D489" s="23" t="s">
        <v>517</v>
      </c>
      <c r="E489" s="69">
        <v>2017</v>
      </c>
      <c r="F489" s="69">
        <v>23177</v>
      </c>
      <c r="G489" s="24">
        <v>8625.86</v>
      </c>
      <c r="H489" s="3">
        <v>0.23</v>
      </c>
      <c r="I489" s="24">
        <v>1983.95</v>
      </c>
      <c r="J489" s="100">
        <v>43069</v>
      </c>
      <c r="K489" s="30" t="s">
        <v>515</v>
      </c>
      <c r="L489" s="492"/>
      <c r="M489" s="31">
        <v>1983.95</v>
      </c>
      <c r="N489" s="119" t="s">
        <v>213</v>
      </c>
      <c r="O489" s="186" t="s">
        <v>518</v>
      </c>
      <c r="P489" s="119" t="s">
        <v>213</v>
      </c>
      <c r="Q489" s="142"/>
      <c r="R489" s="32"/>
    </row>
    <row r="490" spans="1:18" s="33" customFormat="1" ht="150" customHeight="1" x14ac:dyDescent="0.3">
      <c r="A490" s="119" t="s">
        <v>519</v>
      </c>
      <c r="B490" s="498" t="s">
        <v>520</v>
      </c>
      <c r="C490" s="467"/>
      <c r="D490" s="23" t="s">
        <v>521</v>
      </c>
      <c r="E490" s="69">
        <v>2001</v>
      </c>
      <c r="F490" s="69">
        <v>12775</v>
      </c>
      <c r="G490" s="24">
        <v>101186.26</v>
      </c>
      <c r="H490" s="3">
        <v>1</v>
      </c>
      <c r="I490" s="24">
        <v>101186.26</v>
      </c>
      <c r="J490" s="100">
        <v>40739</v>
      </c>
      <c r="K490" s="30" t="s">
        <v>522</v>
      </c>
      <c r="L490" s="501"/>
      <c r="M490" s="31">
        <v>101186.26</v>
      </c>
      <c r="N490" s="119" t="s">
        <v>213</v>
      </c>
      <c r="O490" s="186" t="s">
        <v>523</v>
      </c>
      <c r="P490" s="119" t="s">
        <v>213</v>
      </c>
      <c r="Q490" s="142"/>
      <c r="R490" s="32" t="s">
        <v>524</v>
      </c>
    </row>
    <row r="491" spans="1:18" s="33" customFormat="1" ht="48" customHeight="1" x14ac:dyDescent="0.3">
      <c r="A491" s="495" t="s">
        <v>249</v>
      </c>
      <c r="B491" s="485"/>
      <c r="C491" s="485"/>
      <c r="D491" s="485"/>
      <c r="E491" s="485"/>
      <c r="F491" s="485"/>
      <c r="G491" s="485"/>
      <c r="H491" s="486"/>
      <c r="I491" s="72">
        <v>105757.97</v>
      </c>
      <c r="J491" s="487" t="s">
        <v>250</v>
      </c>
      <c r="K491" s="488"/>
      <c r="L491" s="488"/>
      <c r="M491" s="488"/>
      <c r="N491" s="488"/>
      <c r="O491" s="488"/>
      <c r="P491" s="490"/>
      <c r="Q491" s="136"/>
      <c r="R491" s="92" t="s">
        <v>214</v>
      </c>
    </row>
    <row r="492" spans="1:18" ht="73.5" customHeight="1" x14ac:dyDescent="0.3">
      <c r="A492" s="4"/>
      <c r="B492" s="4"/>
      <c r="C492" s="4"/>
      <c r="D492" s="4"/>
      <c r="E492" s="4"/>
      <c r="F492" s="4"/>
      <c r="G492" s="4"/>
      <c r="H492" s="4"/>
      <c r="I492" s="4"/>
      <c r="J492" s="4"/>
      <c r="K492" s="4"/>
      <c r="L492" s="4"/>
      <c r="M492" s="4"/>
      <c r="N492" s="5"/>
      <c r="O492" s="5"/>
      <c r="P492" s="5"/>
      <c r="Q492" s="5"/>
      <c r="R492" s="5"/>
    </row>
    <row r="493" spans="1:18" ht="30.75" customHeight="1" x14ac:dyDescent="0.3">
      <c r="A493" s="442">
        <f>A480+1</f>
        <v>38</v>
      </c>
      <c r="B493" s="443"/>
      <c r="C493" s="443"/>
      <c r="D493" s="444"/>
      <c r="E493" s="445" t="str">
        <f>VLOOKUP(A493,'LISTA DE OFERENTES'!$A$6:$B$43,2,FALSE)</f>
        <v>PHVA CONSTRUCTORES SAS</v>
      </c>
      <c r="F493" s="446"/>
      <c r="G493" s="446"/>
      <c r="H493" s="446"/>
      <c r="I493" s="446"/>
      <c r="J493" s="446"/>
      <c r="K493" s="446"/>
      <c r="L493" s="446"/>
      <c r="M493" s="446"/>
      <c r="N493" s="446"/>
      <c r="O493" s="446"/>
      <c r="P493" s="446"/>
      <c r="Q493" s="446"/>
      <c r="R493" s="447"/>
    </row>
    <row r="494" spans="1:18" ht="50.25" customHeight="1" x14ac:dyDescent="0.3">
      <c r="A494" s="28" t="s">
        <v>215</v>
      </c>
      <c r="B494" s="85">
        <v>2</v>
      </c>
      <c r="C494" s="29" t="s">
        <v>216</v>
      </c>
      <c r="D494" s="68">
        <f>+$E$506</f>
        <v>1649.6083550000001</v>
      </c>
      <c r="E494" s="448"/>
      <c r="F494" s="449"/>
      <c r="G494" s="449"/>
      <c r="H494" s="449"/>
      <c r="I494" s="449"/>
      <c r="J494" s="449"/>
      <c r="K494" s="449"/>
      <c r="L494" s="449"/>
      <c r="M494" s="449"/>
      <c r="N494" s="449"/>
      <c r="O494" s="449"/>
      <c r="P494" s="449"/>
      <c r="Q494" s="449"/>
      <c r="R494" s="450"/>
    </row>
    <row r="495" spans="1:18" ht="30" customHeight="1" x14ac:dyDescent="0.3">
      <c r="A495" s="454" t="s">
        <v>217</v>
      </c>
      <c r="B495" s="455"/>
      <c r="C495" s="70">
        <f>IF(B494&lt;3,0.75,IF(B494&lt;5,1.2,1.5))</f>
        <v>0.75</v>
      </c>
      <c r="D495" s="71">
        <f>+D494*C495</f>
        <v>1237.20626625</v>
      </c>
      <c r="E495" s="448"/>
      <c r="F495" s="449"/>
      <c r="G495" s="449"/>
      <c r="H495" s="449"/>
      <c r="I495" s="449"/>
      <c r="J495" s="449"/>
      <c r="K495" s="449"/>
      <c r="L495" s="449"/>
      <c r="M495" s="449"/>
      <c r="N495" s="449"/>
      <c r="O495" s="449"/>
      <c r="P495" s="449"/>
      <c r="Q495" s="449"/>
      <c r="R495" s="450"/>
    </row>
    <row r="496" spans="1:18" ht="30" customHeight="1" x14ac:dyDescent="0.3">
      <c r="A496" s="456" t="s">
        <v>218</v>
      </c>
      <c r="B496" s="455"/>
      <c r="C496" s="457">
        <v>44771</v>
      </c>
      <c r="D496" s="458"/>
      <c r="E496" s="448"/>
      <c r="F496" s="449"/>
      <c r="G496" s="449"/>
      <c r="H496" s="449"/>
      <c r="I496" s="449"/>
      <c r="J496" s="449"/>
      <c r="K496" s="449"/>
      <c r="L496" s="449"/>
      <c r="M496" s="449"/>
      <c r="N496" s="449"/>
      <c r="O496" s="449"/>
      <c r="P496" s="449"/>
      <c r="Q496" s="449"/>
      <c r="R496" s="450"/>
    </row>
    <row r="497" spans="1:18" ht="30" customHeight="1" x14ac:dyDescent="0.3">
      <c r="A497" s="459" t="s">
        <v>219</v>
      </c>
      <c r="B497" s="460"/>
      <c r="C497" s="472" t="str">
        <f>+IF(I503&gt;D495,"CUMPLE","NO CUMPLE")</f>
        <v>CUMPLE</v>
      </c>
      <c r="D497" s="473"/>
      <c r="E497" s="451"/>
      <c r="F497" s="452"/>
      <c r="G497" s="452"/>
      <c r="H497" s="452"/>
      <c r="I497" s="452"/>
      <c r="J497" s="452"/>
      <c r="K497" s="452"/>
      <c r="L497" s="452"/>
      <c r="M497" s="452"/>
      <c r="N497" s="452"/>
      <c r="O497" s="452"/>
      <c r="P497" s="452"/>
      <c r="Q497" s="452"/>
      <c r="R497" s="453"/>
    </row>
    <row r="498" spans="1:18" ht="55.5" customHeight="1" x14ac:dyDescent="0.3">
      <c r="A498" s="474" t="s">
        <v>220</v>
      </c>
      <c r="B498" s="475"/>
      <c r="C498" s="475"/>
      <c r="D498" s="475"/>
      <c r="E498" s="475"/>
      <c r="F498" s="475"/>
      <c r="G498" s="475"/>
      <c r="H498" s="475"/>
      <c r="I498" s="476"/>
      <c r="J498" s="81" t="s">
        <v>221</v>
      </c>
      <c r="K498" s="103" t="s">
        <v>222</v>
      </c>
      <c r="L498" s="477" t="s">
        <v>223</v>
      </c>
      <c r="M498" s="476"/>
      <c r="N498" s="478" t="s">
        <v>224</v>
      </c>
      <c r="O498" s="480" t="s">
        <v>225</v>
      </c>
      <c r="P498" s="481"/>
      <c r="Q498" s="478" t="s">
        <v>226</v>
      </c>
      <c r="R498" s="461" t="s">
        <v>227</v>
      </c>
    </row>
    <row r="499" spans="1:18" ht="77.25" customHeight="1" x14ac:dyDescent="0.3">
      <c r="A499" s="82" t="s">
        <v>228</v>
      </c>
      <c r="B499" s="463" t="s">
        <v>229</v>
      </c>
      <c r="C499" s="464"/>
      <c r="D499" s="83" t="s">
        <v>230</v>
      </c>
      <c r="E499" s="83" t="s">
        <v>231</v>
      </c>
      <c r="F499" s="83" t="s">
        <v>232</v>
      </c>
      <c r="G499" s="83" t="s">
        <v>233</v>
      </c>
      <c r="H499" s="116" t="s">
        <v>234</v>
      </c>
      <c r="I499" s="116" t="s">
        <v>235</v>
      </c>
      <c r="J499" s="84" t="s">
        <v>236</v>
      </c>
      <c r="K499" s="84" t="s">
        <v>237</v>
      </c>
      <c r="L499" s="84" t="s">
        <v>238</v>
      </c>
      <c r="M499" s="84" t="s">
        <v>239</v>
      </c>
      <c r="N499" s="479"/>
      <c r="O499" s="482"/>
      <c r="P499" s="483"/>
      <c r="Q499" s="479"/>
      <c r="R499" s="462"/>
    </row>
    <row r="500" spans="1:18" ht="39.9" customHeight="1" x14ac:dyDescent="0.3">
      <c r="A500" s="86" t="str">
        <f>VLOOKUP(A493,'LISTA DE OFERENTES'!$A$6:$R$43,2,FALSE)</f>
        <v>PHVA CONSTRUCTORES SAS</v>
      </c>
      <c r="B500" s="87"/>
      <c r="C500" s="87"/>
      <c r="D500" s="87"/>
      <c r="E500" s="87"/>
      <c r="F500" s="87"/>
      <c r="G500" s="87"/>
      <c r="H500" s="87"/>
      <c r="I500" s="87"/>
      <c r="J500" s="87"/>
      <c r="K500" s="87"/>
      <c r="L500" s="491" t="s">
        <v>209</v>
      </c>
      <c r="M500" s="87"/>
      <c r="N500" s="87"/>
      <c r="O500" s="162" t="s">
        <v>241</v>
      </c>
      <c r="P500" s="87"/>
      <c r="Q500" s="87"/>
      <c r="R500" s="90"/>
    </row>
    <row r="501" spans="1:18" s="33" customFormat="1" ht="150" customHeight="1" x14ac:dyDescent="0.3">
      <c r="A501" s="119" t="s">
        <v>525</v>
      </c>
      <c r="B501" s="498" t="s">
        <v>526</v>
      </c>
      <c r="C501" s="467"/>
      <c r="D501" s="23" t="s">
        <v>527</v>
      </c>
      <c r="E501" s="69">
        <v>2019</v>
      </c>
      <c r="F501" s="69">
        <v>5115</v>
      </c>
      <c r="G501" s="24">
        <v>646.61</v>
      </c>
      <c r="H501" s="3">
        <v>0.93</v>
      </c>
      <c r="I501" s="24">
        <f>H501*G501</f>
        <v>601.34730000000002</v>
      </c>
      <c r="J501" s="100">
        <v>43808</v>
      </c>
      <c r="K501" s="30">
        <v>721015</v>
      </c>
      <c r="L501" s="492"/>
      <c r="M501" s="31">
        <f>I501</f>
        <v>601.34730000000002</v>
      </c>
      <c r="N501" s="119" t="s">
        <v>213</v>
      </c>
      <c r="O501" s="186" t="s">
        <v>528</v>
      </c>
      <c r="P501" s="119" t="s">
        <v>213</v>
      </c>
      <c r="Q501" s="142" t="s">
        <v>213</v>
      </c>
      <c r="R501" s="32" t="s">
        <v>529</v>
      </c>
    </row>
    <row r="502" spans="1:18" s="33" customFormat="1" ht="150" customHeight="1" x14ac:dyDescent="0.3">
      <c r="A502" s="119" t="s">
        <v>530</v>
      </c>
      <c r="B502" s="498" t="s">
        <v>531</v>
      </c>
      <c r="C502" s="467"/>
      <c r="D502" s="23" t="s">
        <v>532</v>
      </c>
      <c r="E502" s="69">
        <v>2019</v>
      </c>
      <c r="F502" s="69">
        <v>5115</v>
      </c>
      <c r="G502" s="24">
        <v>1014.67</v>
      </c>
      <c r="H502" s="3">
        <v>0.7</v>
      </c>
      <c r="I502" s="24">
        <f>H502*G502</f>
        <v>710.26899999999989</v>
      </c>
      <c r="J502" s="100">
        <v>43825</v>
      </c>
      <c r="K502" s="30">
        <v>721015</v>
      </c>
      <c r="L502" s="501"/>
      <c r="M502" s="31">
        <f>I502</f>
        <v>710.26899999999989</v>
      </c>
      <c r="N502" s="119" t="s">
        <v>213</v>
      </c>
      <c r="O502" s="186" t="s">
        <v>533</v>
      </c>
      <c r="P502" s="119" t="s">
        <v>213</v>
      </c>
      <c r="Q502" s="142" t="s">
        <v>213</v>
      </c>
      <c r="R502" s="32"/>
    </row>
    <row r="503" spans="1:18" s="33" customFormat="1" ht="48" customHeight="1" x14ac:dyDescent="0.3">
      <c r="A503" s="495" t="s">
        <v>249</v>
      </c>
      <c r="B503" s="485"/>
      <c r="C503" s="485"/>
      <c r="D503" s="485"/>
      <c r="E503" s="485"/>
      <c r="F503" s="485"/>
      <c r="G503" s="485"/>
      <c r="H503" s="486"/>
      <c r="I503" s="72">
        <f>SUM(I501:I502)</f>
        <v>1311.6162999999999</v>
      </c>
      <c r="J503" s="487" t="s">
        <v>250</v>
      </c>
      <c r="K503" s="488"/>
      <c r="L503" s="488"/>
      <c r="M503" s="488"/>
      <c r="N503" s="488"/>
      <c r="O503" s="488"/>
      <c r="P503" s="490"/>
      <c r="Q503" s="136"/>
      <c r="R503" s="92" t="s">
        <v>213</v>
      </c>
    </row>
    <row r="504" spans="1:18" ht="150.75" customHeight="1" x14ac:dyDescent="0.3">
      <c r="A504" s="7"/>
      <c r="B504" s="7"/>
      <c r="C504" s="7"/>
      <c r="D504" s="7"/>
      <c r="E504" s="7"/>
      <c r="F504" s="7"/>
      <c r="G504" s="7"/>
      <c r="H504" s="7"/>
      <c r="I504" s="4"/>
      <c r="J504" s="4"/>
      <c r="K504" s="4"/>
      <c r="L504" s="4"/>
      <c r="M504" s="4"/>
      <c r="N504" s="5"/>
      <c r="O504" s="5"/>
      <c r="P504" s="5"/>
      <c r="Q504" s="5"/>
      <c r="R504" s="5"/>
    </row>
    <row r="505" spans="1:18" ht="15.6" x14ac:dyDescent="0.3">
      <c r="A505" s="555" t="s">
        <v>534</v>
      </c>
      <c r="B505" s="556"/>
      <c r="C505" s="66">
        <v>0.5</v>
      </c>
      <c r="D505" s="66" t="s">
        <v>535</v>
      </c>
      <c r="E505" s="66" t="s">
        <v>536</v>
      </c>
      <c r="F505" s="66"/>
      <c r="G505" s="8" t="s">
        <v>537</v>
      </c>
      <c r="H505" s="8" t="s">
        <v>538</v>
      </c>
      <c r="I505" s="8" t="s">
        <v>539</v>
      </c>
      <c r="J505" s="4"/>
      <c r="K505" s="4"/>
      <c r="L505" s="4"/>
      <c r="M505" s="4"/>
      <c r="N505" s="5"/>
      <c r="O505" s="5"/>
      <c r="P505" s="5"/>
      <c r="Q505" s="5"/>
      <c r="R505" s="5"/>
    </row>
    <row r="506" spans="1:18" ht="21" x14ac:dyDescent="0.3">
      <c r="A506" s="34" t="s">
        <v>540</v>
      </c>
      <c r="B506" s="133">
        <v>1649608355</v>
      </c>
      <c r="C506" s="67">
        <f>+B506*50%</f>
        <v>824804177.5</v>
      </c>
      <c r="D506" s="35">
        <f>+$C$506/$E$564</f>
        <v>824.80417750000004</v>
      </c>
      <c r="E506" s="35">
        <f>$B$506/$E$564</f>
        <v>1649.6083550000001</v>
      </c>
      <c r="F506" s="35"/>
      <c r="G506" s="35">
        <f>E506*0.75</f>
        <v>1237.20626625</v>
      </c>
      <c r="H506" s="35">
        <f>E506*1.2</f>
        <v>1979.5300259999999</v>
      </c>
      <c r="I506" s="35">
        <f>E506*1.5</f>
        <v>2474.4125325</v>
      </c>
      <c r="J506" s="65"/>
      <c r="K506" s="4"/>
      <c r="L506" s="4"/>
      <c r="M506" s="4"/>
      <c r="N506" s="5"/>
      <c r="O506" s="5"/>
      <c r="P506" s="5"/>
      <c r="Q506" s="5"/>
      <c r="R506" s="5"/>
    </row>
    <row r="507" spans="1:18" ht="21" x14ac:dyDescent="0.3">
      <c r="A507" s="36"/>
      <c r="B507" s="37"/>
      <c r="C507" s="38"/>
      <c r="D507" s="39"/>
      <c r="E507" s="39"/>
      <c r="F507" s="39"/>
      <c r="G507" s="38"/>
      <c r="H507" s="39"/>
      <c r="I507" s="40"/>
      <c r="J507" s="41"/>
      <c r="K507" s="4"/>
      <c r="L507" s="4"/>
      <c r="M507" s="4"/>
      <c r="N507" s="5"/>
      <c r="O507" s="5"/>
      <c r="P507" s="5"/>
      <c r="Q507" s="5"/>
      <c r="R507" s="5"/>
    </row>
    <row r="508" spans="1:18" ht="21" x14ac:dyDescent="0.3">
      <c r="A508" s="42"/>
      <c r="B508" s="43"/>
      <c r="C508" s="38"/>
      <c r="D508" s="39"/>
      <c r="E508" s="39"/>
      <c r="F508" s="39"/>
      <c r="G508" s="38"/>
      <c r="H508" s="39"/>
      <c r="I508" s="40"/>
      <c r="J508" s="41"/>
      <c r="K508" s="4"/>
      <c r="L508" s="4"/>
      <c r="M508" s="4"/>
      <c r="N508" s="5"/>
      <c r="O508" s="5"/>
      <c r="P508" s="5"/>
      <c r="Q508" s="5"/>
      <c r="R508" s="5"/>
    </row>
    <row r="509" spans="1:18" ht="162.75" customHeight="1" x14ac:dyDescent="0.3">
      <c r="A509" s="552" t="s">
        <v>541</v>
      </c>
      <c r="B509" s="552"/>
      <c r="C509" s="552"/>
      <c r="D509" s="552"/>
      <c r="E509" s="552"/>
      <c r="F509" s="552"/>
      <c r="G509" s="552"/>
      <c r="H509" s="552"/>
      <c r="I509" s="552"/>
      <c r="J509" s="552"/>
      <c r="L509" s="553" t="s">
        <v>542</v>
      </c>
      <c r="M509" s="553"/>
      <c r="N509" s="44"/>
      <c r="O509" s="44"/>
      <c r="P509" s="44"/>
      <c r="Q509" s="44"/>
      <c r="R509" s="44"/>
    </row>
    <row r="510" spans="1:18" ht="22.5" customHeight="1" x14ac:dyDescent="0.3">
      <c r="A510" s="63"/>
      <c r="B510" s="63"/>
      <c r="C510" s="102"/>
      <c r="D510" s="1"/>
      <c r="E510" s="1"/>
      <c r="F510" s="1"/>
      <c r="G510" s="101"/>
      <c r="H510" s="101"/>
      <c r="I510" s="101"/>
      <c r="J510" s="101"/>
      <c r="K510" s="101"/>
      <c r="M510" s="44"/>
      <c r="N510" s="44"/>
      <c r="O510" s="44"/>
      <c r="P510" s="44"/>
      <c r="Q510" s="44"/>
      <c r="R510" s="44"/>
    </row>
    <row r="511" spans="1:18" ht="57" customHeight="1" x14ac:dyDescent="0.3">
      <c r="A511" s="45" t="s">
        <v>3</v>
      </c>
      <c r="B511" s="63"/>
      <c r="C511" s="102"/>
      <c r="D511" s="1"/>
      <c r="E511" s="1"/>
      <c r="F511" s="1"/>
      <c r="G511" s="101"/>
      <c r="H511" s="101"/>
      <c r="I511" s="101"/>
      <c r="J511" s="101"/>
      <c r="M511" s="44"/>
      <c r="N511" s="44"/>
      <c r="O511" s="44"/>
      <c r="P511" s="44"/>
      <c r="Q511" s="44"/>
      <c r="R511" s="44"/>
    </row>
    <row r="512" spans="1:18" ht="51.75" customHeight="1" x14ac:dyDescent="0.3">
      <c r="A512" s="553" t="s">
        <v>4</v>
      </c>
      <c r="B512" s="553"/>
      <c r="C512" s="102"/>
      <c r="D512" s="1"/>
      <c r="E512" s="1"/>
      <c r="F512" s="1"/>
      <c r="G512" s="101"/>
      <c r="H512" s="101"/>
      <c r="I512" s="101"/>
      <c r="J512" s="101"/>
      <c r="M512" s="44"/>
      <c r="N512" s="44"/>
      <c r="O512" s="44"/>
      <c r="P512" s="44"/>
      <c r="Q512" s="44"/>
      <c r="R512" s="44"/>
    </row>
    <row r="513" spans="1:18" ht="72.75" customHeight="1" x14ac:dyDescent="0.3">
      <c r="A513" s="554" t="s">
        <v>543</v>
      </c>
      <c r="B513" s="554"/>
      <c r="C513" s="554"/>
      <c r="D513" s="554"/>
      <c r="E513" s="554"/>
      <c r="F513" s="554"/>
      <c r="G513" s="554"/>
      <c r="H513" s="554"/>
      <c r="I513" s="554"/>
      <c r="J513" s="554"/>
      <c r="M513" s="44"/>
      <c r="N513" s="44"/>
      <c r="O513" s="44"/>
      <c r="P513" s="44"/>
      <c r="Q513" s="44"/>
      <c r="R513" s="44"/>
    </row>
    <row r="514" spans="1:18" ht="72.75" customHeight="1" x14ac:dyDescent="0.3">
      <c r="A514" s="554" t="s">
        <v>544</v>
      </c>
      <c r="B514" s="554"/>
      <c r="C514" s="554"/>
      <c r="D514" s="554"/>
      <c r="E514" s="554"/>
      <c r="F514" s="554"/>
      <c r="G514" s="554"/>
      <c r="H514" s="554"/>
      <c r="I514" s="554"/>
      <c r="J514" s="554"/>
      <c r="M514" s="44"/>
      <c r="N514" s="44"/>
      <c r="O514" s="44"/>
      <c r="P514" s="44"/>
      <c r="Q514" s="44"/>
      <c r="R514" s="44"/>
    </row>
    <row r="515" spans="1:18" ht="87.75" customHeight="1" x14ac:dyDescent="0.3">
      <c r="A515" s="554" t="s">
        <v>545</v>
      </c>
      <c r="B515" s="554"/>
      <c r="C515" s="554"/>
      <c r="D515" s="554"/>
      <c r="E515" s="554"/>
      <c r="F515" s="554"/>
      <c r="G515" s="554"/>
      <c r="H515" s="554"/>
      <c r="I515" s="554"/>
      <c r="J515" s="554"/>
      <c r="M515" s="44"/>
      <c r="N515" s="44"/>
      <c r="O515" s="44"/>
      <c r="P515" s="44"/>
      <c r="Q515" s="44"/>
      <c r="R515" s="44"/>
    </row>
    <row r="516" spans="1:18" ht="87.75" customHeight="1" x14ac:dyDescent="0.3">
      <c r="A516" s="554"/>
      <c r="B516" s="554"/>
      <c r="C516" s="554"/>
      <c r="D516" s="554"/>
      <c r="E516" s="554"/>
      <c r="F516" s="554"/>
      <c r="G516" s="554"/>
      <c r="H516" s="554"/>
      <c r="I516" s="554"/>
      <c r="J516" s="554"/>
      <c r="M516" s="44"/>
      <c r="N516" s="44"/>
      <c r="O516" s="44"/>
      <c r="P516" s="44"/>
      <c r="Q516" s="44"/>
      <c r="R516" s="44"/>
    </row>
    <row r="517" spans="1:18" ht="60" customHeight="1" x14ac:dyDescent="0.3">
      <c r="A517" s="64"/>
      <c r="B517" s="64"/>
      <c r="C517" s="102"/>
      <c r="D517" s="1"/>
      <c r="E517" s="1"/>
      <c r="F517" s="1"/>
      <c r="G517" s="101"/>
      <c r="H517" s="101"/>
      <c r="I517" s="101"/>
      <c r="J517" s="101"/>
      <c r="M517" s="44"/>
      <c r="N517" s="44"/>
      <c r="O517" s="44"/>
      <c r="P517" s="44"/>
      <c r="Q517" s="44"/>
      <c r="R517" s="44"/>
    </row>
    <row r="518" spans="1:18" ht="60" customHeight="1" x14ac:dyDescent="0.3">
      <c r="A518" s="553" t="s">
        <v>546</v>
      </c>
      <c r="B518" s="553"/>
      <c r="C518" s="102"/>
      <c r="D518" s="1"/>
      <c r="E518" s="1"/>
      <c r="F518" s="1"/>
      <c r="G518" s="101"/>
      <c r="H518" s="101"/>
      <c r="I518" s="101"/>
      <c r="J518" s="101"/>
      <c r="M518" s="44"/>
      <c r="N518" s="44"/>
      <c r="O518" s="44"/>
      <c r="P518" s="44"/>
      <c r="Q518" s="44"/>
      <c r="R518" s="44"/>
    </row>
    <row r="519" spans="1:18" ht="126.9" customHeight="1" x14ac:dyDescent="0.3">
      <c r="A519" s="554" t="s">
        <v>9</v>
      </c>
      <c r="B519" s="554"/>
      <c r="C519" s="554"/>
      <c r="D519" s="554"/>
      <c r="E519" s="554"/>
      <c r="F519" s="554"/>
      <c r="G519" s="554"/>
      <c r="H519" s="554"/>
      <c r="I519" s="554"/>
      <c r="J519" s="554"/>
      <c r="M519" s="44"/>
      <c r="N519" s="44"/>
      <c r="O519" s="44"/>
      <c r="P519" s="44"/>
      <c r="Q519" s="44"/>
      <c r="R519" s="44"/>
    </row>
    <row r="520" spans="1:18" ht="126.9" customHeight="1" x14ac:dyDescent="0.3">
      <c r="A520" s="134"/>
      <c r="B520" s="134"/>
      <c r="C520" s="134"/>
      <c r="D520" s="134"/>
      <c r="E520" s="134"/>
      <c r="F520" s="134"/>
      <c r="G520" s="134"/>
      <c r="H520" s="134"/>
      <c r="I520" s="134"/>
      <c r="J520" s="134"/>
      <c r="M520" s="44"/>
      <c r="N520" s="44"/>
      <c r="O520" s="44"/>
      <c r="P520" s="44"/>
      <c r="Q520" s="44"/>
      <c r="R520" s="44"/>
    </row>
    <row r="521" spans="1:18" ht="53.1" customHeight="1" x14ac:dyDescent="0.3">
      <c r="A521" s="553" t="s">
        <v>10</v>
      </c>
      <c r="B521" s="553"/>
      <c r="C521" s="134"/>
      <c r="D521" s="134"/>
      <c r="E521" s="134"/>
      <c r="F521" s="134"/>
      <c r="G521" s="134"/>
      <c r="H521" s="134"/>
      <c r="I521" s="134"/>
      <c r="J521" s="134"/>
      <c r="M521" s="44"/>
      <c r="N521" s="44"/>
      <c r="O521" s="44"/>
      <c r="P521" s="44"/>
      <c r="Q521" s="44"/>
      <c r="R521" s="44"/>
    </row>
    <row r="522" spans="1:18" ht="126.9" customHeight="1" x14ac:dyDescent="0.3">
      <c r="A522" s="554" t="s">
        <v>11</v>
      </c>
      <c r="B522" s="554"/>
      <c r="C522" s="554"/>
      <c r="D522" s="554"/>
      <c r="E522" s="554"/>
      <c r="F522" s="554"/>
      <c r="G522" s="554"/>
      <c r="H522" s="554"/>
      <c r="I522" s="554"/>
      <c r="J522" s="554"/>
      <c r="M522" s="44"/>
      <c r="N522" s="44"/>
      <c r="O522" s="44"/>
      <c r="P522" s="44"/>
      <c r="Q522" s="44"/>
      <c r="R522" s="44"/>
    </row>
    <row r="523" spans="1:18" ht="150" customHeight="1" x14ac:dyDescent="0.3">
      <c r="A523" s="554" t="s">
        <v>547</v>
      </c>
      <c r="B523" s="554"/>
      <c r="C523" s="554"/>
      <c r="D523" s="554"/>
      <c r="E523" s="554"/>
      <c r="F523" s="554"/>
      <c r="G523" s="554"/>
      <c r="H523" s="554"/>
      <c r="I523" s="554"/>
      <c r="J523" s="554"/>
      <c r="M523" s="44"/>
      <c r="N523" s="44"/>
      <c r="O523" s="44"/>
      <c r="P523" s="44"/>
      <c r="Q523" s="44"/>
      <c r="R523" s="44"/>
    </row>
    <row r="524" spans="1:18" ht="170.25" customHeight="1" x14ac:dyDescent="0.3">
      <c r="A524" s="559" t="s">
        <v>548</v>
      </c>
      <c r="B524" s="559"/>
      <c r="C524" s="559"/>
      <c r="D524" s="559"/>
      <c r="E524" s="559"/>
      <c r="F524" s="559"/>
      <c r="G524" s="559"/>
      <c r="H524" s="559"/>
      <c r="I524" s="559"/>
      <c r="J524" s="559"/>
      <c r="M524" s="44"/>
      <c r="N524" s="44"/>
      <c r="O524" s="44"/>
      <c r="P524" s="44"/>
      <c r="Q524" s="44"/>
      <c r="R524" s="44"/>
    </row>
    <row r="525" spans="1:18" ht="100.5" customHeight="1" x14ac:dyDescent="0.3">
      <c r="A525" s="557" t="s">
        <v>13</v>
      </c>
      <c r="B525" s="557"/>
      <c r="C525" s="557"/>
      <c r="D525" s="557"/>
      <c r="E525" s="557"/>
      <c r="F525" s="557"/>
      <c r="G525" s="557"/>
      <c r="H525" s="557"/>
      <c r="I525" s="557"/>
      <c r="J525" s="557"/>
      <c r="M525" s="44"/>
      <c r="N525" s="44"/>
      <c r="O525" s="44"/>
      <c r="P525" s="44"/>
      <c r="Q525" s="44"/>
      <c r="R525" s="44"/>
    </row>
    <row r="526" spans="1:18" ht="66.75" customHeight="1" x14ac:dyDescent="0.3">
      <c r="A526" s="559" t="s">
        <v>549</v>
      </c>
      <c r="B526" s="559"/>
      <c r="C526" s="559"/>
      <c r="D526" s="559"/>
      <c r="E526" s="559"/>
      <c r="F526" s="559"/>
      <c r="G526" s="559"/>
      <c r="H526" s="559"/>
      <c r="I526" s="559"/>
      <c r="J526" s="559"/>
      <c r="M526" s="44"/>
      <c r="N526" s="44"/>
      <c r="O526" s="44"/>
      <c r="P526" s="44"/>
      <c r="Q526" s="44"/>
      <c r="R526" s="44"/>
    </row>
    <row r="527" spans="1:18" ht="124.5" customHeight="1" x14ac:dyDescent="0.3">
      <c r="A527" s="559" t="s">
        <v>550</v>
      </c>
      <c r="B527" s="559"/>
      <c r="C527" s="559"/>
      <c r="D527" s="559"/>
      <c r="E527" s="559"/>
      <c r="F527" s="559"/>
      <c r="G527" s="559"/>
      <c r="H527" s="559"/>
      <c r="I527" s="559"/>
      <c r="J527" s="559"/>
      <c r="M527" s="44"/>
      <c r="N527" s="44"/>
      <c r="O527" s="44"/>
      <c r="P527" s="44"/>
      <c r="Q527" s="44"/>
      <c r="R527" s="44"/>
    </row>
    <row r="528" spans="1:18" ht="222.75" customHeight="1" x14ac:dyDescent="0.3">
      <c r="A528" s="559" t="s">
        <v>551</v>
      </c>
      <c r="B528" s="559"/>
      <c r="C528" s="559"/>
      <c r="D528" s="559"/>
      <c r="E528" s="559"/>
      <c r="F528" s="559"/>
      <c r="G528" s="559"/>
      <c r="H528" s="559"/>
      <c r="I528" s="559"/>
      <c r="J528" s="559"/>
      <c r="M528" s="44"/>
      <c r="N528" s="44"/>
      <c r="O528" s="44"/>
      <c r="P528" s="44"/>
      <c r="Q528" s="44"/>
      <c r="R528" s="44"/>
    </row>
    <row r="529" spans="1:18" ht="109.5" customHeight="1" x14ac:dyDescent="0.3">
      <c r="A529" s="559" t="s">
        <v>552</v>
      </c>
      <c r="B529" s="559"/>
      <c r="C529" s="559"/>
      <c r="D529" s="559"/>
      <c r="E529" s="559"/>
      <c r="F529" s="559"/>
      <c r="G529" s="559"/>
      <c r="H529" s="559"/>
      <c r="I529" s="559"/>
      <c r="J529" s="559"/>
      <c r="M529" s="44"/>
      <c r="N529" s="44"/>
      <c r="O529" s="44"/>
      <c r="P529" s="44"/>
      <c r="Q529" s="44"/>
      <c r="R529" s="44"/>
    </row>
    <row r="530" spans="1:18" ht="131.25" customHeight="1" x14ac:dyDescent="0.3">
      <c r="A530" s="557" t="s">
        <v>18</v>
      </c>
      <c r="B530" s="557"/>
      <c r="C530" s="557"/>
      <c r="D530" s="557"/>
      <c r="E530" s="557"/>
      <c r="F530" s="557"/>
      <c r="G530" s="557"/>
      <c r="H530" s="557"/>
      <c r="I530" s="557"/>
      <c r="J530" s="557"/>
      <c r="M530" s="44"/>
      <c r="N530" s="44"/>
      <c r="O530" s="44"/>
      <c r="P530" s="44"/>
      <c r="Q530" s="44"/>
      <c r="R530" s="44"/>
    </row>
    <row r="531" spans="1:18" ht="23.4" x14ac:dyDescent="0.3">
      <c r="A531" s="44"/>
      <c r="B531" s="44"/>
      <c r="C531" s="46"/>
      <c r="D531" s="46"/>
      <c r="E531" s="46"/>
      <c r="F531" s="46"/>
      <c r="G531" s="558"/>
      <c r="H531" s="558"/>
      <c r="I531" s="558"/>
      <c r="J531" s="558"/>
      <c r="M531" s="44"/>
      <c r="N531" s="44"/>
      <c r="O531" s="44"/>
      <c r="P531" s="44"/>
      <c r="Q531" s="44"/>
      <c r="R531" s="44"/>
    </row>
    <row r="532" spans="1:18" ht="20.25" customHeight="1" x14ac:dyDescent="0.3">
      <c r="D532" s="109" t="s">
        <v>553</v>
      </c>
      <c r="E532" s="105" t="s">
        <v>554</v>
      </c>
      <c r="F532" s="174"/>
      <c r="G532" s="104"/>
      <c r="M532" s="44"/>
      <c r="N532" s="44"/>
      <c r="O532" s="44"/>
      <c r="P532" s="44"/>
      <c r="Q532" s="44"/>
      <c r="R532" s="44"/>
    </row>
    <row r="533" spans="1:18" ht="20.25" customHeight="1" x14ac:dyDescent="0.3">
      <c r="D533" s="148">
        <v>1991</v>
      </c>
      <c r="E533" s="149">
        <v>51720</v>
      </c>
      <c r="F533" s="175"/>
      <c r="G533" s="47"/>
      <c r="M533" s="44"/>
      <c r="N533" s="44"/>
      <c r="O533" s="44"/>
      <c r="P533" s="44"/>
      <c r="Q533" s="44"/>
      <c r="R533" s="44"/>
    </row>
    <row r="534" spans="1:18" ht="20.25" customHeight="1" x14ac:dyDescent="0.3">
      <c r="D534" s="110">
        <v>1992</v>
      </c>
      <c r="E534" s="106">
        <v>65190</v>
      </c>
      <c r="F534" s="175"/>
      <c r="G534" s="47"/>
      <c r="M534" s="44"/>
      <c r="N534" s="44"/>
      <c r="O534" s="44"/>
      <c r="P534" s="44"/>
      <c r="Q534" s="44"/>
      <c r="R534" s="44"/>
    </row>
    <row r="535" spans="1:18" ht="20.25" customHeight="1" x14ac:dyDescent="0.3">
      <c r="D535" s="110">
        <v>1993</v>
      </c>
      <c r="E535" s="106">
        <v>81510</v>
      </c>
      <c r="F535" s="175"/>
      <c r="G535" s="47"/>
      <c r="M535" s="44"/>
      <c r="N535" s="44"/>
      <c r="O535" s="44"/>
      <c r="P535" s="44"/>
      <c r="Q535" s="44"/>
      <c r="R535" s="44"/>
    </row>
    <row r="536" spans="1:18" ht="20.25" customHeight="1" x14ac:dyDescent="0.3">
      <c r="D536" s="110">
        <v>1994</v>
      </c>
      <c r="E536" s="106">
        <v>98700</v>
      </c>
      <c r="F536" s="175"/>
      <c r="G536" s="47"/>
      <c r="M536" s="44"/>
      <c r="N536" s="44"/>
      <c r="O536" s="44"/>
      <c r="P536" s="44"/>
      <c r="Q536" s="44"/>
      <c r="R536" s="44"/>
    </row>
    <row r="537" spans="1:18" ht="20.25" customHeight="1" x14ac:dyDescent="0.3">
      <c r="D537" s="110">
        <v>1995</v>
      </c>
      <c r="E537" s="106">
        <v>118933</v>
      </c>
      <c r="F537" s="175"/>
      <c r="G537" s="47"/>
      <c r="M537" s="44"/>
      <c r="N537" s="44"/>
      <c r="O537" s="44"/>
      <c r="P537" s="44"/>
      <c r="Q537" s="44"/>
      <c r="R537" s="44"/>
    </row>
    <row r="538" spans="1:18" ht="20.25" customHeight="1" x14ac:dyDescent="0.3">
      <c r="D538" s="110">
        <v>1996</v>
      </c>
      <c r="E538" s="106">
        <v>142125</v>
      </c>
      <c r="F538" s="175"/>
      <c r="G538" s="47"/>
      <c r="M538" s="44"/>
      <c r="N538" s="44"/>
      <c r="O538" s="44"/>
      <c r="P538" s="44"/>
      <c r="Q538" s="44"/>
      <c r="R538" s="44"/>
    </row>
    <row r="539" spans="1:18" ht="20.25" customHeight="1" x14ac:dyDescent="0.3">
      <c r="D539" s="110">
        <v>1997</v>
      </c>
      <c r="E539" s="106">
        <v>172005</v>
      </c>
      <c r="F539" s="175"/>
      <c r="G539" s="47"/>
    </row>
    <row r="540" spans="1:18" ht="20.25" customHeight="1" x14ac:dyDescent="0.3">
      <c r="D540" s="111">
        <v>1998</v>
      </c>
      <c r="E540" s="107">
        <v>203826</v>
      </c>
      <c r="F540" s="176"/>
      <c r="G540" s="47"/>
    </row>
    <row r="541" spans="1:18" ht="20.25" customHeight="1" x14ac:dyDescent="0.3">
      <c r="D541" s="111">
        <v>1999</v>
      </c>
      <c r="E541" s="107">
        <v>236460</v>
      </c>
      <c r="F541" s="176"/>
      <c r="G541" s="47"/>
    </row>
    <row r="542" spans="1:18" ht="20.25" customHeight="1" x14ac:dyDescent="0.3">
      <c r="D542" s="111">
        <v>2000</v>
      </c>
      <c r="E542" s="107">
        <v>260100</v>
      </c>
      <c r="F542" s="176"/>
      <c r="G542" s="47"/>
    </row>
    <row r="543" spans="1:18" ht="20.25" customHeight="1" x14ac:dyDescent="0.3">
      <c r="D543" s="111">
        <v>2001</v>
      </c>
      <c r="E543" s="107">
        <v>286000</v>
      </c>
      <c r="F543" s="176"/>
      <c r="G543" s="47"/>
    </row>
    <row r="544" spans="1:18" ht="20.25" customHeight="1" x14ac:dyDescent="0.3">
      <c r="D544" s="111">
        <v>2002</v>
      </c>
      <c r="E544" s="107">
        <v>309000</v>
      </c>
      <c r="F544" s="176"/>
      <c r="G544" s="47"/>
    </row>
    <row r="545" spans="4:9" ht="20.25" customHeight="1" x14ac:dyDescent="0.3">
      <c r="D545" s="111">
        <v>2003</v>
      </c>
      <c r="E545" s="107">
        <v>332000</v>
      </c>
      <c r="F545" s="176"/>
      <c r="G545" s="47"/>
    </row>
    <row r="546" spans="4:9" ht="20.25" customHeight="1" x14ac:dyDescent="0.3">
      <c r="D546" s="111">
        <v>2004</v>
      </c>
      <c r="E546" s="107">
        <v>358000</v>
      </c>
      <c r="F546" s="176"/>
      <c r="G546" s="47"/>
    </row>
    <row r="547" spans="4:9" ht="20.25" customHeight="1" x14ac:dyDescent="0.3">
      <c r="D547" s="111">
        <v>2005</v>
      </c>
      <c r="E547" s="107">
        <v>381500</v>
      </c>
      <c r="F547" s="176"/>
      <c r="G547" s="47"/>
    </row>
    <row r="548" spans="4:9" ht="20.25" customHeight="1" x14ac:dyDescent="0.3">
      <c r="D548" s="111">
        <v>2006</v>
      </c>
      <c r="E548" s="107">
        <v>408000</v>
      </c>
      <c r="F548" s="176"/>
      <c r="G548" s="47"/>
    </row>
    <row r="549" spans="4:9" ht="20.25" customHeight="1" x14ac:dyDescent="0.3">
      <c r="D549" s="111">
        <v>2007</v>
      </c>
      <c r="E549" s="107">
        <v>433700</v>
      </c>
      <c r="F549" s="176"/>
      <c r="G549" s="47"/>
    </row>
    <row r="550" spans="4:9" ht="20.25" customHeight="1" x14ac:dyDescent="0.3">
      <c r="D550" s="111">
        <v>2008</v>
      </c>
      <c r="E550" s="107">
        <v>461500</v>
      </c>
      <c r="F550" s="176"/>
      <c r="G550" s="47"/>
    </row>
    <row r="551" spans="4:9" ht="20.25" customHeight="1" x14ac:dyDescent="0.3">
      <c r="D551" s="111">
        <v>2009</v>
      </c>
      <c r="E551" s="107">
        <v>496900</v>
      </c>
      <c r="F551" s="176"/>
      <c r="G551" s="47"/>
    </row>
    <row r="552" spans="4:9" ht="20.25" customHeight="1" x14ac:dyDescent="0.3">
      <c r="D552" s="111">
        <v>2010</v>
      </c>
      <c r="E552" s="107">
        <v>515000</v>
      </c>
      <c r="F552" s="176"/>
      <c r="G552" s="47"/>
    </row>
    <row r="553" spans="4:9" ht="20.25" customHeight="1" x14ac:dyDescent="0.3">
      <c r="D553" s="111">
        <v>2011</v>
      </c>
      <c r="E553" s="107">
        <v>535600</v>
      </c>
      <c r="F553" s="176"/>
      <c r="G553" s="47"/>
    </row>
    <row r="554" spans="4:9" ht="20.25" customHeight="1" x14ac:dyDescent="0.3">
      <c r="D554" s="111">
        <v>2012</v>
      </c>
      <c r="E554" s="107">
        <v>566700</v>
      </c>
      <c r="F554" s="176"/>
      <c r="G554" s="47"/>
    </row>
    <row r="555" spans="4:9" ht="20.25" customHeight="1" x14ac:dyDescent="0.3">
      <c r="D555" s="111">
        <v>2013</v>
      </c>
      <c r="E555" s="107">
        <v>589500</v>
      </c>
      <c r="F555" s="176"/>
      <c r="G555" s="47"/>
    </row>
    <row r="556" spans="4:9" ht="20.25" customHeight="1" x14ac:dyDescent="0.3">
      <c r="D556" s="111">
        <v>2014</v>
      </c>
      <c r="E556" s="107">
        <v>616000</v>
      </c>
      <c r="F556" s="176"/>
      <c r="G556" s="47"/>
    </row>
    <row r="557" spans="4:9" ht="20.25" customHeight="1" x14ac:dyDescent="0.3">
      <c r="D557" s="111">
        <v>2015</v>
      </c>
      <c r="E557" s="107">
        <v>644350</v>
      </c>
      <c r="F557" s="176"/>
      <c r="G557" s="47"/>
      <c r="I557" s="44"/>
    </row>
    <row r="558" spans="4:9" ht="20.25" customHeight="1" x14ac:dyDescent="0.3">
      <c r="D558" s="111">
        <v>2016</v>
      </c>
      <c r="E558" s="107">
        <v>689455</v>
      </c>
      <c r="F558" s="176"/>
      <c r="G558" s="47"/>
      <c r="I558" s="44"/>
    </row>
    <row r="559" spans="4:9" ht="20.25" customHeight="1" x14ac:dyDescent="0.3">
      <c r="D559" s="111">
        <v>2017</v>
      </c>
      <c r="E559" s="107">
        <v>737717</v>
      </c>
      <c r="F559" s="176"/>
      <c r="G559" s="47"/>
      <c r="I559" s="44"/>
    </row>
    <row r="560" spans="4:9" ht="20.25" customHeight="1" x14ac:dyDescent="0.3">
      <c r="D560" s="111">
        <v>2018</v>
      </c>
      <c r="E560" s="107">
        <v>781242</v>
      </c>
      <c r="F560" s="176"/>
      <c r="G560" s="47"/>
      <c r="I560" s="44"/>
    </row>
    <row r="561" spans="4:9" ht="20.25" customHeight="1" x14ac:dyDescent="0.3">
      <c r="D561" s="111">
        <v>2019</v>
      </c>
      <c r="E561" s="107">
        <v>828116</v>
      </c>
      <c r="F561" s="176"/>
      <c r="G561" s="47"/>
      <c r="I561" s="44"/>
    </row>
    <row r="562" spans="4:9" ht="20.25" customHeight="1" x14ac:dyDescent="0.3">
      <c r="D562" s="111">
        <v>2020</v>
      </c>
      <c r="E562" s="107">
        <v>877803</v>
      </c>
      <c r="F562" s="176"/>
      <c r="G562" s="47"/>
      <c r="I562" s="44"/>
    </row>
    <row r="563" spans="4:9" ht="20.25" customHeight="1" x14ac:dyDescent="0.3">
      <c r="D563" s="121">
        <v>2021</v>
      </c>
      <c r="E563" s="122">
        <v>908526</v>
      </c>
      <c r="F563" s="176"/>
      <c r="G563" s="47"/>
      <c r="I563" s="44"/>
    </row>
    <row r="564" spans="4:9" ht="20.25" customHeight="1" x14ac:dyDescent="0.3">
      <c r="D564" s="112">
        <v>2022</v>
      </c>
      <c r="E564" s="108">
        <v>1000000</v>
      </c>
      <c r="F564" s="176"/>
      <c r="H564" s="44"/>
      <c r="I564" s="44"/>
    </row>
    <row r="565" spans="4:9" ht="15" customHeight="1" x14ac:dyDescent="0.3">
      <c r="H565" s="44"/>
      <c r="I565" s="44"/>
    </row>
    <row r="566" spans="4:9" ht="23.4" x14ac:dyDescent="0.3">
      <c r="H566" s="44"/>
      <c r="I566" s="44"/>
    </row>
    <row r="567" spans="4:9" ht="23.4" x14ac:dyDescent="0.3">
      <c r="H567" s="44"/>
      <c r="I567" s="44"/>
    </row>
    <row r="576" spans="4:9" x14ac:dyDescent="0.3">
      <c r="H576" s="47"/>
    </row>
  </sheetData>
  <sheetProtection formatCells="0" formatColumns="0" formatRows="0" insertColumns="0" insertRows="0" insertHyperlinks="0" deleteColumns="0" deleteRows="0" sort="0" autoFilter="0" pivotTables="0"/>
  <mergeCells count="783">
    <mergeCell ref="A530:J530"/>
    <mergeCell ref="G531:J531"/>
    <mergeCell ref="A524:J524"/>
    <mergeCell ref="A525:J525"/>
    <mergeCell ref="A526:J526"/>
    <mergeCell ref="A527:J527"/>
    <mergeCell ref="A528:J528"/>
    <mergeCell ref="A529:J529"/>
    <mergeCell ref="A516:J516"/>
    <mergeCell ref="A518:B518"/>
    <mergeCell ref="A519:J519"/>
    <mergeCell ref="A521:B521"/>
    <mergeCell ref="A522:J522"/>
    <mergeCell ref="A523:J523"/>
    <mergeCell ref="A509:J509"/>
    <mergeCell ref="L509:M509"/>
    <mergeCell ref="A512:B512"/>
    <mergeCell ref="A513:J513"/>
    <mergeCell ref="A514:J514"/>
    <mergeCell ref="A515:J515"/>
    <mergeCell ref="L500:L502"/>
    <mergeCell ref="B501:C501"/>
    <mergeCell ref="B502:C502"/>
    <mergeCell ref="A503:H503"/>
    <mergeCell ref="J503:P503"/>
    <mergeCell ref="A505:B505"/>
    <mergeCell ref="A498:I498"/>
    <mergeCell ref="L498:M498"/>
    <mergeCell ref="N498:N499"/>
    <mergeCell ref="O498:P499"/>
    <mergeCell ref="Q498:Q499"/>
    <mergeCell ref="R498:R499"/>
    <mergeCell ref="B499:C499"/>
    <mergeCell ref="A493:D493"/>
    <mergeCell ref="E493:R497"/>
    <mergeCell ref="A495:B495"/>
    <mergeCell ref="A496:B496"/>
    <mergeCell ref="C496:D496"/>
    <mergeCell ref="A497:B497"/>
    <mergeCell ref="C497:D497"/>
    <mergeCell ref="L487:L490"/>
    <mergeCell ref="B488:C488"/>
    <mergeCell ref="B489:C489"/>
    <mergeCell ref="B490:C490"/>
    <mergeCell ref="A491:H491"/>
    <mergeCell ref="J491:P491"/>
    <mergeCell ref="A485:I485"/>
    <mergeCell ref="L485:M485"/>
    <mergeCell ref="N485:N486"/>
    <mergeCell ref="O485:P486"/>
    <mergeCell ref="Q485:Q486"/>
    <mergeCell ref="R485:R486"/>
    <mergeCell ref="B486:C486"/>
    <mergeCell ref="A480:D480"/>
    <mergeCell ref="E480:R484"/>
    <mergeCell ref="A482:B482"/>
    <mergeCell ref="A483:B483"/>
    <mergeCell ref="C483:D483"/>
    <mergeCell ref="A484:B484"/>
    <mergeCell ref="C484:D484"/>
    <mergeCell ref="L472:L477"/>
    <mergeCell ref="B474:C474"/>
    <mergeCell ref="B475:C475"/>
    <mergeCell ref="B476:C476"/>
    <mergeCell ref="B477:C477"/>
    <mergeCell ref="A478:H478"/>
    <mergeCell ref="J478:P478"/>
    <mergeCell ref="A470:I470"/>
    <mergeCell ref="L470:M470"/>
    <mergeCell ref="N470:N471"/>
    <mergeCell ref="O470:P471"/>
    <mergeCell ref="Q470:Q471"/>
    <mergeCell ref="R470:R471"/>
    <mergeCell ref="B471:C471"/>
    <mergeCell ref="A463:H463"/>
    <mergeCell ref="J463:P463"/>
    <mergeCell ref="A465:D465"/>
    <mergeCell ref="E465:R469"/>
    <mergeCell ref="A467:B467"/>
    <mergeCell ref="A468:B468"/>
    <mergeCell ref="C468:D468"/>
    <mergeCell ref="A469:B469"/>
    <mergeCell ref="C469:D469"/>
    <mergeCell ref="Q457:Q458"/>
    <mergeCell ref="R457:R458"/>
    <mergeCell ref="B458:C458"/>
    <mergeCell ref="L459:L462"/>
    <mergeCell ref="B460:C460"/>
    <mergeCell ref="B461:C461"/>
    <mergeCell ref="B462:C462"/>
    <mergeCell ref="A456:B456"/>
    <mergeCell ref="C456:D456"/>
    <mergeCell ref="A457:I457"/>
    <mergeCell ref="L457:M457"/>
    <mergeCell ref="N457:N458"/>
    <mergeCell ref="O457:P458"/>
    <mergeCell ref="L447:L449"/>
    <mergeCell ref="B448:C448"/>
    <mergeCell ref="B449:C449"/>
    <mergeCell ref="A450:H450"/>
    <mergeCell ref="J450:P450"/>
    <mergeCell ref="A452:D452"/>
    <mergeCell ref="E452:R456"/>
    <mergeCell ref="A454:B454"/>
    <mergeCell ref="A455:B455"/>
    <mergeCell ref="C455:D455"/>
    <mergeCell ref="A445:I445"/>
    <mergeCell ref="L445:M445"/>
    <mergeCell ref="N445:N446"/>
    <mergeCell ref="O445:P446"/>
    <mergeCell ref="Q445:Q446"/>
    <mergeCell ref="R445:R446"/>
    <mergeCell ref="B446:C446"/>
    <mergeCell ref="A438:H438"/>
    <mergeCell ref="J438:P438"/>
    <mergeCell ref="A440:D440"/>
    <mergeCell ref="E440:R444"/>
    <mergeCell ref="A442:B442"/>
    <mergeCell ref="A443:B443"/>
    <mergeCell ref="C443:D443"/>
    <mergeCell ref="A444:B444"/>
    <mergeCell ref="C444:D444"/>
    <mergeCell ref="Q433:Q434"/>
    <mergeCell ref="R433:R434"/>
    <mergeCell ref="B434:C434"/>
    <mergeCell ref="L435:L437"/>
    <mergeCell ref="B436:C436"/>
    <mergeCell ref="B437:C437"/>
    <mergeCell ref="A432:B432"/>
    <mergeCell ref="C432:D432"/>
    <mergeCell ref="A433:I433"/>
    <mergeCell ref="L433:M433"/>
    <mergeCell ref="N433:N434"/>
    <mergeCell ref="O433:P434"/>
    <mergeCell ref="L423:L425"/>
    <mergeCell ref="B424:C424"/>
    <mergeCell ref="B425:C425"/>
    <mergeCell ref="A426:H426"/>
    <mergeCell ref="J426:P426"/>
    <mergeCell ref="A428:D428"/>
    <mergeCell ref="E428:R432"/>
    <mergeCell ref="A430:B430"/>
    <mergeCell ref="A431:B431"/>
    <mergeCell ref="C431:D431"/>
    <mergeCell ref="A421:I421"/>
    <mergeCell ref="L421:M421"/>
    <mergeCell ref="N421:N422"/>
    <mergeCell ref="O421:P422"/>
    <mergeCell ref="Q421:Q422"/>
    <mergeCell ref="R421:R422"/>
    <mergeCell ref="B422:C422"/>
    <mergeCell ref="A416:D416"/>
    <mergeCell ref="E416:R420"/>
    <mergeCell ref="A418:B418"/>
    <mergeCell ref="A419:B419"/>
    <mergeCell ref="C419:D419"/>
    <mergeCell ref="A420:B420"/>
    <mergeCell ref="C420:D420"/>
    <mergeCell ref="L410:L413"/>
    <mergeCell ref="B411:C411"/>
    <mergeCell ref="B412:C412"/>
    <mergeCell ref="B413:C413"/>
    <mergeCell ref="A414:H414"/>
    <mergeCell ref="J414:P414"/>
    <mergeCell ref="A408:I408"/>
    <mergeCell ref="L408:M408"/>
    <mergeCell ref="N408:N409"/>
    <mergeCell ref="O408:P409"/>
    <mergeCell ref="Q408:Q409"/>
    <mergeCell ref="R408:R409"/>
    <mergeCell ref="B409:C409"/>
    <mergeCell ref="A403:D403"/>
    <mergeCell ref="E403:R407"/>
    <mergeCell ref="A405:B405"/>
    <mergeCell ref="A406:B406"/>
    <mergeCell ref="C406:D406"/>
    <mergeCell ref="A407:B407"/>
    <mergeCell ref="C407:D407"/>
    <mergeCell ref="B398:C398"/>
    <mergeCell ref="A399:K399"/>
    <mergeCell ref="B400:C400"/>
    <mergeCell ref="A401:H401"/>
    <mergeCell ref="J401:P401"/>
    <mergeCell ref="A395:I395"/>
    <mergeCell ref="L395:M395"/>
    <mergeCell ref="N395:N396"/>
    <mergeCell ref="O395:P396"/>
    <mergeCell ref="Q395:Q396"/>
    <mergeCell ref="R395:R396"/>
    <mergeCell ref="B396:C396"/>
    <mergeCell ref="A388:H388"/>
    <mergeCell ref="J388:P388"/>
    <mergeCell ref="A390:D390"/>
    <mergeCell ref="E390:R394"/>
    <mergeCell ref="A392:B392"/>
    <mergeCell ref="A393:B393"/>
    <mergeCell ref="C393:D393"/>
    <mergeCell ref="A394:B394"/>
    <mergeCell ref="C394:D394"/>
    <mergeCell ref="Q383:Q384"/>
    <mergeCell ref="R383:R384"/>
    <mergeCell ref="B384:C384"/>
    <mergeCell ref="L385:L387"/>
    <mergeCell ref="B386:C386"/>
    <mergeCell ref="B387:C387"/>
    <mergeCell ref="A382:B382"/>
    <mergeCell ref="C382:D382"/>
    <mergeCell ref="A383:I383"/>
    <mergeCell ref="L383:M383"/>
    <mergeCell ref="N383:N384"/>
    <mergeCell ref="O383:P384"/>
    <mergeCell ref="A374:K374"/>
    <mergeCell ref="L374:L375"/>
    <mergeCell ref="B375:C375"/>
    <mergeCell ref="A376:H376"/>
    <mergeCell ref="J376:P376"/>
    <mergeCell ref="A378:D378"/>
    <mergeCell ref="E378:R382"/>
    <mergeCell ref="A380:B380"/>
    <mergeCell ref="A381:B381"/>
    <mergeCell ref="C381:D381"/>
    <mergeCell ref="A372:I372"/>
    <mergeCell ref="L372:M372"/>
    <mergeCell ref="N372:N373"/>
    <mergeCell ref="O372:P373"/>
    <mergeCell ref="Q372:Q373"/>
    <mergeCell ref="R372:R373"/>
    <mergeCell ref="B373:C373"/>
    <mergeCell ref="A365:H365"/>
    <mergeCell ref="J365:P365"/>
    <mergeCell ref="A367:D367"/>
    <mergeCell ref="E367:R371"/>
    <mergeCell ref="A369:B369"/>
    <mergeCell ref="A370:B370"/>
    <mergeCell ref="C370:D370"/>
    <mergeCell ref="A371:B371"/>
    <mergeCell ref="C371:D371"/>
    <mergeCell ref="A360:K360"/>
    <mergeCell ref="L360:L364"/>
    <mergeCell ref="B361:C361"/>
    <mergeCell ref="R361:R364"/>
    <mergeCell ref="B362:C362"/>
    <mergeCell ref="B363:C363"/>
    <mergeCell ref="B364:C364"/>
    <mergeCell ref="A358:I358"/>
    <mergeCell ref="L358:M358"/>
    <mergeCell ref="N358:N359"/>
    <mergeCell ref="O358:P359"/>
    <mergeCell ref="Q358:Q359"/>
    <mergeCell ref="R358:R359"/>
    <mergeCell ref="B359:C359"/>
    <mergeCell ref="A353:D353"/>
    <mergeCell ref="E353:R357"/>
    <mergeCell ref="A355:B355"/>
    <mergeCell ref="C356:D356"/>
    <mergeCell ref="A357:B357"/>
    <mergeCell ref="C357:D357"/>
    <mergeCell ref="A348:G348"/>
    <mergeCell ref="L348:L350"/>
    <mergeCell ref="B349:C349"/>
    <mergeCell ref="B350:C350"/>
    <mergeCell ref="A351:H351"/>
    <mergeCell ref="J351:P351"/>
    <mergeCell ref="N346:N347"/>
    <mergeCell ref="O346:P347"/>
    <mergeCell ref="Q346:Q347"/>
    <mergeCell ref="R346:R347"/>
    <mergeCell ref="B347:C347"/>
    <mergeCell ref="B338:C338"/>
    <mergeCell ref="A339:H339"/>
    <mergeCell ref="J339:P339"/>
    <mergeCell ref="A341:D341"/>
    <mergeCell ref="E341:R345"/>
    <mergeCell ref="A343:B343"/>
    <mergeCell ref="A344:B344"/>
    <mergeCell ref="C344:D344"/>
    <mergeCell ref="A345:B345"/>
    <mergeCell ref="C345:D345"/>
    <mergeCell ref="L331:L338"/>
    <mergeCell ref="B332:C332"/>
    <mergeCell ref="B333:C333"/>
    <mergeCell ref="B334:C334"/>
    <mergeCell ref="B335:C335"/>
    <mergeCell ref="B336:C336"/>
    <mergeCell ref="A337:K337"/>
    <mergeCell ref="A346:I346"/>
    <mergeCell ref="L346:M346"/>
    <mergeCell ref="A328:B328"/>
    <mergeCell ref="C328:D328"/>
    <mergeCell ref="A329:I329"/>
    <mergeCell ref="L329:M329"/>
    <mergeCell ref="N329:N330"/>
    <mergeCell ref="O329:P330"/>
    <mergeCell ref="L319:L321"/>
    <mergeCell ref="B320:C320"/>
    <mergeCell ref="B321:C321"/>
    <mergeCell ref="A322:H322"/>
    <mergeCell ref="J322:P322"/>
    <mergeCell ref="A324:D324"/>
    <mergeCell ref="E324:R328"/>
    <mergeCell ref="A326:B326"/>
    <mergeCell ref="A327:B327"/>
    <mergeCell ref="C327:D327"/>
    <mergeCell ref="Q329:Q330"/>
    <mergeCell ref="R329:R330"/>
    <mergeCell ref="B330:C330"/>
    <mergeCell ref="A317:I317"/>
    <mergeCell ref="L317:M317"/>
    <mergeCell ref="N317:N318"/>
    <mergeCell ref="O317:P318"/>
    <mergeCell ref="Q317:Q318"/>
    <mergeCell ref="R317:R318"/>
    <mergeCell ref="B318:C318"/>
    <mergeCell ref="A310:H310"/>
    <mergeCell ref="J310:P310"/>
    <mergeCell ref="A312:D312"/>
    <mergeCell ref="E312:R316"/>
    <mergeCell ref="A314:B314"/>
    <mergeCell ref="A315:B315"/>
    <mergeCell ref="C315:D315"/>
    <mergeCell ref="A316:B316"/>
    <mergeCell ref="C316:D316"/>
    <mergeCell ref="L304:L309"/>
    <mergeCell ref="B305:C305"/>
    <mergeCell ref="B306:C306"/>
    <mergeCell ref="A307:K307"/>
    <mergeCell ref="B308:C308"/>
    <mergeCell ref="B309:C309"/>
    <mergeCell ref="A302:I302"/>
    <mergeCell ref="L302:M302"/>
    <mergeCell ref="N302:N303"/>
    <mergeCell ref="O302:P303"/>
    <mergeCell ref="Q302:Q303"/>
    <mergeCell ref="R302:R303"/>
    <mergeCell ref="B303:C303"/>
    <mergeCell ref="A295:H295"/>
    <mergeCell ref="J295:P295"/>
    <mergeCell ref="A297:D297"/>
    <mergeCell ref="E297:R301"/>
    <mergeCell ref="A299:B299"/>
    <mergeCell ref="A300:B300"/>
    <mergeCell ref="C300:D300"/>
    <mergeCell ref="A301:B301"/>
    <mergeCell ref="C301:D301"/>
    <mergeCell ref="R289:R290"/>
    <mergeCell ref="B290:C290"/>
    <mergeCell ref="L291:L294"/>
    <mergeCell ref="B292:C292"/>
    <mergeCell ref="B293:C293"/>
    <mergeCell ref="B294:C294"/>
    <mergeCell ref="C288:D288"/>
    <mergeCell ref="A289:I289"/>
    <mergeCell ref="L289:M289"/>
    <mergeCell ref="N289:N290"/>
    <mergeCell ref="O289:P290"/>
    <mergeCell ref="Q289:Q290"/>
    <mergeCell ref="L280:L281"/>
    <mergeCell ref="B281:C281"/>
    <mergeCell ref="A282:H282"/>
    <mergeCell ref="J282:P282"/>
    <mergeCell ref="A284:D284"/>
    <mergeCell ref="E284:R288"/>
    <mergeCell ref="A286:B286"/>
    <mergeCell ref="A287:B287"/>
    <mergeCell ref="C287:D287"/>
    <mergeCell ref="A288:B288"/>
    <mergeCell ref="A278:I278"/>
    <mergeCell ref="L278:M278"/>
    <mergeCell ref="N278:N279"/>
    <mergeCell ref="O278:P279"/>
    <mergeCell ref="Q278:Q279"/>
    <mergeCell ref="R278:R279"/>
    <mergeCell ref="B279:C279"/>
    <mergeCell ref="A273:D273"/>
    <mergeCell ref="E273:R277"/>
    <mergeCell ref="A275:B275"/>
    <mergeCell ref="A276:B276"/>
    <mergeCell ref="C276:D276"/>
    <mergeCell ref="A277:B277"/>
    <mergeCell ref="C277:D277"/>
    <mergeCell ref="R266:R267"/>
    <mergeCell ref="B267:C267"/>
    <mergeCell ref="L268:L270"/>
    <mergeCell ref="B269:C269"/>
    <mergeCell ref="B270:C270"/>
    <mergeCell ref="A271:H271"/>
    <mergeCell ref="J271:P271"/>
    <mergeCell ref="C265:D265"/>
    <mergeCell ref="A266:I266"/>
    <mergeCell ref="L266:M266"/>
    <mergeCell ref="N266:N267"/>
    <mergeCell ref="O266:P267"/>
    <mergeCell ref="Q266:Q267"/>
    <mergeCell ref="L257:L258"/>
    <mergeCell ref="B258:C258"/>
    <mergeCell ref="A259:H259"/>
    <mergeCell ref="J259:P259"/>
    <mergeCell ref="A261:D261"/>
    <mergeCell ref="E261:R265"/>
    <mergeCell ref="A263:B263"/>
    <mergeCell ref="A264:B264"/>
    <mergeCell ref="C264:D264"/>
    <mergeCell ref="A265:B265"/>
    <mergeCell ref="A255:I255"/>
    <mergeCell ref="L255:M255"/>
    <mergeCell ref="N255:N256"/>
    <mergeCell ref="O255:P256"/>
    <mergeCell ref="Q255:Q256"/>
    <mergeCell ref="R255:R256"/>
    <mergeCell ref="B256:C256"/>
    <mergeCell ref="A248:H248"/>
    <mergeCell ref="J248:P248"/>
    <mergeCell ref="A250:D250"/>
    <mergeCell ref="E250:R254"/>
    <mergeCell ref="A252:B252"/>
    <mergeCell ref="A253:B253"/>
    <mergeCell ref="C253:D253"/>
    <mergeCell ref="A254:B254"/>
    <mergeCell ref="C254:D254"/>
    <mergeCell ref="Q241:Q242"/>
    <mergeCell ref="R241:R242"/>
    <mergeCell ref="B242:C242"/>
    <mergeCell ref="L243:L247"/>
    <mergeCell ref="B244:C244"/>
    <mergeCell ref="B246:C246"/>
    <mergeCell ref="B247:C247"/>
    <mergeCell ref="A240:B240"/>
    <mergeCell ref="C240:D240"/>
    <mergeCell ref="A241:I241"/>
    <mergeCell ref="L241:M241"/>
    <mergeCell ref="N241:N242"/>
    <mergeCell ref="O241:P242"/>
    <mergeCell ref="L231:L233"/>
    <mergeCell ref="B232:C232"/>
    <mergeCell ref="B233:C233"/>
    <mergeCell ref="A234:H234"/>
    <mergeCell ref="J234:P234"/>
    <mergeCell ref="A236:D236"/>
    <mergeCell ref="E236:R240"/>
    <mergeCell ref="A238:B238"/>
    <mergeCell ref="A239:B239"/>
    <mergeCell ref="C239:D239"/>
    <mergeCell ref="A229:I229"/>
    <mergeCell ref="L229:M229"/>
    <mergeCell ref="N229:N230"/>
    <mergeCell ref="O229:P230"/>
    <mergeCell ref="Q229:Q230"/>
    <mergeCell ref="R229:R230"/>
    <mergeCell ref="B230:C230"/>
    <mergeCell ref="A224:D224"/>
    <mergeCell ref="E224:R228"/>
    <mergeCell ref="A226:B226"/>
    <mergeCell ref="A227:B227"/>
    <mergeCell ref="C227:D227"/>
    <mergeCell ref="A228:B228"/>
    <mergeCell ref="C228:D228"/>
    <mergeCell ref="L218:L221"/>
    <mergeCell ref="B219:C219"/>
    <mergeCell ref="B220:C220"/>
    <mergeCell ref="B221:C221"/>
    <mergeCell ref="A222:H222"/>
    <mergeCell ref="J222:P222"/>
    <mergeCell ref="A216:I216"/>
    <mergeCell ref="L216:M216"/>
    <mergeCell ref="N216:N217"/>
    <mergeCell ref="O216:P217"/>
    <mergeCell ref="Q216:Q217"/>
    <mergeCell ref="R216:R217"/>
    <mergeCell ref="B217:C217"/>
    <mergeCell ref="A209:H209"/>
    <mergeCell ref="J209:P209"/>
    <mergeCell ref="A211:D211"/>
    <mergeCell ref="E211:R215"/>
    <mergeCell ref="A213:B213"/>
    <mergeCell ref="A214:B214"/>
    <mergeCell ref="C214:D214"/>
    <mergeCell ref="A215:B215"/>
    <mergeCell ref="C215:D215"/>
    <mergeCell ref="Q204:Q205"/>
    <mergeCell ref="R204:R205"/>
    <mergeCell ref="B205:C205"/>
    <mergeCell ref="L206:L208"/>
    <mergeCell ref="B207:C207"/>
    <mergeCell ref="B208:C208"/>
    <mergeCell ref="A203:B203"/>
    <mergeCell ref="C203:D203"/>
    <mergeCell ref="A204:I204"/>
    <mergeCell ref="L204:M204"/>
    <mergeCell ref="N204:N205"/>
    <mergeCell ref="O204:P205"/>
    <mergeCell ref="L194:L196"/>
    <mergeCell ref="B195:C195"/>
    <mergeCell ref="B196:C196"/>
    <mergeCell ref="A197:H197"/>
    <mergeCell ref="J197:P197"/>
    <mergeCell ref="A199:D199"/>
    <mergeCell ref="E199:R203"/>
    <mergeCell ref="A201:B201"/>
    <mergeCell ref="A202:B202"/>
    <mergeCell ref="C202:D202"/>
    <mergeCell ref="N192:N193"/>
    <mergeCell ref="O192:P193"/>
    <mergeCell ref="Q192:Q193"/>
    <mergeCell ref="R192:R193"/>
    <mergeCell ref="B193:C193"/>
    <mergeCell ref="B184:C184"/>
    <mergeCell ref="A185:H185"/>
    <mergeCell ref="J185:P185"/>
    <mergeCell ref="A187:D187"/>
    <mergeCell ref="E187:R191"/>
    <mergeCell ref="A189:B189"/>
    <mergeCell ref="A190:B190"/>
    <mergeCell ref="C190:D190"/>
    <mergeCell ref="A191:B191"/>
    <mergeCell ref="C191:D191"/>
    <mergeCell ref="L176:L184"/>
    <mergeCell ref="B177:C177"/>
    <mergeCell ref="B178:C178"/>
    <mergeCell ref="B179:C179"/>
    <mergeCell ref="B180:C180"/>
    <mergeCell ref="B182:C182"/>
    <mergeCell ref="B183:C183"/>
    <mergeCell ref="A192:I192"/>
    <mergeCell ref="L192:M192"/>
    <mergeCell ref="A173:B173"/>
    <mergeCell ref="C173:D173"/>
    <mergeCell ref="A174:I174"/>
    <mergeCell ref="L174:M174"/>
    <mergeCell ref="N174:N175"/>
    <mergeCell ref="O174:P175"/>
    <mergeCell ref="L163:L166"/>
    <mergeCell ref="B164:C164"/>
    <mergeCell ref="B166:C166"/>
    <mergeCell ref="A167:H167"/>
    <mergeCell ref="J167:P167"/>
    <mergeCell ref="A169:D169"/>
    <mergeCell ref="E169:R173"/>
    <mergeCell ref="A171:B171"/>
    <mergeCell ref="A172:B172"/>
    <mergeCell ref="C172:D172"/>
    <mergeCell ref="Q174:Q175"/>
    <mergeCell ref="R174:R175"/>
    <mergeCell ref="B175:C175"/>
    <mergeCell ref="O161:P162"/>
    <mergeCell ref="Q161:Q162"/>
    <mergeCell ref="R161:R162"/>
    <mergeCell ref="B162:C162"/>
    <mergeCell ref="A154:H154"/>
    <mergeCell ref="J154:P154"/>
    <mergeCell ref="A156:D156"/>
    <mergeCell ref="E156:R160"/>
    <mergeCell ref="A158:B158"/>
    <mergeCell ref="A159:B159"/>
    <mergeCell ref="C159:D159"/>
    <mergeCell ref="A160:B160"/>
    <mergeCell ref="C160:D160"/>
    <mergeCell ref="L147:L153"/>
    <mergeCell ref="B148:C148"/>
    <mergeCell ref="B150:C150"/>
    <mergeCell ref="B151:C151"/>
    <mergeCell ref="B152:C152"/>
    <mergeCell ref="B153:C153"/>
    <mergeCell ref="A161:I161"/>
    <mergeCell ref="L161:M161"/>
    <mergeCell ref="N161:N162"/>
    <mergeCell ref="A144:B144"/>
    <mergeCell ref="C144:D144"/>
    <mergeCell ref="A145:I145"/>
    <mergeCell ref="L145:M145"/>
    <mergeCell ref="N145:N146"/>
    <mergeCell ref="O145:P146"/>
    <mergeCell ref="L135:L137"/>
    <mergeCell ref="B136:C136"/>
    <mergeCell ref="B137:C137"/>
    <mergeCell ref="A138:H138"/>
    <mergeCell ref="J138:P138"/>
    <mergeCell ref="A140:D140"/>
    <mergeCell ref="E140:R144"/>
    <mergeCell ref="A142:B142"/>
    <mergeCell ref="A143:B143"/>
    <mergeCell ref="C143:D143"/>
    <mergeCell ref="Q145:Q146"/>
    <mergeCell ref="R145:R146"/>
    <mergeCell ref="B146:C146"/>
    <mergeCell ref="A133:I133"/>
    <mergeCell ref="L133:M133"/>
    <mergeCell ref="N133:N134"/>
    <mergeCell ref="O133:P134"/>
    <mergeCell ref="Q133:Q134"/>
    <mergeCell ref="R133:R134"/>
    <mergeCell ref="B134:C134"/>
    <mergeCell ref="A128:D128"/>
    <mergeCell ref="E128:R132"/>
    <mergeCell ref="A130:B130"/>
    <mergeCell ref="A131:B131"/>
    <mergeCell ref="C131:D131"/>
    <mergeCell ref="A132:B132"/>
    <mergeCell ref="C132:D132"/>
    <mergeCell ref="L120:L125"/>
    <mergeCell ref="B121:C121"/>
    <mergeCell ref="B123:C123"/>
    <mergeCell ref="B125:C125"/>
    <mergeCell ref="A126:H126"/>
    <mergeCell ref="J126:P126"/>
    <mergeCell ref="A118:I118"/>
    <mergeCell ref="L118:M118"/>
    <mergeCell ref="N118:N119"/>
    <mergeCell ref="O118:P119"/>
    <mergeCell ref="Q118:Q119"/>
    <mergeCell ref="R118:R119"/>
    <mergeCell ref="B119:C119"/>
    <mergeCell ref="A113:D113"/>
    <mergeCell ref="E113:R117"/>
    <mergeCell ref="A115:B115"/>
    <mergeCell ref="A116:B116"/>
    <mergeCell ref="C116:D116"/>
    <mergeCell ref="A117:B117"/>
    <mergeCell ref="C117:D117"/>
    <mergeCell ref="L107:L110"/>
    <mergeCell ref="B108:C108"/>
    <mergeCell ref="B109:C109"/>
    <mergeCell ref="B110:C110"/>
    <mergeCell ref="A111:H111"/>
    <mergeCell ref="J111:P111"/>
    <mergeCell ref="A105:I105"/>
    <mergeCell ref="L105:M105"/>
    <mergeCell ref="N105:N106"/>
    <mergeCell ref="O105:P106"/>
    <mergeCell ref="Q105:Q106"/>
    <mergeCell ref="R105:R106"/>
    <mergeCell ref="B106:C106"/>
    <mergeCell ref="A98:H98"/>
    <mergeCell ref="J98:P98"/>
    <mergeCell ref="A100:D100"/>
    <mergeCell ref="E100:R104"/>
    <mergeCell ref="A102:B102"/>
    <mergeCell ref="A103:B103"/>
    <mergeCell ref="C103:D103"/>
    <mergeCell ref="A104:B104"/>
    <mergeCell ref="C104:D104"/>
    <mergeCell ref="R90:R91"/>
    <mergeCell ref="B91:C91"/>
    <mergeCell ref="L92:L97"/>
    <mergeCell ref="B93:C93"/>
    <mergeCell ref="B94:C94"/>
    <mergeCell ref="B95:C95"/>
    <mergeCell ref="B96:C96"/>
    <mergeCell ref="B97:C97"/>
    <mergeCell ref="C89:D89"/>
    <mergeCell ref="A90:I90"/>
    <mergeCell ref="L90:M90"/>
    <mergeCell ref="N90:N91"/>
    <mergeCell ref="O90:P91"/>
    <mergeCell ref="Q90:Q91"/>
    <mergeCell ref="L81:L82"/>
    <mergeCell ref="B82:C82"/>
    <mergeCell ref="A83:H83"/>
    <mergeCell ref="J83:P83"/>
    <mergeCell ref="A85:D85"/>
    <mergeCell ref="E85:R89"/>
    <mergeCell ref="A87:B87"/>
    <mergeCell ref="A88:B88"/>
    <mergeCell ref="C88:D88"/>
    <mergeCell ref="A89:B89"/>
    <mergeCell ref="A79:I79"/>
    <mergeCell ref="L79:M79"/>
    <mergeCell ref="N79:N80"/>
    <mergeCell ref="O79:P80"/>
    <mergeCell ref="Q79:Q80"/>
    <mergeCell ref="R79:R80"/>
    <mergeCell ref="B80:C80"/>
    <mergeCell ref="A72:H72"/>
    <mergeCell ref="J72:P72"/>
    <mergeCell ref="A74:D74"/>
    <mergeCell ref="E74:R78"/>
    <mergeCell ref="A76:B76"/>
    <mergeCell ref="A77:B77"/>
    <mergeCell ref="C77:D77"/>
    <mergeCell ref="A78:B78"/>
    <mergeCell ref="C78:D78"/>
    <mergeCell ref="L66:L71"/>
    <mergeCell ref="B67:C67"/>
    <mergeCell ref="B68:C68"/>
    <mergeCell ref="B69:C69"/>
    <mergeCell ref="B70:C70"/>
    <mergeCell ref="B71:C71"/>
    <mergeCell ref="A64:I64"/>
    <mergeCell ref="L64:M64"/>
    <mergeCell ref="N64:N65"/>
    <mergeCell ref="O64:P65"/>
    <mergeCell ref="Q64:Q65"/>
    <mergeCell ref="R64:R65"/>
    <mergeCell ref="B65:C65"/>
    <mergeCell ref="A59:D59"/>
    <mergeCell ref="E59:R63"/>
    <mergeCell ref="A61:B61"/>
    <mergeCell ref="A62:B62"/>
    <mergeCell ref="C62:D62"/>
    <mergeCell ref="A63:B63"/>
    <mergeCell ref="C63:D63"/>
    <mergeCell ref="L52:L56"/>
    <mergeCell ref="B53:C53"/>
    <mergeCell ref="B54:C54"/>
    <mergeCell ref="B55:C55"/>
    <mergeCell ref="B56:C56"/>
    <mergeCell ref="A57:H57"/>
    <mergeCell ref="J57:P57"/>
    <mergeCell ref="A50:I50"/>
    <mergeCell ref="L50:M50"/>
    <mergeCell ref="N50:N51"/>
    <mergeCell ref="O50:P51"/>
    <mergeCell ref="Q50:Q51"/>
    <mergeCell ref="R50:R51"/>
    <mergeCell ref="B51:C51"/>
    <mergeCell ref="A43:H43"/>
    <mergeCell ref="J43:P43"/>
    <mergeCell ref="A45:D45"/>
    <mergeCell ref="E45:R49"/>
    <mergeCell ref="A47:B47"/>
    <mergeCell ref="A48:B48"/>
    <mergeCell ref="C48:D48"/>
    <mergeCell ref="A49:B49"/>
    <mergeCell ref="C49:D49"/>
    <mergeCell ref="R37:R38"/>
    <mergeCell ref="B38:C38"/>
    <mergeCell ref="L39:L42"/>
    <mergeCell ref="B40:C40"/>
    <mergeCell ref="B41:C41"/>
    <mergeCell ref="B42:C42"/>
    <mergeCell ref="C36:D36"/>
    <mergeCell ref="A37:I37"/>
    <mergeCell ref="L37:M37"/>
    <mergeCell ref="N37:N38"/>
    <mergeCell ref="O37:P38"/>
    <mergeCell ref="Q37:Q38"/>
    <mergeCell ref="L28:L29"/>
    <mergeCell ref="B29:C29"/>
    <mergeCell ref="A30:H30"/>
    <mergeCell ref="J30:P30"/>
    <mergeCell ref="A32:D32"/>
    <mergeCell ref="E32:R36"/>
    <mergeCell ref="A34:B34"/>
    <mergeCell ref="A35:B35"/>
    <mergeCell ref="C35:D35"/>
    <mergeCell ref="A36:B36"/>
    <mergeCell ref="A26:I26"/>
    <mergeCell ref="L26:M26"/>
    <mergeCell ref="N26:N27"/>
    <mergeCell ref="O26:P27"/>
    <mergeCell ref="Q26:Q27"/>
    <mergeCell ref="R26:R27"/>
    <mergeCell ref="B27:C27"/>
    <mergeCell ref="A19:H19"/>
    <mergeCell ref="J19:P19"/>
    <mergeCell ref="A21:D21"/>
    <mergeCell ref="E21:R25"/>
    <mergeCell ref="A23:B23"/>
    <mergeCell ref="A24:B24"/>
    <mergeCell ref="C24:D24"/>
    <mergeCell ref="A25:B25"/>
    <mergeCell ref="C25:D25"/>
    <mergeCell ref="R13:R14"/>
    <mergeCell ref="B14:C14"/>
    <mergeCell ref="L15:L18"/>
    <mergeCell ref="B16:C16"/>
    <mergeCell ref="B17:C17"/>
    <mergeCell ref="B18:C18"/>
    <mergeCell ref="C12:D12"/>
    <mergeCell ref="A13:I13"/>
    <mergeCell ref="L13:M13"/>
    <mergeCell ref="N13:N14"/>
    <mergeCell ref="O13:P14"/>
    <mergeCell ref="Q13:Q14"/>
    <mergeCell ref="A1:R1"/>
    <mergeCell ref="A2:R2"/>
    <mergeCell ref="A3:R3"/>
    <mergeCell ref="A4:R4"/>
    <mergeCell ref="A8:D8"/>
    <mergeCell ref="E8:R12"/>
    <mergeCell ref="A10:B10"/>
    <mergeCell ref="A11:B11"/>
    <mergeCell ref="C11:D11"/>
    <mergeCell ref="A12:B12"/>
  </mergeCells>
  <conditionalFormatting sqref="R19">
    <cfRule type="containsText" dxfId="353" priority="75" operator="containsText" text="NO CUMPLE">
      <formula>NOT(ISERROR(SEARCH("NO CUMPLE",R19)))</formula>
    </cfRule>
    <cfRule type="containsText" dxfId="352" priority="76" operator="containsText" text="CUMPLE">
      <formula>NOT(ISERROR(SEARCH("CUMPLE",R19)))</formula>
    </cfRule>
  </conditionalFormatting>
  <conditionalFormatting sqref="R30">
    <cfRule type="containsText" dxfId="351" priority="73" operator="containsText" text="NO CUMPLE">
      <formula>NOT(ISERROR(SEARCH("NO CUMPLE",R30)))</formula>
    </cfRule>
    <cfRule type="containsText" dxfId="350" priority="74" operator="containsText" text="CUMPLE">
      <formula>NOT(ISERROR(SEARCH("CUMPLE",R30)))</formula>
    </cfRule>
  </conditionalFormatting>
  <conditionalFormatting sqref="R43">
    <cfRule type="containsText" dxfId="349" priority="71" operator="containsText" text="NO CUMPLE">
      <formula>NOT(ISERROR(SEARCH("NO CUMPLE",R43)))</formula>
    </cfRule>
    <cfRule type="containsText" dxfId="348" priority="72" operator="containsText" text="CUMPLE">
      <formula>NOT(ISERROR(SEARCH("CUMPLE",R43)))</formula>
    </cfRule>
  </conditionalFormatting>
  <conditionalFormatting sqref="R57">
    <cfRule type="containsText" dxfId="347" priority="69" operator="containsText" text="NO CUMPLE">
      <formula>NOT(ISERROR(SEARCH("NO CUMPLE",R57)))</formula>
    </cfRule>
    <cfRule type="containsText" dxfId="346" priority="70" operator="containsText" text="CUMPLE">
      <formula>NOT(ISERROR(SEARCH("CUMPLE",R57)))</formula>
    </cfRule>
  </conditionalFormatting>
  <conditionalFormatting sqref="R72">
    <cfRule type="containsText" dxfId="345" priority="67" operator="containsText" text="NO CUMPLE">
      <formula>NOT(ISERROR(SEARCH("NO CUMPLE",R72)))</formula>
    </cfRule>
    <cfRule type="containsText" dxfId="344" priority="68" operator="containsText" text="CUMPLE">
      <formula>NOT(ISERROR(SEARCH("CUMPLE",R72)))</formula>
    </cfRule>
  </conditionalFormatting>
  <conditionalFormatting sqref="R83">
    <cfRule type="containsText" dxfId="343" priority="65" operator="containsText" text="NO CUMPLE">
      <formula>NOT(ISERROR(SEARCH("NO CUMPLE",R83)))</formula>
    </cfRule>
    <cfRule type="containsText" dxfId="342" priority="66" operator="containsText" text="CUMPLE">
      <formula>NOT(ISERROR(SEARCH("CUMPLE",R83)))</formula>
    </cfRule>
  </conditionalFormatting>
  <conditionalFormatting sqref="R98">
    <cfRule type="containsText" dxfId="341" priority="63" operator="containsText" text="NO CUMPLE">
      <formula>NOT(ISERROR(SEARCH("NO CUMPLE",R98)))</formula>
    </cfRule>
    <cfRule type="containsText" dxfId="340" priority="64" operator="containsText" text="CUMPLE">
      <formula>NOT(ISERROR(SEARCH("CUMPLE",R98)))</formula>
    </cfRule>
  </conditionalFormatting>
  <conditionalFormatting sqref="R111">
    <cfRule type="containsText" dxfId="339" priority="61" operator="containsText" text="NO CUMPLE">
      <formula>NOT(ISERROR(SEARCH("NO CUMPLE",R111)))</formula>
    </cfRule>
    <cfRule type="containsText" dxfId="338" priority="62" operator="containsText" text="CUMPLE">
      <formula>NOT(ISERROR(SEARCH("CUMPLE",R111)))</formula>
    </cfRule>
  </conditionalFormatting>
  <conditionalFormatting sqref="R126">
    <cfRule type="containsText" dxfId="337" priority="59" operator="containsText" text="NO CUMPLE">
      <formula>NOT(ISERROR(SEARCH("NO CUMPLE",R126)))</formula>
    </cfRule>
    <cfRule type="containsText" dxfId="336" priority="60" operator="containsText" text="CUMPLE">
      <formula>NOT(ISERROR(SEARCH("CUMPLE",R126)))</formula>
    </cfRule>
  </conditionalFormatting>
  <conditionalFormatting sqref="R138">
    <cfRule type="containsText" dxfId="335" priority="57" operator="containsText" text="NO CUMPLE">
      <formula>NOT(ISERROR(SEARCH("NO CUMPLE",R138)))</formula>
    </cfRule>
    <cfRule type="containsText" dxfId="334" priority="58" operator="containsText" text="CUMPLE">
      <formula>NOT(ISERROR(SEARCH("CUMPLE",R138)))</formula>
    </cfRule>
  </conditionalFormatting>
  <conditionalFormatting sqref="R154">
    <cfRule type="containsText" dxfId="333" priority="55" operator="containsText" text="NO CUMPLE">
      <formula>NOT(ISERROR(SEARCH("NO CUMPLE",R154)))</formula>
    </cfRule>
    <cfRule type="containsText" dxfId="332" priority="56" operator="containsText" text="CUMPLE">
      <formula>NOT(ISERROR(SEARCH("CUMPLE",R154)))</formula>
    </cfRule>
  </conditionalFormatting>
  <conditionalFormatting sqref="R167">
    <cfRule type="containsText" dxfId="331" priority="53" operator="containsText" text="NO CUMPLE">
      <formula>NOT(ISERROR(SEARCH("NO CUMPLE",R167)))</formula>
    </cfRule>
    <cfRule type="containsText" dxfId="330" priority="54" operator="containsText" text="CUMPLE">
      <formula>NOT(ISERROR(SEARCH("CUMPLE",R167)))</formula>
    </cfRule>
  </conditionalFormatting>
  <conditionalFormatting sqref="R185">
    <cfRule type="containsText" dxfId="329" priority="51" operator="containsText" text="NO CUMPLE">
      <formula>NOT(ISERROR(SEARCH("NO CUMPLE",R185)))</formula>
    </cfRule>
    <cfRule type="containsText" dxfId="328" priority="52" operator="containsText" text="CUMPLE">
      <formula>NOT(ISERROR(SEARCH("CUMPLE",R185)))</formula>
    </cfRule>
  </conditionalFormatting>
  <conditionalFormatting sqref="R197">
    <cfRule type="containsText" dxfId="327" priority="49" operator="containsText" text="NO CUMPLE">
      <formula>NOT(ISERROR(SEARCH("NO CUMPLE",R197)))</formula>
    </cfRule>
    <cfRule type="containsText" dxfId="326" priority="50" operator="containsText" text="CUMPLE">
      <formula>NOT(ISERROR(SEARCH("CUMPLE",R197)))</formula>
    </cfRule>
  </conditionalFormatting>
  <conditionalFormatting sqref="R209">
    <cfRule type="containsText" dxfId="325" priority="47" operator="containsText" text="NO CUMPLE">
      <formula>NOT(ISERROR(SEARCH("NO CUMPLE",R209)))</formula>
    </cfRule>
    <cfRule type="containsText" dxfId="324" priority="48" operator="containsText" text="CUMPLE">
      <formula>NOT(ISERROR(SEARCH("CUMPLE",R209)))</formula>
    </cfRule>
  </conditionalFormatting>
  <conditionalFormatting sqref="R222">
    <cfRule type="containsText" dxfId="323" priority="45" operator="containsText" text="NO CUMPLE">
      <formula>NOT(ISERROR(SEARCH("NO CUMPLE",R222)))</formula>
    </cfRule>
    <cfRule type="containsText" dxfId="322" priority="46" operator="containsText" text="CUMPLE">
      <formula>NOT(ISERROR(SEARCH("CUMPLE",R222)))</formula>
    </cfRule>
  </conditionalFormatting>
  <conditionalFormatting sqref="R234">
    <cfRule type="containsText" dxfId="321" priority="43" operator="containsText" text="NO CUMPLE">
      <formula>NOT(ISERROR(SEARCH("NO CUMPLE",R234)))</formula>
    </cfRule>
    <cfRule type="containsText" dxfId="320" priority="44" operator="containsText" text="CUMPLE">
      <formula>NOT(ISERROR(SEARCH("CUMPLE",R234)))</formula>
    </cfRule>
  </conditionalFormatting>
  <conditionalFormatting sqref="R248">
    <cfRule type="containsText" dxfId="319" priority="41" operator="containsText" text="NO CUMPLE">
      <formula>NOT(ISERROR(SEARCH("NO CUMPLE",R248)))</formula>
    </cfRule>
    <cfRule type="containsText" dxfId="318" priority="42" operator="containsText" text="CUMPLE">
      <formula>NOT(ISERROR(SEARCH("CUMPLE",R248)))</formula>
    </cfRule>
  </conditionalFormatting>
  <conditionalFormatting sqref="R259">
    <cfRule type="containsText" dxfId="317" priority="39" operator="containsText" text="NO CUMPLE">
      <formula>NOT(ISERROR(SEARCH("NO CUMPLE",R259)))</formula>
    </cfRule>
    <cfRule type="containsText" dxfId="316" priority="40" operator="containsText" text="CUMPLE">
      <formula>NOT(ISERROR(SEARCH("CUMPLE",R259)))</formula>
    </cfRule>
  </conditionalFormatting>
  <conditionalFormatting sqref="R271">
    <cfRule type="containsText" dxfId="315" priority="37" operator="containsText" text="NO CUMPLE">
      <formula>NOT(ISERROR(SEARCH("NO CUMPLE",R271)))</formula>
    </cfRule>
    <cfRule type="containsText" dxfId="314" priority="38" operator="containsText" text="CUMPLE">
      <formula>NOT(ISERROR(SEARCH("CUMPLE",R271)))</formula>
    </cfRule>
  </conditionalFormatting>
  <conditionalFormatting sqref="R282">
    <cfRule type="containsText" dxfId="313" priority="35" operator="containsText" text="NO CUMPLE">
      <formula>NOT(ISERROR(SEARCH("NO CUMPLE",R282)))</formula>
    </cfRule>
    <cfRule type="containsText" dxfId="312" priority="36" operator="containsText" text="CUMPLE">
      <formula>NOT(ISERROR(SEARCH("CUMPLE",R282)))</formula>
    </cfRule>
  </conditionalFormatting>
  <conditionalFormatting sqref="R295">
    <cfRule type="containsText" dxfId="311" priority="33" operator="containsText" text="NO CUMPLE">
      <formula>NOT(ISERROR(SEARCH("NO CUMPLE",R295)))</formula>
    </cfRule>
    <cfRule type="containsText" dxfId="310" priority="34" operator="containsText" text="CUMPLE">
      <formula>NOT(ISERROR(SEARCH("CUMPLE",R295)))</formula>
    </cfRule>
  </conditionalFormatting>
  <conditionalFormatting sqref="R310">
    <cfRule type="containsText" dxfId="309" priority="31" operator="containsText" text="NO CUMPLE">
      <formula>NOT(ISERROR(SEARCH("NO CUMPLE",R310)))</formula>
    </cfRule>
    <cfRule type="containsText" dxfId="308" priority="32" operator="containsText" text="CUMPLE">
      <formula>NOT(ISERROR(SEARCH("CUMPLE",R310)))</formula>
    </cfRule>
  </conditionalFormatting>
  <conditionalFormatting sqref="R322">
    <cfRule type="containsText" dxfId="307" priority="29" operator="containsText" text="NO CUMPLE">
      <formula>NOT(ISERROR(SEARCH("NO CUMPLE",R322)))</formula>
    </cfRule>
    <cfRule type="containsText" dxfId="306" priority="30" operator="containsText" text="CUMPLE">
      <formula>NOT(ISERROR(SEARCH("CUMPLE",R322)))</formula>
    </cfRule>
  </conditionalFormatting>
  <conditionalFormatting sqref="R339">
    <cfRule type="containsText" dxfId="305" priority="27" operator="containsText" text="NO CUMPLE">
      <formula>NOT(ISERROR(SEARCH("NO CUMPLE",R339)))</formula>
    </cfRule>
    <cfRule type="containsText" dxfId="304" priority="28" operator="containsText" text="CUMPLE">
      <formula>NOT(ISERROR(SEARCH("CUMPLE",R339)))</formula>
    </cfRule>
  </conditionalFormatting>
  <conditionalFormatting sqref="R351">
    <cfRule type="containsText" dxfId="303" priority="25" operator="containsText" text="NO CUMPLE">
      <formula>NOT(ISERROR(SEARCH("NO CUMPLE",R351)))</formula>
    </cfRule>
    <cfRule type="containsText" dxfId="302" priority="26" operator="containsText" text="CUMPLE">
      <formula>NOT(ISERROR(SEARCH("CUMPLE",R351)))</formula>
    </cfRule>
  </conditionalFormatting>
  <conditionalFormatting sqref="R365">
    <cfRule type="containsText" dxfId="301" priority="23" operator="containsText" text="NO CUMPLE">
      <formula>NOT(ISERROR(SEARCH("NO CUMPLE",R365)))</formula>
    </cfRule>
    <cfRule type="containsText" dxfId="300" priority="24" operator="containsText" text="CUMPLE">
      <formula>NOT(ISERROR(SEARCH("CUMPLE",R365)))</formula>
    </cfRule>
  </conditionalFormatting>
  <conditionalFormatting sqref="R376">
    <cfRule type="containsText" dxfId="299" priority="21" operator="containsText" text="NO CUMPLE">
      <formula>NOT(ISERROR(SEARCH("NO CUMPLE",R376)))</formula>
    </cfRule>
    <cfRule type="containsText" dxfId="298" priority="22" operator="containsText" text="CUMPLE">
      <formula>NOT(ISERROR(SEARCH("CUMPLE",R376)))</formula>
    </cfRule>
  </conditionalFormatting>
  <conditionalFormatting sqref="R388">
    <cfRule type="containsText" dxfId="297" priority="19" operator="containsText" text="NO CUMPLE">
      <formula>NOT(ISERROR(SEARCH("NO CUMPLE",R388)))</formula>
    </cfRule>
    <cfRule type="containsText" dxfId="296" priority="20" operator="containsText" text="CUMPLE">
      <formula>NOT(ISERROR(SEARCH("CUMPLE",R388)))</formula>
    </cfRule>
  </conditionalFormatting>
  <conditionalFormatting sqref="R401">
    <cfRule type="containsText" dxfId="295" priority="17" operator="containsText" text="NO CUMPLE">
      <formula>NOT(ISERROR(SEARCH("NO CUMPLE",R401)))</formula>
    </cfRule>
    <cfRule type="containsText" dxfId="294" priority="18" operator="containsText" text="CUMPLE">
      <formula>NOT(ISERROR(SEARCH("CUMPLE",R401)))</formula>
    </cfRule>
  </conditionalFormatting>
  <conditionalFormatting sqref="R414">
    <cfRule type="containsText" dxfId="293" priority="15" operator="containsText" text="NO CUMPLE">
      <formula>NOT(ISERROR(SEARCH("NO CUMPLE",R414)))</formula>
    </cfRule>
    <cfRule type="containsText" dxfId="292" priority="16" operator="containsText" text="CUMPLE">
      <formula>NOT(ISERROR(SEARCH("CUMPLE",R414)))</formula>
    </cfRule>
  </conditionalFormatting>
  <conditionalFormatting sqref="R426">
    <cfRule type="containsText" dxfId="291" priority="13" operator="containsText" text="NO CUMPLE">
      <formula>NOT(ISERROR(SEARCH("NO CUMPLE",R426)))</formula>
    </cfRule>
    <cfRule type="containsText" dxfId="290" priority="14" operator="containsText" text="CUMPLE">
      <formula>NOT(ISERROR(SEARCH("CUMPLE",R426)))</formula>
    </cfRule>
  </conditionalFormatting>
  <conditionalFormatting sqref="R438">
    <cfRule type="containsText" dxfId="289" priority="11" operator="containsText" text="NO CUMPLE">
      <formula>NOT(ISERROR(SEARCH("NO CUMPLE",R438)))</formula>
    </cfRule>
    <cfRule type="containsText" dxfId="288" priority="12" operator="containsText" text="CUMPLE">
      <formula>NOT(ISERROR(SEARCH("CUMPLE",R438)))</formula>
    </cfRule>
  </conditionalFormatting>
  <conditionalFormatting sqref="R450">
    <cfRule type="containsText" dxfId="287" priority="9" operator="containsText" text="NO CUMPLE">
      <formula>NOT(ISERROR(SEARCH("NO CUMPLE",R450)))</formula>
    </cfRule>
    <cfRule type="containsText" dxfId="286" priority="10" operator="containsText" text="CUMPLE">
      <formula>NOT(ISERROR(SEARCH("CUMPLE",R450)))</formula>
    </cfRule>
  </conditionalFormatting>
  <conditionalFormatting sqref="R463">
    <cfRule type="containsText" dxfId="285" priority="7" operator="containsText" text="NO CUMPLE">
      <formula>NOT(ISERROR(SEARCH("NO CUMPLE",R463)))</formula>
    </cfRule>
    <cfRule type="containsText" dxfId="284" priority="8" operator="containsText" text="CUMPLE">
      <formula>NOT(ISERROR(SEARCH("CUMPLE",R463)))</formula>
    </cfRule>
  </conditionalFormatting>
  <conditionalFormatting sqref="R478">
    <cfRule type="containsText" dxfId="283" priority="5" operator="containsText" text="NO CUMPLE">
      <formula>NOT(ISERROR(SEARCH("NO CUMPLE",R478)))</formula>
    </cfRule>
    <cfRule type="containsText" dxfId="282" priority="6" operator="containsText" text="CUMPLE">
      <formula>NOT(ISERROR(SEARCH("CUMPLE",R478)))</formula>
    </cfRule>
  </conditionalFormatting>
  <conditionalFormatting sqref="R491">
    <cfRule type="containsText" dxfId="281" priority="3" operator="containsText" text="NO CUMPLE">
      <formula>NOT(ISERROR(SEARCH("NO CUMPLE",R491)))</formula>
    </cfRule>
    <cfRule type="containsText" dxfId="280" priority="4" operator="containsText" text="CUMPLE">
      <formula>NOT(ISERROR(SEARCH("CUMPLE",R491)))</formula>
    </cfRule>
  </conditionalFormatting>
  <conditionalFormatting sqref="R503">
    <cfRule type="containsText" dxfId="279" priority="1" operator="containsText" text="NO CUMPLE">
      <formula>NOT(ISERROR(SEARCH("NO CUMPLE",R503)))</formula>
    </cfRule>
    <cfRule type="containsText" dxfId="278" priority="2" operator="containsText" text="CUMPLE">
      <formula>NOT(ISERROR(SEARCH("CUMPLE",R503)))</formula>
    </cfRule>
  </conditionalFormatting>
  <dataValidations count="1">
    <dataValidation type="list" allowBlank="1" showInputMessage="1" showErrorMessage="1" sqref="P29:Q29 P16:Q16 N332:N336 N29 N436:N437 N424:N425 N413 N411 P400:Q400 N375 N361:N364 N349:N350 N320:N321 P308:Q309 N292:N294 N269:N270 N258 P246:Q247 N207:N208 N195:N196 N177:N180 P164:Q164 P148:Q148 P136:Q137 N125 N110 N108 P97:Q97 N82 P70:Q71 N53:N56 N42 N40 N93 N232:N233 P232:Q233 P93:Q93 R19 R30 R43 P40:Q40 P42:Q42 R57 P53:Q56 R72 N150:N153 R83 R98 P82:Q82 N246:N247 R111 P108:Q108 P110:Q110 R126 N97 R138 P125:Q125 R154 P501:Q502 R167 N70:N71 R185 N386:N387 R197 P195:Q196 R209 P207:Q208 R222 R234 R248 P219:Q221 R259 P258:Q258 R271 P269:Q270 R282 R295 P292:Q294 R310 P150:Q153 R322 P320:Q321 R339 R351 P349:Q350 R365 P361:Q364 R376 P375:Q375 R388 R401 P182:Q184 R414 P411:Q411 P413:Q413 R426 P424:Q425 R438 P436:Q437 N448:N449 R450 N488:N490 N460:N462 R463 P460:Q462 R478 N136:N137 R491 P474:Q477 N501:N502 R503 N148 N18 P305:Q306 N305:N306 N308:N309 P281:Q281 N281 P332:Q336 N16 P18:Q18 P67:Q68 N67:N68 N164 P166:Q166 N166 P386:Q387 N182:N184 N400 P398:Q398 N398 P177:Q180 N219:N221 P244:Q244 N244 P95:Q95 N95 P121:Q121 N121 N123 P123:Q123 N474:N477 P488:Q490 P448:Q449" xr:uid="{1741F29C-FBED-48FA-B737-CD619E1778E7}">
      <formula1>$S$3:$S$4</formula1>
    </dataValidation>
  </dataValidations>
  <pageMargins left="0.7" right="0.7" top="0.75" bottom="0.75" header="0.51180555555555496" footer="0.51180555555555496"/>
  <pageSetup scale="56" firstPageNumber="0" orientation="portrait"/>
  <colBreaks count="1" manualBreakCount="1">
    <brk id="12" max="618" man="1"/>
  </col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92F3F-0D44-4658-928C-51E2E3AACA24}">
  <sheetPr>
    <tabColor rgb="FFFFFFFF"/>
  </sheetPr>
  <dimension ref="A1:K46"/>
  <sheetViews>
    <sheetView zoomScale="115" zoomScaleNormal="115" zoomScaleSheetLayoutView="100" zoomScalePageLayoutView="70" workbookViewId="0">
      <selection activeCell="K19" sqref="K19"/>
    </sheetView>
  </sheetViews>
  <sheetFormatPr baseColWidth="10" defaultColWidth="11.44140625" defaultRowHeight="14.4" x14ac:dyDescent="0.3"/>
  <cols>
    <col min="1" max="1" width="6.88671875" style="11" customWidth="1"/>
    <col min="2" max="2" width="45.88671875" style="11" customWidth="1"/>
    <col min="3" max="3" width="38.33203125" style="11" customWidth="1"/>
    <col min="4" max="5" width="22.44140625" style="11" customWidth="1"/>
    <col min="6" max="6" width="17.88671875" style="11" customWidth="1"/>
    <col min="7" max="7" width="20.33203125" style="11" customWidth="1"/>
    <col min="8" max="8" width="15" style="11" customWidth="1"/>
    <col min="9" max="9" width="48.6640625" style="11" customWidth="1"/>
    <col min="10" max="16384" width="11.44140625" style="11"/>
  </cols>
  <sheetData>
    <row r="1" spans="1:9" ht="40.5" customHeight="1" x14ac:dyDescent="0.3">
      <c r="A1" s="569" t="s">
        <v>19</v>
      </c>
      <c r="B1" s="570"/>
      <c r="C1" s="571"/>
      <c r="D1" s="9"/>
      <c r="E1" s="9"/>
      <c r="F1" s="9"/>
      <c r="G1" s="9"/>
      <c r="H1" s="10"/>
    </row>
    <row r="2" spans="1:9" ht="31.5" customHeight="1" x14ac:dyDescent="0.3">
      <c r="A2" s="572" t="s">
        <v>20</v>
      </c>
      <c r="B2" s="573"/>
      <c r="C2" s="574"/>
      <c r="H2" s="12"/>
    </row>
    <row r="3" spans="1:9" ht="21" customHeight="1" x14ac:dyDescent="0.3">
      <c r="A3" s="575" t="s">
        <v>555</v>
      </c>
      <c r="B3" s="576"/>
      <c r="C3" s="577"/>
      <c r="H3" s="12"/>
    </row>
    <row r="4" spans="1:9" ht="21" customHeight="1" x14ac:dyDescent="0.3">
      <c r="A4" s="575"/>
      <c r="B4" s="576"/>
      <c r="C4" s="577"/>
      <c r="H4" s="12"/>
    </row>
    <row r="5" spans="1:9" ht="26.25" customHeight="1" x14ac:dyDescent="0.3">
      <c r="A5" s="578"/>
      <c r="B5" s="579"/>
      <c r="C5" s="580"/>
      <c r="D5" s="13"/>
      <c r="E5" s="13"/>
      <c r="F5" s="13"/>
      <c r="G5" s="13"/>
      <c r="H5" s="14"/>
    </row>
    <row r="6" spans="1:9" ht="4.5" customHeight="1" x14ac:dyDescent="0.3">
      <c r="A6" s="15"/>
      <c r="B6" s="16"/>
      <c r="C6" s="17"/>
      <c r="D6" s="9"/>
      <c r="E6" s="9"/>
      <c r="F6" s="9"/>
      <c r="G6" s="9"/>
      <c r="H6" s="10"/>
    </row>
    <row r="7" spans="1:9" ht="117" customHeight="1" x14ac:dyDescent="0.3">
      <c r="A7" s="581" t="s">
        <v>556</v>
      </c>
      <c r="B7" s="582"/>
      <c r="C7" s="18" t="s">
        <v>557</v>
      </c>
      <c r="D7" s="19" t="s">
        <v>558</v>
      </c>
      <c r="E7" s="19" t="s">
        <v>559</v>
      </c>
      <c r="F7" s="20" t="s">
        <v>560</v>
      </c>
      <c r="G7" s="20" t="s">
        <v>561</v>
      </c>
      <c r="H7" s="146" t="s">
        <v>562</v>
      </c>
      <c r="I7" s="21" t="s">
        <v>26</v>
      </c>
    </row>
    <row r="8" spans="1:9" ht="43.2" x14ac:dyDescent="0.3">
      <c r="A8" s="137">
        <v>1</v>
      </c>
      <c r="B8" s="115" t="str">
        <f>VLOOKUP(A8,'LISTA DE OFERENTES'!$A$6:$B$38,2,FALSE)</f>
        <v>CONSORCIO ESTRUCTURAS Y OBRAS</v>
      </c>
      <c r="C8" s="124"/>
      <c r="D8" s="125">
        <v>9</v>
      </c>
      <c r="E8" s="125">
        <v>10</v>
      </c>
      <c r="F8" s="125">
        <v>20</v>
      </c>
      <c r="G8" s="168">
        <v>1</v>
      </c>
      <c r="H8" s="172">
        <f>G8+F8+E8+D8+C8</f>
        <v>40</v>
      </c>
      <c r="I8" s="169" t="s">
        <v>563</v>
      </c>
    </row>
    <row r="9" spans="1:9" ht="43.2" x14ac:dyDescent="0.3">
      <c r="A9" s="138">
        <v>2</v>
      </c>
      <c r="B9" s="114" t="str">
        <f>VLOOKUP(A9,'LISTA DE OFERENTES'!$A$6:$B$38,2,FALSE)</f>
        <v>HAPIL INGENIERIA SAS</v>
      </c>
      <c r="C9" s="125"/>
      <c r="D9" s="125">
        <v>9</v>
      </c>
      <c r="E9" s="125">
        <v>10</v>
      </c>
      <c r="F9" s="125">
        <v>20</v>
      </c>
      <c r="G9" s="168">
        <v>1</v>
      </c>
      <c r="H9" s="172">
        <f t="shared" ref="H9:H37" si="0">G9+F9+E9+D9+C9</f>
        <v>40</v>
      </c>
      <c r="I9" s="169" t="s">
        <v>563</v>
      </c>
    </row>
    <row r="10" spans="1:9" ht="43.2" x14ac:dyDescent="0.3">
      <c r="A10" s="138">
        <v>3</v>
      </c>
      <c r="B10" s="114" t="str">
        <f>VLOOKUP(A10,'LISTA DE OFERENTES'!$A$6:$B$38,2,FALSE)</f>
        <v>CONSORCIO SAN FIORANO</v>
      </c>
      <c r="C10" s="125"/>
      <c r="D10" s="125">
        <v>9</v>
      </c>
      <c r="E10" s="125">
        <v>10</v>
      </c>
      <c r="F10" s="125">
        <v>20</v>
      </c>
      <c r="G10" s="168">
        <v>1</v>
      </c>
      <c r="H10" s="172">
        <f t="shared" si="0"/>
        <v>40</v>
      </c>
      <c r="I10" s="169" t="s">
        <v>563</v>
      </c>
    </row>
    <row r="11" spans="1:9" ht="43.2" x14ac:dyDescent="0.3">
      <c r="A11" s="138">
        <v>4</v>
      </c>
      <c r="B11" s="114" t="str">
        <f>VLOOKUP(A11,'LISTA DE OFERENTES'!$A$6:$B$38,2,FALSE)</f>
        <v>INVERSIONES GUERFOR S.A.S</v>
      </c>
      <c r="C11" s="125"/>
      <c r="D11" s="125">
        <v>9</v>
      </c>
      <c r="E11" s="125">
        <v>10</v>
      </c>
      <c r="F11" s="125">
        <v>20</v>
      </c>
      <c r="G11" s="168">
        <v>1</v>
      </c>
      <c r="H11" s="172">
        <f t="shared" si="0"/>
        <v>40</v>
      </c>
      <c r="I11" s="169" t="s">
        <v>563</v>
      </c>
    </row>
    <row r="12" spans="1:9" ht="43.2" x14ac:dyDescent="0.3">
      <c r="A12" s="138">
        <v>5</v>
      </c>
      <c r="B12" s="114" t="str">
        <f>VLOOKUP(A12,'LISTA DE OFERENTES'!$A$6:$B$38,2,FALSE)</f>
        <v>CONSORCIO PARQUES C&amp;A</v>
      </c>
      <c r="C12" s="125"/>
      <c r="D12" s="125">
        <v>9</v>
      </c>
      <c r="E12" s="125">
        <v>10</v>
      </c>
      <c r="F12" s="125">
        <v>20</v>
      </c>
      <c r="G12" s="168">
        <v>1</v>
      </c>
      <c r="H12" s="172">
        <f t="shared" si="0"/>
        <v>40</v>
      </c>
      <c r="I12" s="169" t="s">
        <v>563</v>
      </c>
    </row>
    <row r="13" spans="1:9" ht="43.2" x14ac:dyDescent="0.3">
      <c r="A13" s="138">
        <v>6</v>
      </c>
      <c r="B13" s="114" t="str">
        <f>VLOOKUP(A13,'LISTA DE OFERENTES'!$A$6:$B$38,2,FALSE)</f>
        <v>UNION TEMPORAL TUNAL 2022</v>
      </c>
      <c r="C13" s="125"/>
      <c r="D13" s="125">
        <v>9</v>
      </c>
      <c r="E13" s="125">
        <v>10</v>
      </c>
      <c r="F13" s="125">
        <v>20</v>
      </c>
      <c r="G13" s="168">
        <v>1</v>
      </c>
      <c r="H13" s="172">
        <f t="shared" si="0"/>
        <v>40</v>
      </c>
      <c r="I13" s="169" t="s">
        <v>563</v>
      </c>
    </row>
    <row r="14" spans="1:9" ht="43.2" x14ac:dyDescent="0.3">
      <c r="A14" s="138">
        <v>7</v>
      </c>
      <c r="B14" s="114" t="str">
        <f>VLOOKUP(A14,'LISTA DE OFERENTES'!$A$6:$B$38,2,FALSE)</f>
        <v>CONSORCIO TUNJUELO 2022</v>
      </c>
      <c r="C14" s="125"/>
      <c r="D14" s="125">
        <v>9</v>
      </c>
      <c r="E14" s="125">
        <v>10</v>
      </c>
      <c r="F14" s="125">
        <v>20</v>
      </c>
      <c r="G14" s="168">
        <v>1</v>
      </c>
      <c r="H14" s="172">
        <f t="shared" si="0"/>
        <v>40</v>
      </c>
      <c r="I14" s="169" t="s">
        <v>563</v>
      </c>
    </row>
    <row r="15" spans="1:9" ht="43.2" x14ac:dyDescent="0.3">
      <c r="A15" s="138">
        <v>8</v>
      </c>
      <c r="B15" s="114" t="str">
        <f>VLOOKUP(A15,'LISTA DE OFERENTES'!$A$6:$B$38,2,FALSE)</f>
        <v>CONSORCIO INGENIERÍA I</v>
      </c>
      <c r="C15" s="125"/>
      <c r="D15" s="125">
        <v>9</v>
      </c>
      <c r="E15" s="125">
        <v>10</v>
      </c>
      <c r="F15" s="125">
        <v>20</v>
      </c>
      <c r="G15" s="168">
        <v>1</v>
      </c>
      <c r="H15" s="172">
        <f t="shared" si="0"/>
        <v>40</v>
      </c>
      <c r="I15" s="169" t="s">
        <v>563</v>
      </c>
    </row>
    <row r="16" spans="1:9" ht="43.2" x14ac:dyDescent="0.3">
      <c r="A16" s="138">
        <v>9</v>
      </c>
      <c r="B16" s="114" t="str">
        <f>VLOOKUP(A16,'LISTA DE OFERENTES'!$A$6:$B$38,2,FALSE)</f>
        <v>UNIÓN TEMPORAL BCC PARQUES BOGOTA 2022</v>
      </c>
      <c r="C16" s="125"/>
      <c r="D16" s="125">
        <v>9</v>
      </c>
      <c r="E16" s="125">
        <v>10</v>
      </c>
      <c r="F16" s="125">
        <v>20</v>
      </c>
      <c r="G16" s="168">
        <v>1</v>
      </c>
      <c r="H16" s="172">
        <f t="shared" si="0"/>
        <v>40</v>
      </c>
      <c r="I16" s="169" t="s">
        <v>563</v>
      </c>
    </row>
    <row r="17" spans="1:11" ht="43.2" x14ac:dyDescent="0.3">
      <c r="A17" s="138">
        <v>10</v>
      </c>
      <c r="B17" s="114" t="str">
        <f>VLOOKUP(A17,'LISTA DE OFERENTES'!$A$6:$B$38,2,FALSE)</f>
        <v>LAM CONSTRUCCIONES S.A.S</v>
      </c>
      <c r="C17" s="125"/>
      <c r="D17" s="125">
        <v>9</v>
      </c>
      <c r="E17" s="125">
        <v>10</v>
      </c>
      <c r="F17" s="125">
        <v>20</v>
      </c>
      <c r="G17" s="168">
        <v>1</v>
      </c>
      <c r="H17" s="172">
        <f t="shared" si="0"/>
        <v>40</v>
      </c>
      <c r="I17" s="169" t="s">
        <v>563</v>
      </c>
    </row>
    <row r="18" spans="1:11" x14ac:dyDescent="0.3">
      <c r="A18" s="138">
        <v>11</v>
      </c>
      <c r="B18" s="114" t="str">
        <f>VLOOKUP(A18,'LISTA DE OFERENTES'!$A$6:$B$38,2,FALSE)</f>
        <v>UNION TEMPORAL PARQUE TUNAL II</v>
      </c>
      <c r="C18" s="125"/>
      <c r="D18" s="560" t="s">
        <v>564</v>
      </c>
      <c r="E18" s="561"/>
      <c r="F18" s="561"/>
      <c r="G18" s="561"/>
      <c r="H18" s="562"/>
      <c r="I18" s="169"/>
    </row>
    <row r="19" spans="1:11" ht="43.2" x14ac:dyDescent="0.3">
      <c r="A19" s="138">
        <v>12</v>
      </c>
      <c r="B19" s="114" t="str">
        <f>VLOOKUP(A19,'LISTA DE OFERENTES'!$A$6:$B$38,2,FALSE)</f>
        <v>CONSORCIO UNAL AVL-DHE</v>
      </c>
      <c r="C19" s="125"/>
      <c r="D19" s="125">
        <v>9</v>
      </c>
      <c r="E19" s="125">
        <v>10</v>
      </c>
      <c r="F19" s="125">
        <v>20</v>
      </c>
      <c r="G19" s="168">
        <v>1</v>
      </c>
      <c r="H19" s="172">
        <f t="shared" si="0"/>
        <v>40</v>
      </c>
      <c r="I19" s="169" t="s">
        <v>563</v>
      </c>
      <c r="J19" s="126"/>
      <c r="K19" s="62"/>
    </row>
    <row r="20" spans="1:11" ht="43.2" x14ac:dyDescent="0.3">
      <c r="A20" s="138">
        <v>13</v>
      </c>
      <c r="B20" s="114" t="str">
        <f>VLOOKUP(A20,'LISTA DE OFERENTES'!$A$6:$B$38,2,FALSE)</f>
        <v>CONSORCIO VALHER</v>
      </c>
      <c r="C20" s="125"/>
      <c r="D20" s="125">
        <v>9</v>
      </c>
      <c r="E20" s="125">
        <v>10</v>
      </c>
      <c r="F20" s="125">
        <v>20</v>
      </c>
      <c r="G20" s="168">
        <v>1</v>
      </c>
      <c r="H20" s="172">
        <f t="shared" si="0"/>
        <v>40</v>
      </c>
      <c r="I20" s="169" t="s">
        <v>563</v>
      </c>
    </row>
    <row r="21" spans="1:11" ht="43.2" x14ac:dyDescent="0.3">
      <c r="A21" s="138">
        <v>14</v>
      </c>
      <c r="B21" s="114" t="str">
        <f>VLOOKUP(A21,'LISTA DE OFERENTES'!$A$6:$B$38,2,FALSE)</f>
        <v>PAVIMENTOS TECNICOS SAS</v>
      </c>
      <c r="C21" s="125"/>
      <c r="D21" s="125">
        <v>9</v>
      </c>
      <c r="E21" s="125">
        <v>10</v>
      </c>
      <c r="F21" s="125">
        <v>20</v>
      </c>
      <c r="G21" s="168">
        <v>1</v>
      </c>
      <c r="H21" s="172">
        <f t="shared" si="0"/>
        <v>40</v>
      </c>
      <c r="I21" s="169" t="s">
        <v>563</v>
      </c>
    </row>
    <row r="22" spans="1:11" ht="43.2" x14ac:dyDescent="0.3">
      <c r="A22" s="138">
        <v>15</v>
      </c>
      <c r="B22" s="114" t="str">
        <f>VLOOKUP(A22,'LISTA DE OFERENTES'!$A$6:$B$38,2,FALSE)</f>
        <v>GESTION RURAL Y URBANA SAS</v>
      </c>
      <c r="C22" s="125"/>
      <c r="D22" s="125">
        <v>9</v>
      </c>
      <c r="E22" s="125">
        <v>10</v>
      </c>
      <c r="F22" s="125">
        <v>20</v>
      </c>
      <c r="G22" s="168">
        <v>1</v>
      </c>
      <c r="H22" s="172">
        <f t="shared" si="0"/>
        <v>40</v>
      </c>
      <c r="I22" s="169" t="s">
        <v>563</v>
      </c>
    </row>
    <row r="23" spans="1:11" ht="43.2" x14ac:dyDescent="0.3">
      <c r="A23" s="138">
        <v>16</v>
      </c>
      <c r="B23" s="114" t="str">
        <f>VLOOKUP(A23,'LISTA DE OFERENTES'!$A$6:$B$38,2,FALSE)</f>
        <v>ESTUDIOS E INGENIERIA SAS</v>
      </c>
      <c r="C23" s="125"/>
      <c r="D23" s="125">
        <v>9</v>
      </c>
      <c r="E23" s="125">
        <v>10</v>
      </c>
      <c r="F23" s="125">
        <v>20</v>
      </c>
      <c r="G23" s="168">
        <v>1</v>
      </c>
      <c r="H23" s="172">
        <f t="shared" si="0"/>
        <v>40</v>
      </c>
      <c r="I23" s="169" t="s">
        <v>563</v>
      </c>
    </row>
    <row r="24" spans="1:11" ht="43.2" x14ac:dyDescent="0.3">
      <c r="A24" s="138">
        <v>17</v>
      </c>
      <c r="B24" s="114" t="str">
        <f>VLOOKUP(A24,'LISTA DE OFERENTES'!$A$6:$B$38,2,FALSE)</f>
        <v>UNIOBRAS SAS</v>
      </c>
      <c r="C24" s="125"/>
      <c r="D24" s="125">
        <v>9</v>
      </c>
      <c r="E24" s="125">
        <v>10</v>
      </c>
      <c r="F24" s="125">
        <v>20</v>
      </c>
      <c r="G24" s="168">
        <v>1</v>
      </c>
      <c r="H24" s="172">
        <f t="shared" si="0"/>
        <v>40</v>
      </c>
      <c r="I24" s="169" t="s">
        <v>563</v>
      </c>
    </row>
    <row r="25" spans="1:11" ht="43.2" x14ac:dyDescent="0.3">
      <c r="A25" s="138">
        <v>18</v>
      </c>
      <c r="B25" s="114" t="str">
        <f>VLOOKUP(A25,'LISTA DE OFERENTES'!$A$6:$B$38,2,FALSE)</f>
        <v>CONSORCIO MRTITANIUM</v>
      </c>
      <c r="C25" s="125"/>
      <c r="D25" s="125">
        <v>9</v>
      </c>
      <c r="E25" s="125">
        <v>10</v>
      </c>
      <c r="F25" s="125">
        <v>20</v>
      </c>
      <c r="G25" s="168">
        <v>1</v>
      </c>
      <c r="H25" s="172">
        <f t="shared" si="0"/>
        <v>40</v>
      </c>
      <c r="I25" s="169" t="s">
        <v>563</v>
      </c>
    </row>
    <row r="26" spans="1:11" ht="43.2" x14ac:dyDescent="0.3">
      <c r="A26" s="138">
        <v>19</v>
      </c>
      <c r="B26" s="114" t="str">
        <f>VLOOKUP(A26,'LISTA DE OFERENTES'!$A$6:$B$38,2,FALSE)</f>
        <v>MAMUT ACERO Y CONCRETO SAS</v>
      </c>
      <c r="C26" s="125"/>
      <c r="D26" s="125">
        <v>9</v>
      </c>
      <c r="E26" s="125">
        <v>10</v>
      </c>
      <c r="F26" s="125">
        <v>20</v>
      </c>
      <c r="G26" s="168">
        <v>1</v>
      </c>
      <c r="H26" s="172">
        <f t="shared" si="0"/>
        <v>40</v>
      </c>
      <c r="I26" s="169" t="s">
        <v>563</v>
      </c>
    </row>
    <row r="27" spans="1:11" ht="28.8" x14ac:dyDescent="0.3">
      <c r="A27" s="138">
        <v>20</v>
      </c>
      <c r="B27" s="114" t="str">
        <f>VLOOKUP(A27,'LISTA DE OFERENTES'!$A$6:$B$38,2,FALSE)</f>
        <v>PROYECTOS E INGENIERIA DE VIAS SAS-PROINVIAS SAS</v>
      </c>
      <c r="C27" s="125"/>
      <c r="D27" s="560" t="s">
        <v>565</v>
      </c>
      <c r="E27" s="561"/>
      <c r="F27" s="561"/>
      <c r="G27" s="561"/>
      <c r="H27" s="562"/>
      <c r="I27" s="169" t="s">
        <v>566</v>
      </c>
    </row>
    <row r="28" spans="1:11" ht="43.2" x14ac:dyDescent="0.3">
      <c r="A28" s="138">
        <v>21</v>
      </c>
      <c r="B28" s="114" t="str">
        <f>VLOOKUP(A28,'LISTA DE OFERENTES'!$A$6:$B$38,2,FALSE)</f>
        <v>CARLOS ARTURO VERGARA NEGRETE</v>
      </c>
      <c r="C28" s="125"/>
      <c r="D28" s="125">
        <v>9</v>
      </c>
      <c r="E28" s="125">
        <v>10</v>
      </c>
      <c r="F28" s="125">
        <v>20</v>
      </c>
      <c r="G28" s="168">
        <v>1</v>
      </c>
      <c r="H28" s="332">
        <f t="shared" si="0"/>
        <v>40</v>
      </c>
      <c r="I28" s="169" t="s">
        <v>563</v>
      </c>
    </row>
    <row r="29" spans="1:11" ht="43.2" x14ac:dyDescent="0.3">
      <c r="A29" s="138">
        <v>22</v>
      </c>
      <c r="B29" s="114" t="str">
        <f>VLOOKUP(A29,'LISTA DE OFERENTES'!$A$6:$B$38,2,FALSE)</f>
        <v>CJS INGENIERIA SAS</v>
      </c>
      <c r="C29" s="125"/>
      <c r="D29" s="125">
        <v>9</v>
      </c>
      <c r="E29" s="125">
        <v>10</v>
      </c>
      <c r="F29" s="125">
        <v>20</v>
      </c>
      <c r="G29" s="168">
        <v>1</v>
      </c>
      <c r="H29" s="333">
        <f t="shared" si="0"/>
        <v>40</v>
      </c>
      <c r="I29" s="169" t="s">
        <v>563</v>
      </c>
    </row>
    <row r="30" spans="1:11" ht="43.2" x14ac:dyDescent="0.3">
      <c r="A30" s="138">
        <v>23</v>
      </c>
      <c r="B30" s="114" t="str">
        <f>VLOOKUP(A30,'LISTA DE OFERENTES'!$A$6:$B$38,2,FALSE)</f>
        <v>CONSORCIO VECINAL GC</v>
      </c>
      <c r="C30" s="125"/>
      <c r="D30" s="125">
        <v>9</v>
      </c>
      <c r="E30" s="125">
        <v>10</v>
      </c>
      <c r="F30" s="125">
        <v>20</v>
      </c>
      <c r="G30" s="168">
        <v>1</v>
      </c>
      <c r="H30" s="333">
        <f t="shared" si="0"/>
        <v>40</v>
      </c>
      <c r="I30" s="169" t="s">
        <v>563</v>
      </c>
    </row>
    <row r="31" spans="1:11" ht="43.2" x14ac:dyDescent="0.3">
      <c r="A31" s="138">
        <v>24</v>
      </c>
      <c r="B31" s="114" t="str">
        <f>VLOOKUP(A31,'LISTA DE OFERENTES'!$A$6:$B$38,2,FALSE)</f>
        <v>BYR CONSTRUCCIONES SAS</v>
      </c>
      <c r="C31" s="125"/>
      <c r="D31" s="125">
        <v>9</v>
      </c>
      <c r="E31" s="125">
        <v>10</v>
      </c>
      <c r="F31" s="125">
        <v>20</v>
      </c>
      <c r="G31" s="168">
        <v>1</v>
      </c>
      <c r="H31" s="333">
        <f t="shared" si="0"/>
        <v>40</v>
      </c>
      <c r="I31" s="169" t="s">
        <v>563</v>
      </c>
    </row>
    <row r="32" spans="1:11" ht="43.2" x14ac:dyDescent="0.3">
      <c r="A32" s="138">
        <v>25</v>
      </c>
      <c r="B32" s="114" t="str">
        <f>VLOOKUP(A32,'LISTA DE OFERENTES'!$A$6:$B$38,2,FALSE)</f>
        <v>CONSORCIO PANORAMA</v>
      </c>
      <c r="C32" s="125"/>
      <c r="D32" s="125">
        <v>9</v>
      </c>
      <c r="E32" s="125">
        <v>10</v>
      </c>
      <c r="F32" s="125">
        <v>20</v>
      </c>
      <c r="G32" s="168">
        <v>1</v>
      </c>
      <c r="H32" s="333">
        <f t="shared" si="0"/>
        <v>40</v>
      </c>
      <c r="I32" s="169" t="s">
        <v>563</v>
      </c>
    </row>
    <row r="33" spans="1:9" x14ac:dyDescent="0.3">
      <c r="A33" s="138">
        <v>26</v>
      </c>
      <c r="B33" s="114" t="str">
        <f>VLOOKUP(A33,'LISTA DE OFERENTES'!$A$6:$B$38,2,FALSE)</f>
        <v xml:space="preserve">UNIOBRAS DEL ORIENTE SAS </v>
      </c>
      <c r="C33" s="125"/>
      <c r="D33" s="560" t="s">
        <v>564</v>
      </c>
      <c r="E33" s="561"/>
      <c r="F33" s="561"/>
      <c r="G33" s="561"/>
      <c r="H33" s="562"/>
      <c r="I33" s="169"/>
    </row>
    <row r="34" spans="1:9" ht="43.2" x14ac:dyDescent="0.3">
      <c r="A34" s="138">
        <v>27</v>
      </c>
      <c r="B34" s="114" t="str">
        <f>VLOOKUP(A34,'LISTA DE OFERENTES'!$A$6:$B$38,2,FALSE)</f>
        <v>CONSORCIO TUNAL CL</v>
      </c>
      <c r="C34" s="125"/>
      <c r="D34" s="125">
        <v>9</v>
      </c>
      <c r="E34" s="125">
        <v>10</v>
      </c>
      <c r="F34" s="125">
        <v>20</v>
      </c>
      <c r="G34" s="168">
        <v>1</v>
      </c>
      <c r="H34" s="333">
        <f t="shared" si="0"/>
        <v>40</v>
      </c>
      <c r="I34" s="169" t="s">
        <v>563</v>
      </c>
    </row>
    <row r="35" spans="1:9" ht="15" x14ac:dyDescent="0.3">
      <c r="A35" s="138">
        <v>28</v>
      </c>
      <c r="B35" s="114" t="str">
        <f>VLOOKUP(A35,'LISTA DE OFERENTES'!$A$6:$B$38,2,FALSE)</f>
        <v xml:space="preserve">MAURICIO RAFAEL PABA PINZON </v>
      </c>
      <c r="C35" s="125"/>
      <c r="D35" s="563" t="s">
        <v>564</v>
      </c>
      <c r="E35" s="564"/>
      <c r="F35" s="564"/>
      <c r="G35" s="564"/>
      <c r="H35" s="565"/>
      <c r="I35" s="22"/>
    </row>
    <row r="36" spans="1:9" ht="43.2" x14ac:dyDescent="0.3">
      <c r="A36" s="138">
        <v>29</v>
      </c>
      <c r="B36" s="114" t="str">
        <f>VLOOKUP(A36,'LISTA DE OFERENTES'!$A$6:$B$38,2,FALSE)</f>
        <v>CONSORCIO CDJ 05</v>
      </c>
      <c r="C36" s="168"/>
      <c r="D36" s="374">
        <v>9</v>
      </c>
      <c r="E36" s="374">
        <v>10</v>
      </c>
      <c r="F36" s="374">
        <v>20</v>
      </c>
      <c r="G36" s="374">
        <v>1</v>
      </c>
      <c r="H36" s="375">
        <f>C36+D36+E36+F36+G36</f>
        <v>40</v>
      </c>
      <c r="I36" s="169" t="s">
        <v>563</v>
      </c>
    </row>
    <row r="37" spans="1:9" ht="43.2" x14ac:dyDescent="0.3">
      <c r="A37" s="138">
        <v>30</v>
      </c>
      <c r="B37" s="114" t="str">
        <f>VLOOKUP(A37,'LISTA DE OFERENTES'!$A$6:$B$38,2,FALSE)</f>
        <v>CONSORCIO PARQUES INLF</v>
      </c>
      <c r="C37" s="125"/>
      <c r="D37" s="371">
        <v>9</v>
      </c>
      <c r="E37" s="371">
        <v>10</v>
      </c>
      <c r="F37" s="371">
        <v>20</v>
      </c>
      <c r="G37" s="372">
        <v>1</v>
      </c>
      <c r="H37" s="373">
        <f t="shared" si="0"/>
        <v>40</v>
      </c>
      <c r="I37" s="169" t="s">
        <v>563</v>
      </c>
    </row>
    <row r="38" spans="1:9" ht="43.2" x14ac:dyDescent="0.3">
      <c r="A38" s="138">
        <v>31</v>
      </c>
      <c r="B38" s="114" t="str">
        <f>VLOOKUP(A38,'LISTA DE OFERENTES'!$A$6:$B$38,2,FALSE)</f>
        <v>CONSORCIO CONSTRUC. PARQUE TUNAL II</v>
      </c>
      <c r="C38" s="125"/>
      <c r="D38" s="302">
        <v>9</v>
      </c>
      <c r="E38" s="303">
        <v>10</v>
      </c>
      <c r="F38" s="303">
        <v>20</v>
      </c>
      <c r="G38" s="304">
        <v>1</v>
      </c>
      <c r="H38" s="305">
        <v>40</v>
      </c>
      <c r="I38" s="306" t="s">
        <v>563</v>
      </c>
    </row>
    <row r="39" spans="1:9" ht="43.2" x14ac:dyDescent="0.3">
      <c r="A39" s="138">
        <v>32</v>
      </c>
      <c r="B39" s="114" t="str">
        <f>VLOOKUP(A39,'LISTA DE OFERENTES'!$A$6:$B$38,2,FALSE)</f>
        <v>CONSORCIO TUNALITO</v>
      </c>
      <c r="C39" s="125"/>
      <c r="D39" s="125">
        <v>9</v>
      </c>
      <c r="E39" s="125">
        <v>10</v>
      </c>
      <c r="F39" s="125">
        <v>20</v>
      </c>
      <c r="G39" s="168">
        <v>1</v>
      </c>
      <c r="H39" s="172">
        <v>40</v>
      </c>
      <c r="I39" s="170" t="s">
        <v>563</v>
      </c>
    </row>
    <row r="40" spans="1:9" ht="43.2" x14ac:dyDescent="0.3">
      <c r="A40" s="138">
        <v>33</v>
      </c>
      <c r="B40" s="114" t="str">
        <f>VLOOKUP(A40,'LISTA DE OFERENTES'!$A$6:$B$43,2,FALSE)</f>
        <v>CONSORCIO EL TUNAL V4G</v>
      </c>
      <c r="C40" s="125"/>
      <c r="D40" s="125">
        <v>9</v>
      </c>
      <c r="E40" s="125">
        <v>10</v>
      </c>
      <c r="F40" s="125">
        <v>20</v>
      </c>
      <c r="G40" s="168">
        <v>1</v>
      </c>
      <c r="H40" s="172">
        <v>40</v>
      </c>
      <c r="I40" s="170" t="s">
        <v>563</v>
      </c>
    </row>
    <row r="41" spans="1:9" ht="43.2" x14ac:dyDescent="0.3">
      <c r="A41" s="138">
        <v>34</v>
      </c>
      <c r="B41" s="114" t="str">
        <f>VLOOKUP(A41,'LISTA DE OFERENTES'!$A$6:$B$43,2,FALSE)</f>
        <v>PANAM INGENIEROS SAS</v>
      </c>
      <c r="C41" s="125"/>
      <c r="D41" s="125">
        <v>9</v>
      </c>
      <c r="E41" s="125">
        <v>10</v>
      </c>
      <c r="F41" s="125">
        <v>20</v>
      </c>
      <c r="G41" s="168">
        <v>1</v>
      </c>
      <c r="H41" s="172">
        <v>40</v>
      </c>
      <c r="I41" s="171" t="s">
        <v>563</v>
      </c>
    </row>
    <row r="42" spans="1:9" ht="43.2" x14ac:dyDescent="0.3">
      <c r="A42" s="138">
        <v>35</v>
      </c>
      <c r="B42" s="114" t="str">
        <f>VLOOKUP(A42,'LISTA DE OFERENTES'!$A$6:$B$43,2,FALSE)</f>
        <v>CONSORCIO TUNJUELITO VHJ</v>
      </c>
      <c r="C42" s="125"/>
      <c r="D42" s="125">
        <v>9</v>
      </c>
      <c r="E42" s="125">
        <v>10</v>
      </c>
      <c r="F42" s="125">
        <v>20</v>
      </c>
      <c r="G42" s="168">
        <v>1</v>
      </c>
      <c r="H42" s="172">
        <v>40</v>
      </c>
      <c r="I42" s="170" t="s">
        <v>563</v>
      </c>
    </row>
    <row r="43" spans="1:9" ht="43.2" x14ac:dyDescent="0.3">
      <c r="A43" s="138">
        <v>36</v>
      </c>
      <c r="B43" s="114" t="str">
        <f>VLOOKUP(A43,'LISTA DE OFERENTES'!$A$6:$B$43,2,FALSE)</f>
        <v>CONSORCIO PARQUE VECINAL 2022</v>
      </c>
      <c r="C43" s="125"/>
      <c r="D43" s="302">
        <v>9</v>
      </c>
      <c r="E43" s="303">
        <v>10</v>
      </c>
      <c r="F43" s="303">
        <v>20</v>
      </c>
      <c r="G43" s="304">
        <v>1</v>
      </c>
      <c r="H43" s="305">
        <v>40</v>
      </c>
      <c r="I43" s="306" t="s">
        <v>563</v>
      </c>
    </row>
    <row r="44" spans="1:9" x14ac:dyDescent="0.3">
      <c r="A44" s="138">
        <v>37</v>
      </c>
      <c r="B44" s="114" t="str">
        <f>VLOOKUP(A44,'LISTA DE OFERENTES'!$A$6:$B$43,2,FALSE)</f>
        <v>CONSORCIO PARQUE CAIS2022</v>
      </c>
      <c r="C44" s="125"/>
      <c r="D44" s="566" t="s">
        <v>565</v>
      </c>
      <c r="E44" s="567"/>
      <c r="F44" s="567"/>
      <c r="G44" s="567"/>
      <c r="H44" s="568"/>
      <c r="I44" s="310" t="s">
        <v>566</v>
      </c>
    </row>
    <row r="45" spans="1:9" ht="43.2" x14ac:dyDescent="0.3">
      <c r="A45" s="138">
        <v>38</v>
      </c>
      <c r="B45" s="114" t="str">
        <f>VLOOKUP(A45,'LISTA DE OFERENTES'!$A$6:$B$43,2,FALSE)</f>
        <v>PHVA CONSTRUCTORES SAS</v>
      </c>
      <c r="C45" s="125"/>
      <c r="D45" s="307">
        <v>9</v>
      </c>
      <c r="E45" s="308">
        <v>10</v>
      </c>
      <c r="F45" s="308">
        <v>20</v>
      </c>
      <c r="G45" s="309">
        <v>1</v>
      </c>
      <c r="H45" s="334">
        <v>40</v>
      </c>
      <c r="I45" s="311" t="s">
        <v>563</v>
      </c>
    </row>
    <row r="46" spans="1:9" ht="25.5" customHeight="1" x14ac:dyDescent="0.3"/>
  </sheetData>
  <autoFilter ref="A7:I32" xr:uid="{00000000-0009-0000-0000-000005000000}">
    <filterColumn colId="0" showButton="0"/>
    <sortState xmlns:xlrd2="http://schemas.microsoft.com/office/spreadsheetml/2017/richdata2" ref="A8:K38">
      <sortCondition ref="A7:A38"/>
    </sortState>
  </autoFilter>
  <mergeCells count="9">
    <mergeCell ref="D27:H27"/>
    <mergeCell ref="D33:H33"/>
    <mergeCell ref="D35:H35"/>
    <mergeCell ref="D44:H44"/>
    <mergeCell ref="A1:C1"/>
    <mergeCell ref="A2:C2"/>
    <mergeCell ref="A3:C5"/>
    <mergeCell ref="A7:B7"/>
    <mergeCell ref="D18:H18"/>
  </mergeCells>
  <pageMargins left="0.7" right="0.7" top="0.75" bottom="0.75" header="0.3" footer="0.3"/>
  <pageSetup paperSize="9" scale="47"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256DB-F790-4F7B-85D8-E52AB51DAB60}">
  <sheetPr>
    <tabColor rgb="FFFFFFFF"/>
  </sheetPr>
  <dimension ref="A1:I43"/>
  <sheetViews>
    <sheetView topLeftCell="A3" zoomScale="70" zoomScaleNormal="85" workbookViewId="0">
      <pane xSplit="6" ySplit="3" topLeftCell="H34" activePane="bottomRight" state="frozen"/>
      <selection pane="topRight"/>
      <selection pane="bottomLeft"/>
      <selection pane="bottomRight" activeCell="B33" sqref="B33"/>
    </sheetView>
  </sheetViews>
  <sheetFormatPr baseColWidth="10" defaultColWidth="9.109375" defaultRowHeight="14.4" x14ac:dyDescent="0.3"/>
  <cols>
    <col min="1" max="1" width="4.109375" style="26" bestFit="1" customWidth="1"/>
    <col min="2" max="2" width="77.33203125" style="53" bestFit="1" customWidth="1"/>
    <col min="3" max="3" width="17.6640625" style="26" customWidth="1"/>
    <col min="4" max="4" width="17.33203125" style="26" customWidth="1"/>
    <col min="5" max="5" width="16.44140625" style="26" customWidth="1"/>
    <col min="6" max="6" width="18.6640625" style="26" bestFit="1" customWidth="1"/>
    <col min="7" max="7" width="19.109375" style="26" bestFit="1" customWidth="1"/>
    <col min="8" max="8" width="127" style="52" customWidth="1"/>
    <col min="9" max="9" width="62.44140625" style="26" customWidth="1"/>
    <col min="10" max="10" width="25.109375" style="26" customWidth="1"/>
    <col min="11" max="11" width="18.44140625" style="26" customWidth="1"/>
    <col min="12" max="16384" width="9.109375" style="26"/>
  </cols>
  <sheetData>
    <row r="1" spans="1:9" ht="31.5" customHeight="1" x14ac:dyDescent="0.3">
      <c r="A1" s="583" t="s">
        <v>19</v>
      </c>
      <c r="B1" s="584"/>
      <c r="C1" s="584"/>
      <c r="D1" s="584"/>
      <c r="E1" s="584"/>
      <c r="F1" s="584"/>
      <c r="G1" s="585"/>
      <c r="H1" s="586"/>
    </row>
    <row r="2" spans="1:9" ht="31.5" customHeight="1" x14ac:dyDescent="0.3">
      <c r="A2" s="587" t="s">
        <v>20</v>
      </c>
      <c r="B2" s="588"/>
      <c r="C2" s="588"/>
      <c r="D2" s="588"/>
      <c r="E2" s="588"/>
      <c r="F2" s="588"/>
      <c r="G2" s="589"/>
      <c r="H2" s="590"/>
    </row>
    <row r="3" spans="1:9" ht="75" customHeight="1" x14ac:dyDescent="0.3">
      <c r="A3" s="591" t="s">
        <v>567</v>
      </c>
      <c r="B3" s="592"/>
      <c r="C3" s="592"/>
      <c r="D3" s="592"/>
      <c r="E3" s="592"/>
      <c r="F3" s="592"/>
      <c r="G3" s="593"/>
      <c r="H3" s="594"/>
    </row>
    <row r="4" spans="1:9" ht="14.1" customHeight="1" x14ac:dyDescent="0.3">
      <c r="A4" s="61"/>
      <c r="B4" s="60"/>
      <c r="C4" s="59"/>
      <c r="D4" s="59"/>
      <c r="E4" s="58"/>
      <c r="F4" s="58"/>
      <c r="G4" s="57"/>
      <c r="H4" s="56"/>
    </row>
    <row r="5" spans="1:9" ht="45.75" customHeight="1" x14ac:dyDescent="0.3">
      <c r="A5" s="55"/>
      <c r="B5" s="75" t="s">
        <v>568</v>
      </c>
      <c r="C5" s="76" t="s">
        <v>569</v>
      </c>
      <c r="D5" s="76" t="s">
        <v>570</v>
      </c>
      <c r="E5" s="76" t="s">
        <v>571</v>
      </c>
      <c r="F5" s="76" t="s">
        <v>572</v>
      </c>
      <c r="G5" s="76" t="s">
        <v>573</v>
      </c>
      <c r="H5" s="77" t="s">
        <v>26</v>
      </c>
      <c r="I5" s="77" t="s">
        <v>574</v>
      </c>
    </row>
    <row r="6" spans="1:9" ht="72" x14ac:dyDescent="0.3">
      <c r="A6" s="78">
        <v>1</v>
      </c>
      <c r="B6" s="80" t="str">
        <f>VLOOKUP(A6,'LISTA DE OFERENTES'!$A$6:$B$38,2,FALSE)</f>
        <v>CONSORCIO ESTRUCTURAS Y OBRAS</v>
      </c>
      <c r="C6" s="54" t="s">
        <v>575</v>
      </c>
      <c r="D6" s="54" t="s">
        <v>576</v>
      </c>
      <c r="E6" s="54" t="s">
        <v>575</v>
      </c>
      <c r="F6" s="54" t="s">
        <v>576</v>
      </c>
      <c r="G6" s="54"/>
      <c r="H6" s="351" t="s">
        <v>577</v>
      </c>
      <c r="I6" s="342"/>
    </row>
    <row r="7" spans="1:9" x14ac:dyDescent="0.3">
      <c r="A7" s="78">
        <v>2</v>
      </c>
      <c r="B7" s="80" t="str">
        <f>VLOOKUP(A7,'LISTA DE OFERENTES'!$A$6:$B$38,2,FALSE)</f>
        <v>HAPIL INGENIERIA SAS</v>
      </c>
      <c r="C7" s="54" t="s">
        <v>575</v>
      </c>
      <c r="D7" s="54" t="s">
        <v>575</v>
      </c>
      <c r="E7" s="54" t="s">
        <v>575</v>
      </c>
      <c r="F7" s="54" t="s">
        <v>575</v>
      </c>
      <c r="G7" s="54"/>
      <c r="H7" s="344"/>
      <c r="I7" s="342"/>
    </row>
    <row r="8" spans="1:9" x14ac:dyDescent="0.3">
      <c r="A8" s="78">
        <v>3</v>
      </c>
      <c r="B8" s="80" t="str">
        <f>VLOOKUP(A8,'LISTA DE OFERENTES'!$A$6:$B$38,2,FALSE)</f>
        <v>CONSORCIO SAN FIORANO</v>
      </c>
      <c r="C8" s="54" t="s">
        <v>575</v>
      </c>
      <c r="D8" s="54" t="s">
        <v>575</v>
      </c>
      <c r="E8" s="54" t="s">
        <v>575</v>
      </c>
      <c r="F8" s="54" t="s">
        <v>575</v>
      </c>
      <c r="G8" s="54"/>
      <c r="H8" s="344" t="s">
        <v>578</v>
      </c>
      <c r="I8" s="342"/>
    </row>
    <row r="9" spans="1:9" ht="115.2" x14ac:dyDescent="0.3">
      <c r="A9" s="78">
        <v>4</v>
      </c>
      <c r="B9" s="80" t="str">
        <f>VLOOKUP(A9,'LISTA DE OFERENTES'!$A$6:$B$38,2,FALSE)</f>
        <v>INVERSIONES GUERFOR S.A.S</v>
      </c>
      <c r="C9" s="54" t="s">
        <v>575</v>
      </c>
      <c r="D9" s="54" t="s">
        <v>575</v>
      </c>
      <c r="E9" s="54" t="s">
        <v>576</v>
      </c>
      <c r="F9" s="54" t="s">
        <v>576</v>
      </c>
      <c r="G9" s="54"/>
      <c r="H9" s="352" t="s">
        <v>579</v>
      </c>
      <c r="I9" s="342"/>
    </row>
    <row r="10" spans="1:9" x14ac:dyDescent="0.3">
      <c r="A10" s="78">
        <v>5</v>
      </c>
      <c r="B10" s="80" t="str">
        <f>VLOOKUP(A10,'LISTA DE OFERENTES'!$A$6:$B$38,2,FALSE)</f>
        <v>CONSORCIO PARQUES C&amp;A</v>
      </c>
      <c r="C10" s="54" t="s">
        <v>575</v>
      </c>
      <c r="D10" s="54" t="s">
        <v>575</v>
      </c>
      <c r="E10" s="54" t="s">
        <v>575</v>
      </c>
      <c r="F10" s="54" t="s">
        <v>575</v>
      </c>
      <c r="G10" s="54"/>
      <c r="H10" s="344" t="s">
        <v>578</v>
      </c>
      <c r="I10" s="342"/>
    </row>
    <row r="11" spans="1:9" x14ac:dyDescent="0.3">
      <c r="A11" s="78">
        <v>6</v>
      </c>
      <c r="B11" s="80" t="str">
        <f>VLOOKUP(A11,'LISTA DE OFERENTES'!$A$6:$B$38,2,FALSE)</f>
        <v>UNION TEMPORAL TUNAL 2022</v>
      </c>
      <c r="C11" s="54" t="s">
        <v>575</v>
      </c>
      <c r="D11" s="54" t="s">
        <v>576</v>
      </c>
      <c r="E11" s="54" t="s">
        <v>575</v>
      </c>
      <c r="F11" s="54" t="s">
        <v>575</v>
      </c>
      <c r="G11" s="54"/>
      <c r="H11" s="344" t="s">
        <v>578</v>
      </c>
      <c r="I11" s="342"/>
    </row>
    <row r="12" spans="1:9" x14ac:dyDescent="0.3">
      <c r="A12" s="78">
        <v>7</v>
      </c>
      <c r="B12" s="80" t="str">
        <f>VLOOKUP(A12,'LISTA DE OFERENTES'!$A$6:$B$38,2,FALSE)</f>
        <v>CONSORCIO TUNJUELO 2022</v>
      </c>
      <c r="C12" s="54" t="s">
        <v>575</v>
      </c>
      <c r="D12" s="54" t="s">
        <v>575</v>
      </c>
      <c r="E12" s="54" t="s">
        <v>575</v>
      </c>
      <c r="F12" s="54" t="s">
        <v>575</v>
      </c>
      <c r="G12" s="54"/>
      <c r="H12" s="344" t="s">
        <v>578</v>
      </c>
      <c r="I12" s="342"/>
    </row>
    <row r="13" spans="1:9" ht="28.8" x14ac:dyDescent="0.3">
      <c r="A13" s="78">
        <v>8</v>
      </c>
      <c r="B13" s="80" t="str">
        <f>VLOOKUP(A13,'LISTA DE OFERENTES'!$A$6:$B$38,2,FALSE)</f>
        <v>CONSORCIO INGENIERÍA I</v>
      </c>
      <c r="C13" s="54" t="s">
        <v>575</v>
      </c>
      <c r="D13" s="54" t="s">
        <v>575</v>
      </c>
      <c r="E13" s="54" t="s">
        <v>576</v>
      </c>
      <c r="F13" s="54" t="s">
        <v>575</v>
      </c>
      <c r="G13" s="54"/>
      <c r="H13" s="353" t="s">
        <v>580</v>
      </c>
      <c r="I13" s="342"/>
    </row>
    <row r="14" spans="1:9" x14ac:dyDescent="0.3">
      <c r="A14" s="78">
        <v>9</v>
      </c>
      <c r="B14" s="80" t="str">
        <f>VLOOKUP(A14,'LISTA DE OFERENTES'!$A$6:$B$38,2,FALSE)</f>
        <v>UNIÓN TEMPORAL BCC PARQUES BOGOTA 2022</v>
      </c>
      <c r="C14" s="54" t="s">
        <v>575</v>
      </c>
      <c r="D14" s="54" t="s">
        <v>575</v>
      </c>
      <c r="E14" s="54" t="s">
        <v>575</v>
      </c>
      <c r="F14" s="54" t="s">
        <v>575</v>
      </c>
      <c r="G14" s="54"/>
      <c r="H14" s="344" t="s">
        <v>578</v>
      </c>
      <c r="I14" s="342"/>
    </row>
    <row r="15" spans="1:9" ht="57.6" x14ac:dyDescent="0.3">
      <c r="A15" s="78">
        <v>10</v>
      </c>
      <c r="B15" s="80" t="str">
        <f>VLOOKUP(A15,'LISTA DE OFERENTES'!$A$6:$B$38,2,FALSE)</f>
        <v>LAM CONSTRUCCIONES S.A.S</v>
      </c>
      <c r="C15" s="54" t="s">
        <v>575</v>
      </c>
      <c r="D15" s="54" t="s">
        <v>575</v>
      </c>
      <c r="E15" s="54" t="s">
        <v>575</v>
      </c>
      <c r="F15" s="54" t="s">
        <v>575</v>
      </c>
      <c r="G15" s="54"/>
      <c r="H15" s="344" t="s">
        <v>581</v>
      </c>
      <c r="I15" s="342"/>
    </row>
    <row r="16" spans="1:9" ht="28.8" x14ac:dyDescent="0.3">
      <c r="A16" s="78">
        <v>11</v>
      </c>
      <c r="B16" s="80" t="str">
        <f>VLOOKUP(A16,'LISTA DE OFERENTES'!$A$6:$B$38,2,FALSE)</f>
        <v>UNION TEMPORAL PARQUE TUNAL II</v>
      </c>
      <c r="C16" s="54" t="s">
        <v>575</v>
      </c>
      <c r="D16" s="54" t="s">
        <v>575</v>
      </c>
      <c r="E16" s="54" t="s">
        <v>575</v>
      </c>
      <c r="F16" s="54" t="s">
        <v>576</v>
      </c>
      <c r="G16" s="79"/>
      <c r="H16" s="354" t="s">
        <v>582</v>
      </c>
      <c r="I16" s="342"/>
    </row>
    <row r="17" spans="1:9" ht="28.8" x14ac:dyDescent="0.3">
      <c r="A17" s="78">
        <v>12</v>
      </c>
      <c r="B17" s="80" t="str">
        <f>VLOOKUP(A17,'LISTA DE OFERENTES'!$A$6:$B$38,2,FALSE)</f>
        <v>CONSORCIO UNAL AVL-DHE</v>
      </c>
      <c r="C17" s="54" t="s">
        <v>575</v>
      </c>
      <c r="D17" s="54" t="s">
        <v>576</v>
      </c>
      <c r="E17" s="54" t="s">
        <v>575</v>
      </c>
      <c r="F17" s="54" t="s">
        <v>575</v>
      </c>
      <c r="G17" s="79"/>
      <c r="H17" s="344" t="s">
        <v>325</v>
      </c>
      <c r="I17" s="342"/>
    </row>
    <row r="18" spans="1:9" x14ac:dyDescent="0.3">
      <c r="A18" s="78">
        <v>13</v>
      </c>
      <c r="B18" s="80" t="str">
        <f>VLOOKUP(A18,'LISTA DE OFERENTES'!$A$6:$B$38,2,FALSE)</f>
        <v>CONSORCIO VALHER</v>
      </c>
      <c r="C18" s="54" t="s">
        <v>575</v>
      </c>
      <c r="D18" s="54" t="s">
        <v>575</v>
      </c>
      <c r="E18" s="54" t="s">
        <v>575</v>
      </c>
      <c r="F18" s="54" t="s">
        <v>575</v>
      </c>
      <c r="G18" s="54"/>
      <c r="H18" s="344" t="s">
        <v>578</v>
      </c>
      <c r="I18" s="342"/>
    </row>
    <row r="19" spans="1:9" x14ac:dyDescent="0.3">
      <c r="A19" s="78">
        <v>14</v>
      </c>
      <c r="B19" s="80" t="str">
        <f>VLOOKUP(A19,'LISTA DE OFERENTES'!$A$6:$B$38,2,FALSE)</f>
        <v>PAVIMENTOS TECNICOS SAS</v>
      </c>
      <c r="C19" s="54" t="s">
        <v>575</v>
      </c>
      <c r="D19" s="54" t="s">
        <v>575</v>
      </c>
      <c r="E19" s="54" t="s">
        <v>575</v>
      </c>
      <c r="F19" s="54" t="s">
        <v>575</v>
      </c>
      <c r="G19" s="54"/>
      <c r="H19" s="344" t="s">
        <v>578</v>
      </c>
      <c r="I19" s="342"/>
    </row>
    <row r="20" spans="1:9" x14ac:dyDescent="0.3">
      <c r="A20" s="78">
        <v>15</v>
      </c>
      <c r="B20" s="80" t="str">
        <f>VLOOKUP(A20,'LISTA DE OFERENTES'!$A$6:$B$38,2,FALSE)</f>
        <v>GESTION RURAL Y URBANA SAS</v>
      </c>
      <c r="C20" s="54" t="s">
        <v>575</v>
      </c>
      <c r="D20" s="54" t="s">
        <v>575</v>
      </c>
      <c r="E20" s="54" t="s">
        <v>575</v>
      </c>
      <c r="F20" s="54" t="s">
        <v>575</v>
      </c>
      <c r="G20" s="54"/>
      <c r="H20" s="344" t="s">
        <v>578</v>
      </c>
      <c r="I20" s="342"/>
    </row>
    <row r="21" spans="1:9" x14ac:dyDescent="0.3">
      <c r="A21" s="78">
        <v>16</v>
      </c>
      <c r="B21" s="80" t="str">
        <f>VLOOKUP(A21,'LISTA DE OFERENTES'!$A$6:$B$38,2,FALSE)</f>
        <v>ESTUDIOS E INGENIERIA SAS</v>
      </c>
      <c r="C21" s="54" t="s">
        <v>575</v>
      </c>
      <c r="D21" s="54" t="s">
        <v>575</v>
      </c>
      <c r="E21" s="54" t="s">
        <v>575</v>
      </c>
      <c r="F21" s="54" t="s">
        <v>575</v>
      </c>
      <c r="G21" s="54"/>
      <c r="H21" s="344" t="s">
        <v>578</v>
      </c>
      <c r="I21" s="342"/>
    </row>
    <row r="22" spans="1:9" x14ac:dyDescent="0.3">
      <c r="A22" s="78">
        <v>17</v>
      </c>
      <c r="B22" s="80" t="str">
        <f>VLOOKUP(A22,'LISTA DE OFERENTES'!$A$6:$B$38,2,FALSE)</f>
        <v>UNIOBRAS SAS</v>
      </c>
      <c r="C22" s="54" t="s">
        <v>575</v>
      </c>
      <c r="D22" s="54" t="s">
        <v>575</v>
      </c>
      <c r="E22" s="54" t="s">
        <v>575</v>
      </c>
      <c r="F22" s="54" t="s">
        <v>575</v>
      </c>
      <c r="G22" s="54"/>
      <c r="H22" s="344" t="s">
        <v>578</v>
      </c>
      <c r="I22" s="342"/>
    </row>
    <row r="23" spans="1:9" ht="28.8" x14ac:dyDescent="0.3">
      <c r="A23" s="78">
        <v>18</v>
      </c>
      <c r="B23" s="80" t="str">
        <f>VLOOKUP(A23,'LISTA DE OFERENTES'!$A$6:$B$38,2,FALSE)</f>
        <v>CONSORCIO MRTITANIUM</v>
      </c>
      <c r="C23" s="54" t="s">
        <v>575</v>
      </c>
      <c r="D23" s="54" t="s">
        <v>575</v>
      </c>
      <c r="E23" s="54" t="s">
        <v>575</v>
      </c>
      <c r="F23" s="54" t="s">
        <v>575</v>
      </c>
      <c r="G23" s="54"/>
      <c r="H23" s="344" t="s">
        <v>583</v>
      </c>
      <c r="I23" s="342"/>
    </row>
    <row r="24" spans="1:9" x14ac:dyDescent="0.3">
      <c r="A24" s="78">
        <v>19</v>
      </c>
      <c r="B24" s="80" t="str">
        <f>VLOOKUP(A24,'LISTA DE OFERENTES'!$A$6:$B$38,2,FALSE)</f>
        <v>MAMUT ACERO Y CONCRETO SAS</v>
      </c>
      <c r="C24" s="54" t="s">
        <v>575</v>
      </c>
      <c r="D24" s="54" t="s">
        <v>575</v>
      </c>
      <c r="E24" s="54" t="s">
        <v>575</v>
      </c>
      <c r="F24" s="54" t="s">
        <v>575</v>
      </c>
      <c r="G24" s="54"/>
      <c r="H24" s="344" t="s">
        <v>578</v>
      </c>
      <c r="I24" s="342"/>
    </row>
    <row r="25" spans="1:9" x14ac:dyDescent="0.3">
      <c r="A25" s="78">
        <v>20</v>
      </c>
      <c r="B25" s="80" t="str">
        <f>VLOOKUP(A25,'LISTA DE OFERENTES'!$A$6:$B$38,2,FALSE)</f>
        <v>PROYECTOS E INGENIERIA DE VIAS SAS-PROINVIAS SAS</v>
      </c>
      <c r="C25" s="54" t="s">
        <v>575</v>
      </c>
      <c r="D25" s="217" t="s">
        <v>576</v>
      </c>
      <c r="E25" s="54" t="s">
        <v>575</v>
      </c>
      <c r="F25" s="54" t="s">
        <v>575</v>
      </c>
      <c r="G25" s="54"/>
      <c r="H25" s="344" t="s">
        <v>578</v>
      </c>
      <c r="I25" s="342"/>
    </row>
    <row r="26" spans="1:9" ht="72" x14ac:dyDescent="0.3">
      <c r="A26" s="78">
        <v>21</v>
      </c>
      <c r="B26" s="80" t="str">
        <f>VLOOKUP(A26,'LISTA DE OFERENTES'!$A$6:$B$38,2,FALSE)</f>
        <v>CARLOS ARTURO VERGARA NEGRETE</v>
      </c>
      <c r="C26" s="54" t="s">
        <v>575</v>
      </c>
      <c r="D26" s="217" t="s">
        <v>576</v>
      </c>
      <c r="E26" s="54" t="s">
        <v>575</v>
      </c>
      <c r="F26" s="262" t="s">
        <v>575</v>
      </c>
      <c r="G26" s="54"/>
      <c r="H26" s="343" t="s">
        <v>584</v>
      </c>
      <c r="I26" s="355"/>
    </row>
    <row r="27" spans="1:9" ht="43.2" x14ac:dyDescent="0.3">
      <c r="A27" s="78">
        <v>22</v>
      </c>
      <c r="B27" s="341" t="str">
        <f>VLOOKUP(A27,'LISTA DE OFERENTES'!$A$6:$B$38,2,FALSE)</f>
        <v>CJS INGENIERIA SAS</v>
      </c>
      <c r="C27" s="54" t="s">
        <v>575</v>
      </c>
      <c r="D27" s="217" t="s">
        <v>576</v>
      </c>
      <c r="E27" s="262" t="s">
        <v>575</v>
      </c>
      <c r="F27" s="54" t="s">
        <v>575</v>
      </c>
      <c r="G27" s="79"/>
      <c r="H27" s="344" t="s">
        <v>585</v>
      </c>
      <c r="I27" s="342"/>
    </row>
    <row r="28" spans="1:9" ht="57.6" x14ac:dyDescent="0.3">
      <c r="A28" s="78">
        <v>23</v>
      </c>
      <c r="B28" s="80" t="str">
        <f>VLOOKUP(A28,'LISTA DE OFERENTES'!$A$6:$B$38,2,FALSE)</f>
        <v>CONSORCIO VECINAL GC</v>
      </c>
      <c r="C28" s="54" t="s">
        <v>575</v>
      </c>
      <c r="D28" s="54" t="s">
        <v>575</v>
      </c>
      <c r="E28" s="54" t="s">
        <v>575</v>
      </c>
      <c r="F28" s="262" t="s">
        <v>586</v>
      </c>
      <c r="G28" s="54"/>
      <c r="H28" s="343" t="s">
        <v>587</v>
      </c>
      <c r="I28" s="342"/>
    </row>
    <row r="29" spans="1:9" ht="43.2" x14ac:dyDescent="0.3">
      <c r="A29" s="78">
        <v>24</v>
      </c>
      <c r="B29" s="341" t="str">
        <f>VLOOKUP(A29,'LISTA DE OFERENTES'!$A$6:$B$38,2,FALSE)</f>
        <v>BYR CONSTRUCCIONES SAS</v>
      </c>
      <c r="C29" s="54" t="s">
        <v>575</v>
      </c>
      <c r="D29" s="217" t="s">
        <v>576</v>
      </c>
      <c r="E29" s="54" t="s">
        <v>575</v>
      </c>
      <c r="F29" s="54" t="s">
        <v>575</v>
      </c>
      <c r="G29" s="79"/>
      <c r="H29" s="343" t="s">
        <v>588</v>
      </c>
      <c r="I29" s="342"/>
    </row>
    <row r="30" spans="1:9" ht="43.2" x14ac:dyDescent="0.3">
      <c r="A30" s="78">
        <v>25</v>
      </c>
      <c r="B30" s="80" t="str">
        <f>VLOOKUP(A30,'LISTA DE OFERENTES'!$A$6:$B$38,2,FALSE)</f>
        <v>CONSORCIO PANORAMA</v>
      </c>
      <c r="C30" s="54" t="s">
        <v>575</v>
      </c>
      <c r="D30" s="217" t="s">
        <v>576</v>
      </c>
      <c r="E30" s="54" t="s">
        <v>575</v>
      </c>
      <c r="F30" s="264" t="s">
        <v>575</v>
      </c>
      <c r="G30" s="54"/>
      <c r="H30" s="344" t="s">
        <v>588</v>
      </c>
      <c r="I30" s="342"/>
    </row>
    <row r="31" spans="1:9" ht="57.6" x14ac:dyDescent="0.3">
      <c r="A31" s="78">
        <v>26</v>
      </c>
      <c r="B31" s="80" t="str">
        <f>VLOOKUP(A31,'LISTA DE OFERENTES'!$A$6:$B$38,2,FALSE)</f>
        <v xml:space="preserve">UNIOBRAS DEL ORIENTE SAS </v>
      </c>
      <c r="C31" s="54" t="s">
        <v>575</v>
      </c>
      <c r="D31" s="217" t="s">
        <v>576</v>
      </c>
      <c r="E31" s="217" t="s">
        <v>576</v>
      </c>
      <c r="F31" s="54" t="s">
        <v>586</v>
      </c>
      <c r="G31" s="54"/>
      <c r="H31" s="344" t="s">
        <v>589</v>
      </c>
      <c r="I31" s="342"/>
    </row>
    <row r="32" spans="1:9" ht="120" customHeight="1" x14ac:dyDescent="0.3">
      <c r="A32" s="78">
        <v>27</v>
      </c>
      <c r="B32" s="341" t="str">
        <f>VLOOKUP(A32,'LISTA DE OFERENTES'!$A$6:$B$38,2,FALSE)</f>
        <v>CONSORCIO TUNAL CL</v>
      </c>
      <c r="C32" s="54" t="s">
        <v>575</v>
      </c>
      <c r="D32" s="217" t="s">
        <v>576</v>
      </c>
      <c r="E32" s="356" t="s">
        <v>576</v>
      </c>
      <c r="F32" s="356" t="s">
        <v>576</v>
      </c>
      <c r="G32" s="79"/>
      <c r="H32" s="345" t="s">
        <v>590</v>
      </c>
      <c r="I32" s="357" t="s">
        <v>591</v>
      </c>
    </row>
    <row r="33" spans="1:9" ht="43.2" x14ac:dyDescent="0.3">
      <c r="A33" s="78">
        <v>28</v>
      </c>
      <c r="B33" s="80" t="str">
        <f>VLOOKUP(A33,'LISTA DE OFERENTES'!$A$6:$B$38,2,FALSE)</f>
        <v xml:space="preserve">MAURICIO RAFAEL PABA PINZON </v>
      </c>
      <c r="C33" s="54" t="s">
        <v>575</v>
      </c>
      <c r="D33" s="54" t="s">
        <v>575</v>
      </c>
      <c r="E33" s="54" t="s">
        <v>575</v>
      </c>
      <c r="F33" s="217" t="s">
        <v>576</v>
      </c>
      <c r="G33" s="267"/>
      <c r="H33" s="346" t="s">
        <v>592</v>
      </c>
      <c r="I33" s="342"/>
    </row>
    <row r="34" spans="1:9" ht="159" customHeight="1" x14ac:dyDescent="0.3">
      <c r="A34" s="78">
        <v>29</v>
      </c>
      <c r="B34" s="80" t="str">
        <f>VLOOKUP(A34,'LISTA DE OFERENTES'!$A$6:$B$38,2,FALSE)</f>
        <v>CONSORCIO CDJ 05</v>
      </c>
      <c r="C34" s="54" t="s">
        <v>575</v>
      </c>
      <c r="D34" s="54" t="s">
        <v>575</v>
      </c>
      <c r="E34" s="268" t="s">
        <v>576</v>
      </c>
      <c r="F34" s="217" t="s">
        <v>576</v>
      </c>
      <c r="G34" s="54"/>
      <c r="H34" s="347" t="s">
        <v>593</v>
      </c>
      <c r="I34" s="342"/>
    </row>
    <row r="35" spans="1:9" ht="242.25" customHeight="1" x14ac:dyDescent="0.3">
      <c r="A35" s="78">
        <v>30</v>
      </c>
      <c r="B35" s="341" t="str">
        <f>+'LISTA DE OFERENTES'!B35</f>
        <v>CONSORCIO PARQUES INLF</v>
      </c>
      <c r="C35" s="54" t="s">
        <v>575</v>
      </c>
      <c r="D35" s="217" t="s">
        <v>576</v>
      </c>
      <c r="E35" s="266" t="s">
        <v>576</v>
      </c>
      <c r="F35" s="262" t="s">
        <v>575</v>
      </c>
      <c r="G35" s="54"/>
      <c r="H35" s="348" t="s">
        <v>594</v>
      </c>
      <c r="I35" s="342"/>
    </row>
    <row r="36" spans="1:9" ht="28.8" x14ac:dyDescent="0.3">
      <c r="A36" s="78">
        <v>31</v>
      </c>
      <c r="B36" s="80" t="str">
        <f>VLOOKUP(A36,'LISTA DE OFERENTES'!$A$6:$B$38,2,FALSE)</f>
        <v>CONSORCIO CONSTRUC. PARQUE TUNAL II</v>
      </c>
      <c r="C36" s="54" t="s">
        <v>575</v>
      </c>
      <c r="D36" s="54" t="s">
        <v>575</v>
      </c>
      <c r="E36" s="312" t="s">
        <v>575</v>
      </c>
      <c r="F36" s="54" t="s">
        <v>576</v>
      </c>
      <c r="G36" s="54"/>
      <c r="H36" s="349" t="s">
        <v>595</v>
      </c>
      <c r="I36" s="342"/>
    </row>
    <row r="37" spans="1:9" ht="28.8" x14ac:dyDescent="0.3">
      <c r="A37" s="78">
        <v>32</v>
      </c>
      <c r="B37" s="80" t="str">
        <f>VLOOKUP(A37,'LISTA DE OFERENTES'!$A$6:$B$38,2,FALSE)</f>
        <v>CONSORCIO TUNALITO</v>
      </c>
      <c r="C37" s="54" t="s">
        <v>575</v>
      </c>
      <c r="D37" s="54" t="s">
        <v>575</v>
      </c>
      <c r="E37" s="312" t="s">
        <v>575</v>
      </c>
      <c r="F37" s="54" t="s">
        <v>576</v>
      </c>
      <c r="G37" s="54"/>
      <c r="H37" s="349" t="s">
        <v>595</v>
      </c>
      <c r="I37" s="342"/>
    </row>
    <row r="38" spans="1:9" x14ac:dyDescent="0.3">
      <c r="A38" s="78">
        <v>33</v>
      </c>
      <c r="B38" s="80" t="str">
        <f>VLOOKUP(A38,'LISTA DE OFERENTES'!$A$6:$B$38,2,FALSE)</f>
        <v>CONSORCIO EL TUNAL V4G</v>
      </c>
      <c r="C38" s="54" t="s">
        <v>575</v>
      </c>
      <c r="D38" s="217" t="s">
        <v>576</v>
      </c>
      <c r="E38" s="326" t="s">
        <v>575</v>
      </c>
      <c r="F38" s="54" t="s">
        <v>575</v>
      </c>
      <c r="G38" s="54"/>
      <c r="H38" s="350"/>
      <c r="I38" s="342"/>
    </row>
    <row r="39" spans="1:9" x14ac:dyDescent="0.3">
      <c r="A39" s="78">
        <v>34</v>
      </c>
      <c r="B39" s="80" t="str">
        <f>VLOOKUP(A39,'LISTA DE OFERENTES'!$A$6:$B$43,2,FALSE)</f>
        <v>PANAM INGENIEROS SAS</v>
      </c>
      <c r="C39" s="54" t="s">
        <v>575</v>
      </c>
      <c r="D39" s="217" t="s">
        <v>576</v>
      </c>
      <c r="E39" s="312" t="s">
        <v>575</v>
      </c>
      <c r="F39" s="54" t="s">
        <v>575</v>
      </c>
      <c r="G39" s="79"/>
      <c r="H39" s="350"/>
      <c r="I39" s="342"/>
    </row>
    <row r="40" spans="1:9" x14ac:dyDescent="0.3">
      <c r="A40" s="78">
        <v>35</v>
      </c>
      <c r="B40" s="80" t="str">
        <f>VLOOKUP(A40,'LISTA DE OFERENTES'!$A$6:$B$43,2,FALSE)</f>
        <v>CONSORCIO TUNJUELITO VHJ</v>
      </c>
      <c r="C40" s="54" t="s">
        <v>575</v>
      </c>
      <c r="D40" s="217" t="s">
        <v>576</v>
      </c>
      <c r="E40" s="312" t="s">
        <v>575</v>
      </c>
      <c r="F40" s="335" t="s">
        <v>575</v>
      </c>
      <c r="G40" s="54"/>
      <c r="H40" s="349"/>
      <c r="I40" s="342"/>
    </row>
    <row r="41" spans="1:9" ht="28.8" x14ac:dyDescent="0.3">
      <c r="A41" s="78">
        <v>36</v>
      </c>
      <c r="B41" s="80" t="str">
        <f>VLOOKUP(A41,'LISTA DE OFERENTES'!$A$6:$B$43,2,FALSE)</f>
        <v>CONSORCIO PARQUE VECINAL 2022</v>
      </c>
      <c r="C41" s="54" t="s">
        <v>575</v>
      </c>
      <c r="D41" s="217" t="s">
        <v>576</v>
      </c>
      <c r="E41" s="336" t="s">
        <v>575</v>
      </c>
      <c r="F41" s="335" t="s">
        <v>576</v>
      </c>
      <c r="G41" s="54"/>
      <c r="H41" s="349" t="s">
        <v>595</v>
      </c>
      <c r="I41" s="342"/>
    </row>
    <row r="42" spans="1:9" ht="57.6" x14ac:dyDescent="0.3">
      <c r="A42" s="78">
        <v>37</v>
      </c>
      <c r="B42" s="80" t="str">
        <f>VLOOKUP(A42,'LISTA DE OFERENTES'!$A$6:$B$43,2,FALSE)</f>
        <v>CONSORCIO PARQUE CAIS2022</v>
      </c>
      <c r="C42" s="54" t="s">
        <v>575</v>
      </c>
      <c r="D42" s="217" t="s">
        <v>576</v>
      </c>
      <c r="E42" s="337" t="s">
        <v>576</v>
      </c>
      <c r="F42" s="338" t="s">
        <v>575</v>
      </c>
      <c r="G42" s="54"/>
      <c r="H42" s="349" t="s">
        <v>524</v>
      </c>
      <c r="I42" s="342"/>
    </row>
    <row r="43" spans="1:9" ht="28.8" x14ac:dyDescent="0.3">
      <c r="A43" s="78">
        <v>38</v>
      </c>
      <c r="B43" s="80" t="str">
        <f>VLOOKUP(A43,'LISTA DE OFERENTES'!$A$6:$B$43,2,FALSE)</f>
        <v>PHVA CONSTRUCTORES SAS</v>
      </c>
      <c r="C43" s="54" t="s">
        <v>575</v>
      </c>
      <c r="D43" s="54" t="s">
        <v>575</v>
      </c>
      <c r="E43" s="336" t="s">
        <v>575</v>
      </c>
      <c r="F43" s="338" t="s">
        <v>576</v>
      </c>
      <c r="G43" s="54"/>
      <c r="H43" s="349" t="s">
        <v>595</v>
      </c>
      <c r="I43" s="342"/>
    </row>
  </sheetData>
  <autoFilter ref="A5:M38" xr:uid="{00000000-0009-0000-0000-000004000000}"/>
  <mergeCells count="3">
    <mergeCell ref="A1:H1"/>
    <mergeCell ref="A2:H2"/>
    <mergeCell ref="A3:H3"/>
  </mergeCells>
  <conditionalFormatting sqref="G7">
    <cfRule type="containsText" dxfId="277" priority="103" operator="containsText" text="NO HABIL">
      <formula>NOT(ISERROR(SEARCH("NO HABIL",G7)))</formula>
    </cfRule>
    <cfRule type="containsText" dxfId="276" priority="104" operator="containsText" text="NO HABIL ">
      <formula>NOT(ISERROR(SEARCH("NO HABIL ",G7)))</formula>
    </cfRule>
  </conditionalFormatting>
  <conditionalFormatting sqref="G8">
    <cfRule type="containsText" dxfId="275" priority="101" operator="containsText" text="NO HABIL">
      <formula>NOT(ISERROR(SEARCH("NO HABIL",G8)))</formula>
    </cfRule>
    <cfRule type="containsText" dxfId="274" priority="102" operator="containsText" text="NO HABIL ">
      <formula>NOT(ISERROR(SEARCH("NO HABIL ",G8)))</formula>
    </cfRule>
  </conditionalFormatting>
  <conditionalFormatting sqref="G9">
    <cfRule type="containsText" dxfId="273" priority="99" operator="containsText" text="NO HABIL">
      <formula>NOT(ISERROR(SEARCH("NO HABIL",G9)))</formula>
    </cfRule>
    <cfRule type="containsText" dxfId="272" priority="100" operator="containsText" text="NO HABIL ">
      <formula>NOT(ISERROR(SEARCH("NO HABIL ",G9)))</formula>
    </cfRule>
  </conditionalFormatting>
  <conditionalFormatting sqref="G10">
    <cfRule type="containsText" dxfId="271" priority="97" operator="containsText" text="NO HABIL">
      <formula>NOT(ISERROR(SEARCH("NO HABIL",G10)))</formula>
    </cfRule>
    <cfRule type="containsText" dxfId="270" priority="98" operator="containsText" text="NO HABIL ">
      <formula>NOT(ISERROR(SEARCH("NO HABIL ",G10)))</formula>
    </cfRule>
  </conditionalFormatting>
  <conditionalFormatting sqref="G11">
    <cfRule type="containsText" dxfId="269" priority="95" operator="containsText" text="NO HABIL">
      <formula>NOT(ISERROR(SEARCH("NO HABIL",G11)))</formula>
    </cfRule>
    <cfRule type="containsText" dxfId="268" priority="96" operator="containsText" text="NO HABIL ">
      <formula>NOT(ISERROR(SEARCH("NO HABIL ",G11)))</formula>
    </cfRule>
  </conditionalFormatting>
  <conditionalFormatting sqref="G13">
    <cfRule type="containsText" dxfId="267" priority="93" operator="containsText" text="NO HABIL">
      <formula>NOT(ISERROR(SEARCH("NO HABIL",G13)))</formula>
    </cfRule>
    <cfRule type="containsText" dxfId="266" priority="94" operator="containsText" text="NO HABIL ">
      <formula>NOT(ISERROR(SEARCH("NO HABIL ",G13)))</formula>
    </cfRule>
  </conditionalFormatting>
  <conditionalFormatting sqref="G14">
    <cfRule type="containsText" dxfId="265" priority="91" operator="containsText" text="NO HABIL">
      <formula>NOT(ISERROR(SEARCH("NO HABIL",G14)))</formula>
    </cfRule>
    <cfRule type="containsText" dxfId="264" priority="92" operator="containsText" text="NO HABIL ">
      <formula>NOT(ISERROR(SEARCH("NO HABIL ",G14)))</formula>
    </cfRule>
  </conditionalFormatting>
  <conditionalFormatting sqref="G15">
    <cfRule type="containsText" dxfId="263" priority="89" operator="containsText" text="NO HABIL">
      <formula>NOT(ISERROR(SEARCH("NO HABIL",G15)))</formula>
    </cfRule>
    <cfRule type="containsText" dxfId="262" priority="90" operator="containsText" text="NO HABIL ">
      <formula>NOT(ISERROR(SEARCH("NO HABIL ",G15)))</formula>
    </cfRule>
  </conditionalFormatting>
  <conditionalFormatting sqref="G18">
    <cfRule type="containsText" dxfId="261" priority="87" operator="containsText" text="NO HABIL">
      <formula>NOT(ISERROR(SEARCH("NO HABIL",G18)))</formula>
    </cfRule>
    <cfRule type="containsText" dxfId="260" priority="88" operator="containsText" text="NO HABIL ">
      <formula>NOT(ISERROR(SEARCH("NO HABIL ",G18)))</formula>
    </cfRule>
  </conditionalFormatting>
  <conditionalFormatting sqref="G19">
    <cfRule type="containsText" dxfId="259" priority="85" operator="containsText" text="NO HABIL">
      <formula>NOT(ISERROR(SEARCH("NO HABIL",G19)))</formula>
    </cfRule>
    <cfRule type="containsText" dxfId="258" priority="86" operator="containsText" text="NO HABIL ">
      <formula>NOT(ISERROR(SEARCH("NO HABIL ",G19)))</formula>
    </cfRule>
  </conditionalFormatting>
  <conditionalFormatting sqref="G20">
    <cfRule type="containsText" dxfId="257" priority="83" operator="containsText" text="NO HABIL">
      <formula>NOT(ISERROR(SEARCH("NO HABIL",G20)))</formula>
    </cfRule>
    <cfRule type="containsText" dxfId="256" priority="84" operator="containsText" text="NO HABIL ">
      <formula>NOT(ISERROR(SEARCH("NO HABIL ",G20)))</formula>
    </cfRule>
  </conditionalFormatting>
  <conditionalFormatting sqref="G21">
    <cfRule type="containsText" dxfId="255" priority="81" operator="containsText" text="NO HABIL">
      <formula>NOT(ISERROR(SEARCH("NO HABIL",G21)))</formula>
    </cfRule>
    <cfRule type="containsText" dxfId="254" priority="82" operator="containsText" text="NO HABIL ">
      <formula>NOT(ISERROR(SEARCH("NO HABIL ",G21)))</formula>
    </cfRule>
  </conditionalFormatting>
  <conditionalFormatting sqref="G22">
    <cfRule type="containsText" dxfId="253" priority="79" operator="containsText" text="NO HABIL">
      <formula>NOT(ISERROR(SEARCH("NO HABIL",G22)))</formula>
    </cfRule>
    <cfRule type="containsText" dxfId="252" priority="80" operator="containsText" text="NO HABIL ">
      <formula>NOT(ISERROR(SEARCH("NO HABIL ",G22)))</formula>
    </cfRule>
  </conditionalFormatting>
  <conditionalFormatting sqref="G23">
    <cfRule type="containsText" dxfId="251" priority="77" operator="containsText" text="NO HABIL">
      <formula>NOT(ISERROR(SEARCH("NO HABIL",G23)))</formula>
    </cfRule>
    <cfRule type="containsText" dxfId="250" priority="78" operator="containsText" text="NO HABIL ">
      <formula>NOT(ISERROR(SEARCH("NO HABIL ",G23)))</formula>
    </cfRule>
  </conditionalFormatting>
  <conditionalFormatting sqref="G24">
    <cfRule type="containsText" dxfId="249" priority="75" operator="containsText" text="NO HABIL">
      <formula>NOT(ISERROR(SEARCH("NO HABIL",G24)))</formula>
    </cfRule>
    <cfRule type="containsText" dxfId="248" priority="76" operator="containsText" text="NO HABIL ">
      <formula>NOT(ISERROR(SEARCH("NO HABIL ",G24)))</formula>
    </cfRule>
  </conditionalFormatting>
  <conditionalFormatting sqref="G35">
    <cfRule type="containsText" dxfId="247" priority="61" operator="containsText" text="NO HABIL">
      <formula>NOT(ISERROR(SEARCH("NO HABIL",G35)))</formula>
    </cfRule>
    <cfRule type="containsText" dxfId="246" priority="62" operator="containsText" text="NO HABIL ">
      <formula>NOT(ISERROR(SEARCH("NO HABIL ",G35)))</formula>
    </cfRule>
  </conditionalFormatting>
  <conditionalFormatting sqref="G25">
    <cfRule type="containsText" dxfId="245" priority="73" operator="containsText" text="NO HABIL">
      <formula>NOT(ISERROR(SEARCH("NO HABIL",G25)))</formula>
    </cfRule>
    <cfRule type="containsText" dxfId="244" priority="74" operator="containsText" text="NO HABIL ">
      <formula>NOT(ISERROR(SEARCH("NO HABIL ",G25)))</formula>
    </cfRule>
  </conditionalFormatting>
  <conditionalFormatting sqref="G26">
    <cfRule type="containsText" dxfId="243" priority="71" operator="containsText" text="NO HABIL">
      <formula>NOT(ISERROR(SEARCH("NO HABIL",G26)))</formula>
    </cfRule>
    <cfRule type="containsText" dxfId="242" priority="72" operator="containsText" text="NO HABIL ">
      <formula>NOT(ISERROR(SEARCH("NO HABIL ",G26)))</formula>
    </cfRule>
  </conditionalFormatting>
  <conditionalFormatting sqref="G28">
    <cfRule type="containsText" dxfId="241" priority="69" operator="containsText" text="NO HABIL">
      <formula>NOT(ISERROR(SEARCH("NO HABIL",G28)))</formula>
    </cfRule>
    <cfRule type="containsText" dxfId="240" priority="70" operator="containsText" text="NO HABIL ">
      <formula>NOT(ISERROR(SEARCH("NO HABIL ",G28)))</formula>
    </cfRule>
  </conditionalFormatting>
  <conditionalFormatting sqref="G30">
    <cfRule type="containsText" dxfId="239" priority="67" operator="containsText" text="NO HABIL">
      <formula>NOT(ISERROR(SEARCH("NO HABIL",G30)))</formula>
    </cfRule>
    <cfRule type="containsText" dxfId="238" priority="68" operator="containsText" text="NO HABIL ">
      <formula>NOT(ISERROR(SEARCH("NO HABIL ",G30)))</formula>
    </cfRule>
  </conditionalFormatting>
  <conditionalFormatting sqref="G31">
    <cfRule type="containsText" dxfId="237" priority="65" operator="containsText" text="NO HABIL">
      <formula>NOT(ISERROR(SEARCH("NO HABIL",G31)))</formula>
    </cfRule>
    <cfRule type="containsText" dxfId="236" priority="66" operator="containsText" text="NO HABIL ">
      <formula>NOT(ISERROR(SEARCH("NO HABIL ",G31)))</formula>
    </cfRule>
  </conditionalFormatting>
  <conditionalFormatting sqref="G34">
    <cfRule type="containsText" dxfId="235" priority="63" operator="containsText" text="NO HABIL">
      <formula>NOT(ISERROR(SEARCH("NO HABIL",G34)))</formula>
    </cfRule>
    <cfRule type="containsText" dxfId="234" priority="64" operator="containsText" text="NO HABIL ">
      <formula>NOT(ISERROR(SEARCH("NO HABIL ",G34)))</formula>
    </cfRule>
  </conditionalFormatting>
  <conditionalFormatting sqref="G36">
    <cfRule type="containsText" dxfId="233" priority="59" operator="containsText" text="NO HABIL">
      <formula>NOT(ISERROR(SEARCH("NO HABIL",G36)))</formula>
    </cfRule>
    <cfRule type="containsText" dxfId="232" priority="60" operator="containsText" text="NO HABIL ">
      <formula>NOT(ISERROR(SEARCH("NO HABIL ",G36)))</formula>
    </cfRule>
  </conditionalFormatting>
  <conditionalFormatting sqref="G37">
    <cfRule type="containsText" dxfId="231" priority="57" operator="containsText" text="NO HABIL">
      <formula>NOT(ISERROR(SEARCH("NO HABIL",G37)))</formula>
    </cfRule>
    <cfRule type="containsText" dxfId="230" priority="58" operator="containsText" text="NO HABIL ">
      <formula>NOT(ISERROR(SEARCH("NO HABIL ",G37)))</formula>
    </cfRule>
  </conditionalFormatting>
  <conditionalFormatting sqref="G38">
    <cfRule type="containsText" dxfId="229" priority="55" operator="containsText" text="NO HABIL">
      <formula>NOT(ISERROR(SEARCH("NO HABIL",G38)))</formula>
    </cfRule>
    <cfRule type="containsText" dxfId="228" priority="56" operator="containsText" text="NO HABIL ">
      <formula>NOT(ISERROR(SEARCH("NO HABIL ",G38)))</formula>
    </cfRule>
  </conditionalFormatting>
  <conditionalFormatting sqref="D6:F6 F7:F38">
    <cfRule type="containsText" dxfId="227" priority="107" operator="containsText" text="NO HABIL">
      <formula>NOT(ISERROR(SEARCH("NO HABIL",D6)))</formula>
    </cfRule>
    <cfRule type="containsText" dxfId="226" priority="108" operator="containsText" text="NO HABIL ">
      <formula>NOT(ISERROR(SEARCH("NO HABIL ",D6)))</formula>
    </cfRule>
  </conditionalFormatting>
  <conditionalFormatting sqref="G6">
    <cfRule type="containsText" dxfId="225" priority="105" operator="containsText" text="NO HABIL">
      <formula>NOT(ISERROR(SEARCH("NO HABIL",G6)))</formula>
    </cfRule>
    <cfRule type="containsText" dxfId="224" priority="106" operator="containsText" text="NO HABIL ">
      <formula>NOT(ISERROR(SEARCH("NO HABIL ",G6)))</formula>
    </cfRule>
  </conditionalFormatting>
  <conditionalFormatting sqref="G12">
    <cfRule type="containsText" dxfId="223" priority="53" operator="containsText" text="NO HABIL">
      <formula>NOT(ISERROR(SEARCH("NO HABIL",G12)))</formula>
    </cfRule>
    <cfRule type="containsText" dxfId="222" priority="54" operator="containsText" text="NO HABIL ">
      <formula>NOT(ISERROR(SEARCH("NO HABIL ",G12)))</formula>
    </cfRule>
  </conditionalFormatting>
  <conditionalFormatting sqref="E7:E35">
    <cfRule type="containsText" dxfId="221" priority="51" operator="containsText" text="NO HABIL">
      <formula>NOT(ISERROR(SEARCH("NO HABIL",E7)))</formula>
    </cfRule>
    <cfRule type="containsText" dxfId="220" priority="52" operator="containsText" text="NO HABIL ">
      <formula>NOT(ISERROR(SEARCH("NO HABIL ",E7)))</formula>
    </cfRule>
  </conditionalFormatting>
  <conditionalFormatting sqref="G41">
    <cfRule type="containsText" dxfId="219" priority="45" operator="containsText" text="NO HABIL">
      <formula>NOT(ISERROR(SEARCH("NO HABIL",G41)))</formula>
    </cfRule>
    <cfRule type="containsText" dxfId="218" priority="46" operator="containsText" text="NO HABIL ">
      <formula>NOT(ISERROR(SEARCH("NO HABIL ",G41)))</formula>
    </cfRule>
  </conditionalFormatting>
  <conditionalFormatting sqref="G40">
    <cfRule type="containsText" dxfId="217" priority="47" operator="containsText" text="NO HABIL">
      <formula>NOT(ISERROR(SEARCH("NO HABIL",G40)))</formula>
    </cfRule>
    <cfRule type="containsText" dxfId="216" priority="48" operator="containsText" text="NO HABIL ">
      <formula>NOT(ISERROR(SEARCH("NO HABIL ",G40)))</formula>
    </cfRule>
  </conditionalFormatting>
  <conditionalFormatting sqref="G42">
    <cfRule type="containsText" dxfId="215" priority="43" operator="containsText" text="NO HABIL">
      <formula>NOT(ISERROR(SEARCH("NO HABIL",G42)))</formula>
    </cfRule>
    <cfRule type="containsText" dxfId="214" priority="44" operator="containsText" text="NO HABIL ">
      <formula>NOT(ISERROR(SEARCH("NO HABIL ",G42)))</formula>
    </cfRule>
  </conditionalFormatting>
  <conditionalFormatting sqref="G43">
    <cfRule type="containsText" dxfId="213" priority="41" operator="containsText" text="NO HABIL">
      <formula>NOT(ISERROR(SEARCH("NO HABIL",G43)))</formula>
    </cfRule>
    <cfRule type="containsText" dxfId="212" priority="42" operator="containsText" text="NO HABIL ">
      <formula>NOT(ISERROR(SEARCH("NO HABIL ",G43)))</formula>
    </cfRule>
  </conditionalFormatting>
  <conditionalFormatting sqref="F39">
    <cfRule type="containsText" dxfId="211" priority="49" operator="containsText" text="NO HABIL">
      <formula>NOT(ISERROR(SEARCH("NO HABIL",F39)))</formula>
    </cfRule>
    <cfRule type="containsText" dxfId="210" priority="50" operator="containsText" text="NO HABIL ">
      <formula>NOT(ISERROR(SEARCH("NO HABIL ",F39)))</formula>
    </cfRule>
  </conditionalFormatting>
  <conditionalFormatting sqref="C6:C43">
    <cfRule type="containsText" dxfId="209" priority="39" operator="containsText" text="NO HABIL">
      <formula>NOT(ISERROR(SEARCH("NO HABIL",C6)))</formula>
    </cfRule>
    <cfRule type="containsText" dxfId="208" priority="40" operator="containsText" text="NO HABIL ">
      <formula>NOT(ISERROR(SEARCH("NO HABIL ",C6)))</formula>
    </cfRule>
  </conditionalFormatting>
  <conditionalFormatting sqref="D7">
    <cfRule type="containsText" dxfId="207" priority="37" operator="containsText" text="NO HABIL">
      <formula>NOT(ISERROR(SEARCH("NO HABIL",D7)))</formula>
    </cfRule>
    <cfRule type="containsText" dxfId="206" priority="38" operator="containsText" text="NO HABIL ">
      <formula>NOT(ISERROR(SEARCH("NO HABIL ",D7)))</formula>
    </cfRule>
  </conditionalFormatting>
  <conditionalFormatting sqref="D8">
    <cfRule type="containsText" dxfId="205" priority="35" operator="containsText" text="NO HABIL">
      <formula>NOT(ISERROR(SEARCH("NO HABIL",D8)))</formula>
    </cfRule>
    <cfRule type="containsText" dxfId="204" priority="36" operator="containsText" text="NO HABIL ">
      <formula>NOT(ISERROR(SEARCH("NO HABIL ",D8)))</formula>
    </cfRule>
  </conditionalFormatting>
  <conditionalFormatting sqref="D9">
    <cfRule type="containsText" dxfId="203" priority="33" operator="containsText" text="NO HABIL">
      <formula>NOT(ISERROR(SEARCH("NO HABIL",D9)))</formula>
    </cfRule>
    <cfRule type="containsText" dxfId="202" priority="34" operator="containsText" text="NO HABIL ">
      <formula>NOT(ISERROR(SEARCH("NO HABIL ",D9)))</formula>
    </cfRule>
  </conditionalFormatting>
  <conditionalFormatting sqref="D10">
    <cfRule type="containsText" dxfId="201" priority="31" operator="containsText" text="NO HABIL">
      <formula>NOT(ISERROR(SEARCH("NO HABIL",D10)))</formula>
    </cfRule>
    <cfRule type="containsText" dxfId="200" priority="32" operator="containsText" text="NO HABIL ">
      <formula>NOT(ISERROR(SEARCH("NO HABIL ",D10)))</formula>
    </cfRule>
  </conditionalFormatting>
  <conditionalFormatting sqref="D11">
    <cfRule type="containsText" dxfId="199" priority="29" operator="containsText" text="NO HABIL">
      <formula>NOT(ISERROR(SEARCH("NO HABIL",D11)))</formula>
    </cfRule>
    <cfRule type="containsText" dxfId="198" priority="30" operator="containsText" text="NO HABIL ">
      <formula>NOT(ISERROR(SEARCH("NO HABIL ",D11)))</formula>
    </cfRule>
  </conditionalFormatting>
  <conditionalFormatting sqref="D12">
    <cfRule type="containsText" dxfId="197" priority="27" operator="containsText" text="NO HABIL">
      <formula>NOT(ISERROR(SEARCH("NO HABIL",D12)))</formula>
    </cfRule>
    <cfRule type="containsText" dxfId="196" priority="28" operator="containsText" text="NO HABIL ">
      <formula>NOT(ISERROR(SEARCH("NO HABIL ",D12)))</formula>
    </cfRule>
  </conditionalFormatting>
  <conditionalFormatting sqref="D13">
    <cfRule type="containsText" dxfId="195" priority="25" operator="containsText" text="NO HABIL">
      <formula>NOT(ISERROR(SEARCH("NO HABIL",D13)))</formula>
    </cfRule>
    <cfRule type="containsText" dxfId="194" priority="26" operator="containsText" text="NO HABIL ">
      <formula>NOT(ISERROR(SEARCH("NO HABIL ",D13)))</formula>
    </cfRule>
  </conditionalFormatting>
  <conditionalFormatting sqref="D14">
    <cfRule type="containsText" dxfId="193" priority="23" operator="containsText" text="NO HABIL">
      <formula>NOT(ISERROR(SEARCH("NO HABIL",D14)))</formula>
    </cfRule>
    <cfRule type="containsText" dxfId="192" priority="24" operator="containsText" text="NO HABIL ">
      <formula>NOT(ISERROR(SEARCH("NO HABIL ",D14)))</formula>
    </cfRule>
  </conditionalFormatting>
  <conditionalFormatting sqref="D15">
    <cfRule type="containsText" dxfId="191" priority="21" operator="containsText" text="NO HABIL">
      <formula>NOT(ISERROR(SEARCH("NO HABIL",D15)))</formula>
    </cfRule>
    <cfRule type="containsText" dxfId="190" priority="22" operator="containsText" text="NO HABIL ">
      <formula>NOT(ISERROR(SEARCH("NO HABIL ",D15)))</formula>
    </cfRule>
  </conditionalFormatting>
  <conditionalFormatting sqref="D16">
    <cfRule type="containsText" dxfId="189" priority="19" operator="containsText" text="NO HABIL">
      <formula>NOT(ISERROR(SEARCH("NO HABIL",D16)))</formula>
    </cfRule>
    <cfRule type="containsText" dxfId="188" priority="20" operator="containsText" text="NO HABIL ">
      <formula>NOT(ISERROR(SEARCH("NO HABIL ",D16)))</formula>
    </cfRule>
  </conditionalFormatting>
  <conditionalFormatting sqref="D17">
    <cfRule type="containsText" dxfId="187" priority="17" operator="containsText" text="NO HABIL">
      <formula>NOT(ISERROR(SEARCH("NO HABIL",D17)))</formula>
    </cfRule>
    <cfRule type="containsText" dxfId="186" priority="18" operator="containsText" text="NO HABIL ">
      <formula>NOT(ISERROR(SEARCH("NO HABIL ",D17)))</formula>
    </cfRule>
  </conditionalFormatting>
  <conditionalFormatting sqref="D18:D24">
    <cfRule type="containsText" dxfId="185" priority="15" operator="containsText" text="NO HABIL">
      <formula>NOT(ISERROR(SEARCH("NO HABIL",D18)))</formula>
    </cfRule>
    <cfRule type="containsText" dxfId="184" priority="16" operator="containsText" text="NO HABIL ">
      <formula>NOT(ISERROR(SEARCH("NO HABIL ",D18)))</formula>
    </cfRule>
  </conditionalFormatting>
  <conditionalFormatting sqref="D25:D27 D29:D32 D35 D38:D42">
    <cfRule type="containsText" dxfId="183" priority="13" operator="containsText" text="NO HABIL">
      <formula>NOT(ISERROR(SEARCH("NO HABIL",D25)))</formula>
    </cfRule>
    <cfRule type="containsText" dxfId="182" priority="14" operator="containsText" text="NO HABIL ">
      <formula>NOT(ISERROR(SEARCH("NO HABIL ",D25)))</formula>
    </cfRule>
  </conditionalFormatting>
  <conditionalFormatting sqref="D28">
    <cfRule type="containsText" dxfId="181" priority="11" operator="containsText" text="NO HABIL">
      <formula>NOT(ISERROR(SEARCH("NO HABIL",D28)))</formula>
    </cfRule>
    <cfRule type="containsText" dxfId="180" priority="12" operator="containsText" text="NO HABIL ">
      <formula>NOT(ISERROR(SEARCH("NO HABIL ",D28)))</formula>
    </cfRule>
  </conditionalFormatting>
  <conditionalFormatting sqref="D33">
    <cfRule type="containsText" dxfId="179" priority="9" operator="containsText" text="NO HABIL">
      <formula>NOT(ISERROR(SEARCH("NO HABIL",D33)))</formula>
    </cfRule>
    <cfRule type="containsText" dxfId="178" priority="10" operator="containsText" text="NO HABIL ">
      <formula>NOT(ISERROR(SEARCH("NO HABIL ",D33)))</formula>
    </cfRule>
  </conditionalFormatting>
  <conditionalFormatting sqref="D34">
    <cfRule type="containsText" dxfId="177" priority="7" operator="containsText" text="NO HABIL">
      <formula>NOT(ISERROR(SEARCH("NO HABIL",D34)))</formula>
    </cfRule>
    <cfRule type="containsText" dxfId="176" priority="8" operator="containsText" text="NO HABIL ">
      <formula>NOT(ISERROR(SEARCH("NO HABIL ",D34)))</formula>
    </cfRule>
  </conditionalFormatting>
  <conditionalFormatting sqref="D36">
    <cfRule type="containsText" dxfId="175" priority="5" operator="containsText" text="NO HABIL">
      <formula>NOT(ISERROR(SEARCH("NO HABIL",D36)))</formula>
    </cfRule>
    <cfRule type="containsText" dxfId="174" priority="6" operator="containsText" text="NO HABIL ">
      <formula>NOT(ISERROR(SEARCH("NO HABIL ",D36)))</formula>
    </cfRule>
  </conditionalFormatting>
  <conditionalFormatting sqref="D37">
    <cfRule type="containsText" dxfId="173" priority="3" operator="containsText" text="NO HABIL">
      <formula>NOT(ISERROR(SEARCH("NO HABIL",D37)))</formula>
    </cfRule>
    <cfRule type="containsText" dxfId="172" priority="4" operator="containsText" text="NO HABIL ">
      <formula>NOT(ISERROR(SEARCH("NO HABIL ",D37)))</formula>
    </cfRule>
  </conditionalFormatting>
  <conditionalFormatting sqref="D43">
    <cfRule type="containsText" dxfId="171" priority="1" operator="containsText" text="NO HABIL">
      <formula>NOT(ISERROR(SEARCH("NO HABIL",D43)))</formula>
    </cfRule>
    <cfRule type="containsText" dxfId="170" priority="2" operator="containsText" text="NO HABIL ">
      <formula>NOT(ISERROR(SEARCH("NO HABIL ",D43)))</formula>
    </cfRule>
  </conditionalFormatting>
  <pageMargins left="0.70866141732283472" right="0.70866141732283472" top="0.74803149606299213" bottom="0.74803149606299213" header="0.51181102362204722" footer="0.51181102362204722"/>
  <pageSetup scale="50" firstPageNumber="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33C8-F1D1-4E7A-86EC-F7D309AD6A05}">
  <dimension ref="F1:Q27"/>
  <sheetViews>
    <sheetView topLeftCell="C1" workbookViewId="0">
      <selection activeCell="P11" sqref="P11"/>
    </sheetView>
  </sheetViews>
  <sheetFormatPr baseColWidth="10" defaultColWidth="9.109375" defaultRowHeight="14.4" x14ac:dyDescent="0.3"/>
  <cols>
    <col min="6" max="6" width="15.88671875" bestFit="1" customWidth="1"/>
    <col min="7" max="7" width="14.6640625" bestFit="1" customWidth="1"/>
    <col min="9" max="9" width="13" bestFit="1" customWidth="1"/>
    <col min="10" max="10" width="18.6640625" bestFit="1" customWidth="1"/>
    <col min="11" max="11" width="0.6640625" customWidth="1"/>
    <col min="12" max="12" width="2.88671875" customWidth="1"/>
    <col min="13" max="14" width="16.88671875" bestFit="1" customWidth="1"/>
    <col min="16" max="16" width="21" customWidth="1"/>
    <col min="17" max="17" width="17.44140625" customWidth="1"/>
  </cols>
  <sheetData>
    <row r="1" spans="6:17" x14ac:dyDescent="0.3">
      <c r="F1" s="595" t="s">
        <v>596</v>
      </c>
      <c r="G1" s="595"/>
      <c r="H1" s="595"/>
      <c r="I1" s="595"/>
      <c r="J1" s="595"/>
      <c r="M1" s="596" t="s">
        <v>597</v>
      </c>
      <c r="N1" s="596"/>
      <c r="O1" s="596"/>
      <c r="P1" s="596"/>
      <c r="Q1" s="596"/>
    </row>
    <row r="2" spans="6:17" x14ac:dyDescent="0.3">
      <c r="F2" s="291" t="s">
        <v>598</v>
      </c>
      <c r="G2" s="291" t="s">
        <v>599</v>
      </c>
      <c r="H2" s="292">
        <v>0.3</v>
      </c>
      <c r="I2" s="291" t="s">
        <v>600</v>
      </c>
      <c r="J2" s="291" t="s">
        <v>601</v>
      </c>
      <c r="M2" s="297" t="s">
        <v>598</v>
      </c>
      <c r="N2" s="297" t="s">
        <v>599</v>
      </c>
      <c r="O2" s="300">
        <v>0.33</v>
      </c>
      <c r="P2" s="297" t="s">
        <v>600</v>
      </c>
      <c r="Q2" s="297" t="s">
        <v>601</v>
      </c>
    </row>
    <row r="3" spans="6:17" x14ac:dyDescent="0.3">
      <c r="F3" s="293">
        <v>7358987.5</v>
      </c>
      <c r="G3" s="293">
        <f>+F3*$H$2</f>
        <v>2207696.25</v>
      </c>
      <c r="H3" s="293"/>
      <c r="I3" s="293">
        <f>+F3*5%*19%</f>
        <v>69910.381250000006</v>
      </c>
      <c r="J3" s="293">
        <f>+I3+G3+F3</f>
        <v>9636594.1312499996</v>
      </c>
      <c r="M3" s="293">
        <v>438674800</v>
      </c>
      <c r="N3" s="293">
        <f>+M3*$O$2</f>
        <v>144762684</v>
      </c>
      <c r="O3" s="293"/>
      <c r="P3" s="293">
        <f>+M3*5%*19%</f>
        <v>4167410.6</v>
      </c>
      <c r="Q3" s="293">
        <f>+P3+N3+M3</f>
        <v>587604894.60000002</v>
      </c>
    </row>
    <row r="4" spans="6:17" x14ac:dyDescent="0.3">
      <c r="F4" s="293">
        <v>96748531</v>
      </c>
      <c r="G4" s="293">
        <f t="shared" ref="G4:G19" si="0">+F4*$H$2</f>
        <v>29024559.300000001</v>
      </c>
      <c r="H4" s="293"/>
      <c r="I4" s="293">
        <f t="shared" ref="I4:I19" si="1">+F4*5%*19%</f>
        <v>919111.04449999996</v>
      </c>
      <c r="J4" s="293">
        <f t="shared" ref="J4:J19" si="2">+I4+G4+F4</f>
        <v>126692201.34450001</v>
      </c>
      <c r="M4" s="293">
        <v>842061</v>
      </c>
      <c r="N4" s="293">
        <f>+M4*$O$2</f>
        <v>277880.13</v>
      </c>
      <c r="O4" s="293"/>
      <c r="P4" s="293">
        <f>+M4*5%*19%</f>
        <v>7999.5795000000007</v>
      </c>
      <c r="Q4" s="293">
        <f>+P4+N4+M4</f>
        <v>1127940.7094999999</v>
      </c>
    </row>
    <row r="5" spans="6:17" x14ac:dyDescent="0.3">
      <c r="F5" s="293">
        <v>7623233.5499999998</v>
      </c>
      <c r="G5" s="293">
        <f t="shared" si="0"/>
        <v>2286970.0649999999</v>
      </c>
      <c r="H5" s="293"/>
      <c r="I5" s="293">
        <f t="shared" si="1"/>
        <v>72420.718724999999</v>
      </c>
      <c r="J5" s="293">
        <f t="shared" si="2"/>
        <v>9982624.3337249998</v>
      </c>
      <c r="M5" s="293"/>
      <c r="N5" s="293"/>
      <c r="O5" s="293"/>
      <c r="P5" s="293"/>
      <c r="Q5" s="293"/>
    </row>
    <row r="6" spans="6:17" x14ac:dyDescent="0.3">
      <c r="F6" s="293">
        <v>55157582</v>
      </c>
      <c r="G6" s="293">
        <f t="shared" si="0"/>
        <v>16547274.6</v>
      </c>
      <c r="H6" s="293"/>
      <c r="I6" s="293">
        <f t="shared" si="1"/>
        <v>523997.02900000004</v>
      </c>
      <c r="J6" s="293">
        <f t="shared" si="2"/>
        <v>72228853.629000008</v>
      </c>
      <c r="M6" s="293"/>
      <c r="N6" s="293"/>
      <c r="O6" s="293"/>
      <c r="P6" s="293"/>
      <c r="Q6" s="293"/>
    </row>
    <row r="7" spans="6:17" x14ac:dyDescent="0.3">
      <c r="F7" s="293">
        <v>22141089.550000001</v>
      </c>
      <c r="G7" s="293">
        <f t="shared" si="0"/>
        <v>6642326.8650000002</v>
      </c>
      <c r="H7" s="293"/>
      <c r="I7" s="293">
        <f t="shared" si="1"/>
        <v>210340.350725</v>
      </c>
      <c r="J7" s="293">
        <f t="shared" si="2"/>
        <v>28993756.765725002</v>
      </c>
      <c r="M7" s="293"/>
      <c r="N7" s="293"/>
      <c r="O7" s="293"/>
      <c r="P7" s="293"/>
      <c r="Q7" s="293"/>
    </row>
    <row r="8" spans="6:17" x14ac:dyDescent="0.3">
      <c r="F8" s="293">
        <v>2969041.69</v>
      </c>
      <c r="G8" s="293">
        <f t="shared" si="0"/>
        <v>890712.50699999998</v>
      </c>
      <c r="H8" s="293"/>
      <c r="I8" s="293">
        <f t="shared" si="1"/>
        <v>28205.896055000001</v>
      </c>
      <c r="J8" s="293">
        <f t="shared" si="2"/>
        <v>3887960.0930550001</v>
      </c>
      <c r="M8" s="293"/>
      <c r="N8" s="293"/>
      <c r="O8" s="293"/>
      <c r="P8" s="293"/>
      <c r="Q8" s="293"/>
    </row>
    <row r="9" spans="6:17" x14ac:dyDescent="0.3">
      <c r="F9" s="293">
        <v>2592366.5699999998</v>
      </c>
      <c r="G9" s="293">
        <f t="shared" si="0"/>
        <v>777709.9709999999</v>
      </c>
      <c r="H9" s="293"/>
      <c r="I9" s="293">
        <f t="shared" si="1"/>
        <v>24627.482415000002</v>
      </c>
      <c r="J9" s="293">
        <f t="shared" si="2"/>
        <v>3394704.0234149997</v>
      </c>
      <c r="M9" s="293"/>
      <c r="N9" s="293"/>
      <c r="O9" s="293"/>
      <c r="P9" s="293"/>
      <c r="Q9" s="293"/>
    </row>
    <row r="10" spans="6:17" x14ac:dyDescent="0.3">
      <c r="F10" s="293">
        <v>6202380.7999999998</v>
      </c>
      <c r="G10" s="293">
        <f t="shared" si="0"/>
        <v>1860714.24</v>
      </c>
      <c r="H10" s="293"/>
      <c r="I10" s="293">
        <f t="shared" si="1"/>
        <v>58922.617599999998</v>
      </c>
      <c r="J10" s="293">
        <f t="shared" si="2"/>
        <v>8122017.6575999996</v>
      </c>
      <c r="M10" s="293"/>
      <c r="N10" s="293"/>
      <c r="O10" s="293"/>
      <c r="P10" s="293"/>
      <c r="Q10" s="293"/>
    </row>
    <row r="11" spans="6:17" x14ac:dyDescent="0.3">
      <c r="F11" s="293">
        <v>3387069.3</v>
      </c>
      <c r="G11" s="293">
        <f t="shared" si="0"/>
        <v>1016120.7899999999</v>
      </c>
      <c r="H11" s="293"/>
      <c r="I11" s="293">
        <f t="shared" si="1"/>
        <v>32177.158350000002</v>
      </c>
      <c r="J11" s="293">
        <f t="shared" si="2"/>
        <v>4435367.24835</v>
      </c>
      <c r="M11" s="293"/>
      <c r="N11" s="293"/>
      <c r="O11" s="293"/>
      <c r="P11" s="293"/>
      <c r="Q11" s="293"/>
    </row>
    <row r="12" spans="6:17" x14ac:dyDescent="0.3">
      <c r="F12" s="293">
        <v>38875769.979999997</v>
      </c>
      <c r="G12" s="293">
        <f t="shared" si="0"/>
        <v>11662730.993999999</v>
      </c>
      <c r="H12" s="293"/>
      <c r="I12" s="293">
        <f t="shared" si="1"/>
        <v>369319.81480999995</v>
      </c>
      <c r="J12" s="293">
        <f t="shared" si="2"/>
        <v>50907820.78881</v>
      </c>
      <c r="M12" s="293"/>
      <c r="N12" s="293"/>
      <c r="O12" s="293"/>
      <c r="P12" s="293"/>
      <c r="Q12" s="293"/>
    </row>
    <row r="13" spans="6:17" x14ac:dyDescent="0.3">
      <c r="F13" s="293">
        <v>3575230.18</v>
      </c>
      <c r="G13" s="293">
        <f t="shared" si="0"/>
        <v>1072569.054</v>
      </c>
      <c r="H13" s="293"/>
      <c r="I13" s="293">
        <f t="shared" si="1"/>
        <v>33964.686710000002</v>
      </c>
      <c r="J13" s="293">
        <f t="shared" si="2"/>
        <v>4681763.9207100002</v>
      </c>
      <c r="M13" s="293"/>
      <c r="N13" s="293"/>
      <c r="O13" s="293"/>
      <c r="P13" s="293"/>
      <c r="Q13" s="293"/>
    </row>
    <row r="14" spans="6:17" x14ac:dyDescent="0.3">
      <c r="F14" s="293">
        <v>6522533.8899999997</v>
      </c>
      <c r="G14" s="293">
        <f t="shared" si="0"/>
        <v>1956760.1669999999</v>
      </c>
      <c r="H14" s="293"/>
      <c r="I14" s="293">
        <f t="shared" si="1"/>
        <v>61964.071954999999</v>
      </c>
      <c r="J14" s="293">
        <f t="shared" si="2"/>
        <v>8541258.1289549991</v>
      </c>
      <c r="M14" s="293"/>
      <c r="N14" s="293"/>
      <c r="O14" s="293"/>
      <c r="P14" s="293"/>
      <c r="Q14" s="293"/>
    </row>
    <row r="15" spans="6:17" x14ac:dyDescent="0.3">
      <c r="F15" s="293">
        <v>10454244.189999999</v>
      </c>
      <c r="G15" s="293">
        <f t="shared" si="0"/>
        <v>3136273.2569999998</v>
      </c>
      <c r="H15" s="293"/>
      <c r="I15" s="293">
        <f t="shared" si="1"/>
        <v>99315.319805000006</v>
      </c>
      <c r="J15" s="293">
        <f t="shared" si="2"/>
        <v>13689832.766804999</v>
      </c>
      <c r="M15" s="293"/>
      <c r="N15" s="293"/>
      <c r="O15" s="293"/>
      <c r="P15" s="293"/>
      <c r="Q15" s="293"/>
    </row>
    <row r="16" spans="6:17" x14ac:dyDescent="0.3">
      <c r="F16" s="293">
        <v>6275970</v>
      </c>
      <c r="G16" s="293">
        <f t="shared" si="0"/>
        <v>1882791</v>
      </c>
      <c r="H16" s="293"/>
      <c r="I16" s="293">
        <f t="shared" si="1"/>
        <v>59621.715000000004</v>
      </c>
      <c r="J16" s="293">
        <f t="shared" si="2"/>
        <v>8218382.7149999999</v>
      </c>
      <c r="M16" s="293"/>
      <c r="N16" s="293"/>
      <c r="O16" s="293"/>
      <c r="P16" s="293"/>
      <c r="Q16" s="293"/>
    </row>
    <row r="17" spans="6:17" x14ac:dyDescent="0.3">
      <c r="F17" s="293">
        <v>56766168</v>
      </c>
      <c r="G17" s="293">
        <f t="shared" si="0"/>
        <v>17029850.399999999</v>
      </c>
      <c r="H17" s="293"/>
      <c r="I17" s="293">
        <f t="shared" si="1"/>
        <v>539278.59600000002</v>
      </c>
      <c r="J17" s="293">
        <f t="shared" si="2"/>
        <v>74335296.995999992</v>
      </c>
      <c r="M17" s="293"/>
      <c r="N17" s="293"/>
      <c r="O17" s="293"/>
      <c r="P17" s="293"/>
      <c r="Q17" s="293"/>
    </row>
    <row r="18" spans="6:17" x14ac:dyDescent="0.3">
      <c r="F18" s="293">
        <v>7702782</v>
      </c>
      <c r="G18" s="293">
        <f t="shared" si="0"/>
        <v>2310834.6</v>
      </c>
      <c r="H18" s="293"/>
      <c r="I18" s="293">
        <f t="shared" si="1"/>
        <v>73176.429000000004</v>
      </c>
      <c r="J18" s="293">
        <f t="shared" si="2"/>
        <v>10086793.028999999</v>
      </c>
      <c r="K18" s="289"/>
      <c r="L18" s="289"/>
      <c r="M18" s="293"/>
      <c r="N18" s="293"/>
      <c r="O18" s="293"/>
      <c r="P18" s="293"/>
      <c r="Q18" s="293"/>
    </row>
    <row r="19" spans="6:17" x14ac:dyDescent="0.3">
      <c r="F19" s="293">
        <v>538242</v>
      </c>
      <c r="G19" s="293">
        <f t="shared" si="0"/>
        <v>161472.6</v>
      </c>
      <c r="H19" s="293"/>
      <c r="I19" s="293">
        <f t="shared" si="1"/>
        <v>5113.2990000000009</v>
      </c>
      <c r="J19" s="293">
        <f t="shared" si="2"/>
        <v>704827.89899999998</v>
      </c>
      <c r="K19" s="289"/>
      <c r="L19" s="289"/>
      <c r="M19" s="293"/>
      <c r="N19" s="293"/>
      <c r="O19" s="293"/>
      <c r="P19" s="293"/>
      <c r="Q19" s="293"/>
    </row>
    <row r="20" spans="6:17" x14ac:dyDescent="0.3">
      <c r="F20" s="293"/>
      <c r="G20" s="293"/>
      <c r="H20" s="293"/>
      <c r="I20" s="293" t="s">
        <v>602</v>
      </c>
      <c r="J20" s="293">
        <f>SUM(J3:J19)</f>
        <v>438540055.4709</v>
      </c>
      <c r="K20" s="289"/>
      <c r="L20" s="289"/>
      <c r="M20" s="289"/>
      <c r="N20" s="289"/>
      <c r="O20" s="289"/>
      <c r="P20" s="301" t="s">
        <v>602</v>
      </c>
      <c r="Q20" s="301">
        <f>SUM(Q3:Q19)</f>
        <v>588732835.30949998</v>
      </c>
    </row>
    <row r="21" spans="6:17" ht="28.8" x14ac:dyDescent="0.3">
      <c r="F21" s="293"/>
      <c r="G21" s="293"/>
      <c r="H21" s="293"/>
      <c r="I21" s="294" t="s">
        <v>603</v>
      </c>
      <c r="J21" s="293">
        <v>5800000000</v>
      </c>
      <c r="K21" s="289"/>
      <c r="L21" s="289"/>
      <c r="M21" s="289"/>
      <c r="O21" s="294"/>
      <c r="P21" s="295" t="s">
        <v>603</v>
      </c>
      <c r="Q21" s="298">
        <v>2990750566</v>
      </c>
    </row>
    <row r="22" spans="6:17" x14ac:dyDescent="0.3">
      <c r="F22" s="293"/>
      <c r="G22" s="293"/>
      <c r="H22" s="293"/>
      <c r="I22" s="293" t="s">
        <v>604</v>
      </c>
      <c r="J22" s="293">
        <f>+J21-J20</f>
        <v>5361459944.5291004</v>
      </c>
      <c r="K22" s="289"/>
      <c r="L22" s="289"/>
      <c r="M22" s="289"/>
      <c r="O22" s="293"/>
      <c r="P22" s="296" t="s">
        <v>604</v>
      </c>
      <c r="Q22" s="293">
        <f>+Q21-Q20</f>
        <v>2402017730.6905003</v>
      </c>
    </row>
    <row r="23" spans="6:17" x14ac:dyDescent="0.3">
      <c r="F23" s="293"/>
      <c r="G23" s="293"/>
      <c r="H23" s="293"/>
      <c r="I23" s="293"/>
      <c r="J23" s="293"/>
      <c r="K23" s="289"/>
      <c r="L23" s="289"/>
      <c r="M23" s="289"/>
    </row>
    <row r="24" spans="6:17" x14ac:dyDescent="0.3">
      <c r="F24" s="289"/>
      <c r="G24" s="289"/>
      <c r="H24" s="289"/>
      <c r="I24" s="289"/>
      <c r="J24" s="289"/>
      <c r="K24" s="289"/>
      <c r="L24" s="289"/>
      <c r="M24" s="289"/>
    </row>
    <row r="25" spans="6:17" x14ac:dyDescent="0.3">
      <c r="F25" s="289"/>
      <c r="G25" s="289"/>
      <c r="H25" s="289"/>
      <c r="I25" s="289"/>
      <c r="J25" s="289"/>
      <c r="K25" s="289"/>
      <c r="L25" s="289"/>
      <c r="M25" s="289"/>
    </row>
    <row r="26" spans="6:17" x14ac:dyDescent="0.3">
      <c r="F26" s="289"/>
      <c r="G26" s="289"/>
      <c r="H26" s="289"/>
      <c r="I26" s="289"/>
      <c r="J26" s="289"/>
      <c r="K26" s="289"/>
      <c r="L26" s="289"/>
      <c r="M26" s="289"/>
    </row>
    <row r="27" spans="6:17" x14ac:dyDescent="0.3">
      <c r="F27" s="289"/>
      <c r="G27" s="289"/>
      <c r="H27" s="289"/>
      <c r="I27" s="289"/>
      <c r="J27" s="289"/>
      <c r="K27" s="289"/>
      <c r="L27" s="289"/>
      <c r="M27" s="289"/>
    </row>
  </sheetData>
  <mergeCells count="2">
    <mergeCell ref="F1:J1"/>
    <mergeCell ref="M1:Q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91616-968F-42FA-8474-E9A8B129C083}">
  <sheetPr>
    <tabColor rgb="FF00B050"/>
  </sheetPr>
  <dimension ref="D1:L181"/>
  <sheetViews>
    <sheetView topLeftCell="A164" workbookViewId="0">
      <selection activeCell="J181" sqref="J181"/>
    </sheetView>
  </sheetViews>
  <sheetFormatPr baseColWidth="10" defaultColWidth="11.44140625" defaultRowHeight="14.4" x14ac:dyDescent="0.3"/>
  <cols>
    <col min="5" max="5" width="46.6640625" bestFit="1" customWidth="1"/>
    <col min="6" max="6" width="30" style="180" customWidth="1"/>
    <col min="7" max="7" width="16.6640625" bestFit="1" customWidth="1"/>
    <col min="8" max="8" width="22.44140625" customWidth="1"/>
    <col min="9" max="9" width="34.109375" customWidth="1"/>
    <col min="10" max="10" width="12.5546875" bestFit="1" customWidth="1"/>
    <col min="12" max="12" width="12.6640625" bestFit="1" customWidth="1"/>
  </cols>
  <sheetData>
    <row r="1" spans="4:12" x14ac:dyDescent="0.3">
      <c r="G1" s="182">
        <v>0.376</v>
      </c>
      <c r="H1" s="183">
        <v>0.05</v>
      </c>
    </row>
    <row r="2" spans="4:12" ht="15" thickBot="1" x14ac:dyDescent="0.35">
      <c r="D2" t="s">
        <v>605</v>
      </c>
      <c r="E2" t="s">
        <v>606</v>
      </c>
      <c r="F2" s="180" t="s">
        <v>607</v>
      </c>
      <c r="G2" t="s">
        <v>599</v>
      </c>
      <c r="H2" t="s">
        <v>608</v>
      </c>
      <c r="I2" t="s">
        <v>601</v>
      </c>
      <c r="J2" t="s">
        <v>609</v>
      </c>
    </row>
    <row r="3" spans="4:12" ht="15" thickBot="1" x14ac:dyDescent="0.35">
      <c r="D3" s="178" t="s">
        <v>610</v>
      </c>
      <c r="E3" s="179" t="s">
        <v>611</v>
      </c>
      <c r="F3" s="181">
        <f>+SUM(F4:F68)</f>
        <v>1415038190.75</v>
      </c>
      <c r="G3" s="181">
        <f>+F3*$G$1</f>
        <v>532054359.722</v>
      </c>
      <c r="H3" s="181">
        <f>$H$1*0.19*F3</f>
        <v>13442862.812125003</v>
      </c>
      <c r="I3" s="181">
        <f>+H3+G3+F3</f>
        <v>1960535413.2841249</v>
      </c>
      <c r="J3" s="177">
        <v>7917.88</v>
      </c>
    </row>
    <row r="4" spans="4:12" x14ac:dyDescent="0.3">
      <c r="F4" s="180">
        <v>17482679.039999999</v>
      </c>
      <c r="J4" s="177"/>
      <c r="L4" s="177"/>
    </row>
    <row r="5" spans="4:12" x14ac:dyDescent="0.3">
      <c r="F5" s="180">
        <v>2641718.9</v>
      </c>
      <c r="L5" s="177"/>
    </row>
    <row r="6" spans="4:12" x14ac:dyDescent="0.3">
      <c r="F6" s="180">
        <v>30409873.199999999</v>
      </c>
      <c r="G6" s="177"/>
    </row>
    <row r="7" spans="4:12" x14ac:dyDescent="0.3">
      <c r="F7" s="180">
        <v>11043519</v>
      </c>
    </row>
    <row r="8" spans="4:12" x14ac:dyDescent="0.3">
      <c r="F8" s="180">
        <v>34870343.520000003</v>
      </c>
    </row>
    <row r="9" spans="4:12" x14ac:dyDescent="0.3">
      <c r="F9" s="180">
        <v>52103521.600000001</v>
      </c>
    </row>
    <row r="10" spans="4:12" x14ac:dyDescent="0.3">
      <c r="F10" s="180">
        <v>32958669.460000001</v>
      </c>
    </row>
    <row r="11" spans="4:12" x14ac:dyDescent="0.3">
      <c r="F11" s="180">
        <v>11172720.18</v>
      </c>
    </row>
    <row r="12" spans="4:12" x14ac:dyDescent="0.3">
      <c r="F12" s="180">
        <v>5053386.66</v>
      </c>
    </row>
    <row r="13" spans="4:12" x14ac:dyDescent="0.3">
      <c r="F13" s="180">
        <v>34432153.600000001</v>
      </c>
    </row>
    <row r="14" spans="4:12" x14ac:dyDescent="0.3">
      <c r="F14" s="180">
        <v>6627621.2199999997</v>
      </c>
    </row>
    <row r="15" spans="4:12" x14ac:dyDescent="0.3">
      <c r="F15" s="180">
        <v>975068</v>
      </c>
    </row>
    <row r="16" spans="4:12" x14ac:dyDescent="0.3">
      <c r="F16" s="180">
        <v>142434</v>
      </c>
    </row>
    <row r="17" spans="6:6" x14ac:dyDescent="0.3">
      <c r="F17" s="180">
        <v>1574262.97</v>
      </c>
    </row>
    <row r="18" spans="6:6" x14ac:dyDescent="0.3">
      <c r="F18" s="180">
        <v>31761914.399999999</v>
      </c>
    </row>
    <row r="19" spans="6:6" x14ac:dyDescent="0.3">
      <c r="F19" s="180">
        <v>2815694.35</v>
      </c>
    </row>
    <row r="20" spans="6:6" x14ac:dyDescent="0.3">
      <c r="F20" s="180">
        <v>143433020.97999999</v>
      </c>
    </row>
    <row r="21" spans="6:6" x14ac:dyDescent="0.3">
      <c r="F21" s="180">
        <v>527401.5</v>
      </c>
    </row>
    <row r="22" spans="6:6" x14ac:dyDescent="0.3">
      <c r="F22" s="180">
        <v>37768631.450000003</v>
      </c>
    </row>
    <row r="23" spans="6:6" x14ac:dyDescent="0.3">
      <c r="F23" s="180">
        <v>11208811</v>
      </c>
    </row>
    <row r="24" spans="6:6" x14ac:dyDescent="0.3">
      <c r="F24" s="180">
        <v>76983531.569999993</v>
      </c>
    </row>
    <row r="25" spans="6:6" x14ac:dyDescent="0.3">
      <c r="F25" s="180">
        <v>64648018.740000002</v>
      </c>
    </row>
    <row r="26" spans="6:6" x14ac:dyDescent="0.3">
      <c r="F26" s="180">
        <v>20935232.25</v>
      </c>
    </row>
    <row r="27" spans="6:6" x14ac:dyDescent="0.3">
      <c r="F27" s="180">
        <v>43517205.460000001</v>
      </c>
    </row>
    <row r="28" spans="6:6" x14ac:dyDescent="0.3">
      <c r="F28" s="180">
        <v>27080830.440000001</v>
      </c>
    </row>
    <row r="29" spans="6:6" x14ac:dyDescent="0.3">
      <c r="F29" s="180">
        <v>37803380.640000001</v>
      </c>
    </row>
    <row r="30" spans="6:6" x14ac:dyDescent="0.3">
      <c r="F30" s="180">
        <v>12796911.6</v>
      </c>
    </row>
    <row r="31" spans="6:6" x14ac:dyDescent="0.3">
      <c r="F31" s="180">
        <v>141091950</v>
      </c>
    </row>
    <row r="32" spans="6:6" x14ac:dyDescent="0.3">
      <c r="F32" s="180">
        <v>2217781.25</v>
      </c>
    </row>
    <row r="33" spans="6:6" x14ac:dyDescent="0.3">
      <c r="F33" s="180">
        <v>58165670</v>
      </c>
    </row>
    <row r="34" spans="6:6" x14ac:dyDescent="0.3">
      <c r="F34" s="180">
        <v>90609012</v>
      </c>
    </row>
    <row r="35" spans="6:6" x14ac:dyDescent="0.3">
      <c r="F35" s="180">
        <v>1797568</v>
      </c>
    </row>
    <row r="36" spans="6:6" x14ac:dyDescent="0.3">
      <c r="F36" s="180">
        <v>1309439</v>
      </c>
    </row>
    <row r="37" spans="6:6" x14ac:dyDescent="0.3">
      <c r="F37" s="180">
        <v>4560690</v>
      </c>
    </row>
    <row r="38" spans="6:6" x14ac:dyDescent="0.3">
      <c r="F38" s="180">
        <v>4560690</v>
      </c>
    </row>
    <row r="39" spans="6:6" x14ac:dyDescent="0.3">
      <c r="F39" s="180">
        <v>4560690</v>
      </c>
    </row>
    <row r="40" spans="6:6" x14ac:dyDescent="0.3">
      <c r="F40" s="180">
        <v>5652439</v>
      </c>
    </row>
    <row r="41" spans="6:6" x14ac:dyDescent="0.3">
      <c r="F41" s="180">
        <v>149113143</v>
      </c>
    </row>
    <row r="42" spans="6:6" x14ac:dyDescent="0.3">
      <c r="F42" s="180">
        <v>1053306</v>
      </c>
    </row>
    <row r="43" spans="6:6" x14ac:dyDescent="0.3">
      <c r="F43" s="180">
        <v>1846762</v>
      </c>
    </row>
    <row r="44" spans="6:6" x14ac:dyDescent="0.3">
      <c r="F44" s="180">
        <v>5399342</v>
      </c>
    </row>
    <row r="45" spans="6:6" x14ac:dyDescent="0.3">
      <c r="F45" s="180">
        <v>4915714.4400000004</v>
      </c>
    </row>
    <row r="46" spans="6:6" x14ac:dyDescent="0.3">
      <c r="F46" s="180">
        <v>1031778</v>
      </c>
    </row>
    <row r="47" spans="6:6" x14ac:dyDescent="0.3">
      <c r="F47" s="180">
        <v>1722112</v>
      </c>
    </row>
    <row r="48" spans="6:6" x14ac:dyDescent="0.3">
      <c r="F48" s="180">
        <v>780684</v>
      </c>
    </row>
    <row r="49" spans="6:6" x14ac:dyDescent="0.3">
      <c r="F49" s="180">
        <v>1969550</v>
      </c>
    </row>
    <row r="50" spans="6:6" x14ac:dyDescent="0.3">
      <c r="F50" s="180">
        <v>36147339.899999999</v>
      </c>
    </row>
    <row r="51" spans="6:6" x14ac:dyDescent="0.3">
      <c r="F51" s="180">
        <v>23580620</v>
      </c>
    </row>
    <row r="52" spans="6:6" x14ac:dyDescent="0.3">
      <c r="F52" s="180">
        <v>15757586.550000001</v>
      </c>
    </row>
    <row r="53" spans="6:6" x14ac:dyDescent="0.3">
      <c r="F53" s="180">
        <v>510822</v>
      </c>
    </row>
    <row r="54" spans="6:6" x14ac:dyDescent="0.3">
      <c r="F54" s="180">
        <v>5937580.5300000003</v>
      </c>
    </row>
    <row r="55" spans="6:6" x14ac:dyDescent="0.3">
      <c r="F55" s="180">
        <v>190713.25</v>
      </c>
    </row>
    <row r="56" spans="6:6" x14ac:dyDescent="0.3">
      <c r="F56" s="180">
        <v>11866928.119999999</v>
      </c>
    </row>
    <row r="57" spans="6:6" x14ac:dyDescent="0.3">
      <c r="F57" s="180">
        <v>580942</v>
      </c>
    </row>
    <row r="58" spans="6:6" x14ac:dyDescent="0.3">
      <c r="F58" s="180">
        <v>79326</v>
      </c>
    </row>
    <row r="59" spans="6:6" x14ac:dyDescent="0.3">
      <c r="F59" s="180">
        <v>83988</v>
      </c>
    </row>
    <row r="60" spans="6:6" x14ac:dyDescent="0.3">
      <c r="F60" s="180">
        <v>116030</v>
      </c>
    </row>
    <row r="61" spans="6:6" x14ac:dyDescent="0.3">
      <c r="F61" s="180">
        <v>5376381</v>
      </c>
    </row>
    <row r="62" spans="6:6" x14ac:dyDescent="0.3">
      <c r="F62" s="180">
        <v>13237854.460000001</v>
      </c>
    </row>
    <row r="63" spans="6:6" x14ac:dyDescent="0.3">
      <c r="F63" s="180">
        <v>1388883.54</v>
      </c>
    </row>
    <row r="64" spans="6:6" x14ac:dyDescent="0.3">
      <c r="F64" s="180">
        <v>1612755.52</v>
      </c>
    </row>
    <row r="65" spans="4:10" x14ac:dyDescent="0.3">
      <c r="F65" s="180">
        <v>16257537</v>
      </c>
    </row>
    <row r="66" spans="4:10" x14ac:dyDescent="0.3">
      <c r="F66" s="180">
        <v>4046060</v>
      </c>
    </row>
    <row r="67" spans="4:10" x14ac:dyDescent="0.3">
      <c r="F67" s="180">
        <v>21492756</v>
      </c>
    </row>
    <row r="68" spans="4:10" ht="15" thickBot="1" x14ac:dyDescent="0.35">
      <c r="F68" s="180">
        <v>21647210.460000001</v>
      </c>
    </row>
    <row r="69" spans="4:10" ht="15" thickBot="1" x14ac:dyDescent="0.35">
      <c r="D69" s="178" t="s">
        <v>612</v>
      </c>
      <c r="E69" s="179" t="s">
        <v>611</v>
      </c>
      <c r="F69" s="181">
        <f>+SUM(F70:F115)</f>
        <v>1071957041.5500003</v>
      </c>
      <c r="G69" s="181">
        <f>+F69*$G$1</f>
        <v>403055847.62280011</v>
      </c>
      <c r="H69" s="181">
        <f>$H$1*0.19*F69</f>
        <v>10183591.894725004</v>
      </c>
      <c r="I69" s="181">
        <f>+H69+G69+F69</f>
        <v>1485196481.0675254</v>
      </c>
      <c r="J69" s="177">
        <v>6348.85</v>
      </c>
    </row>
    <row r="70" spans="4:10" x14ac:dyDescent="0.3">
      <c r="F70" s="180">
        <v>14018260.800000001</v>
      </c>
    </row>
    <row r="71" spans="4:10" x14ac:dyDescent="0.3">
      <c r="F71" s="180">
        <v>1438525.26</v>
      </c>
    </row>
    <row r="72" spans="4:10" x14ac:dyDescent="0.3">
      <c r="F72" s="180">
        <v>23532726</v>
      </c>
    </row>
    <row r="73" spans="4:10" x14ac:dyDescent="0.3">
      <c r="F73" s="180">
        <v>960306</v>
      </c>
    </row>
    <row r="74" spans="4:10" x14ac:dyDescent="0.3">
      <c r="F74" s="180">
        <v>23414702.760000002</v>
      </c>
    </row>
    <row r="75" spans="4:10" x14ac:dyDescent="0.3">
      <c r="F75" s="180">
        <v>151250652</v>
      </c>
    </row>
    <row r="76" spans="4:10" x14ac:dyDescent="0.3">
      <c r="F76" s="180">
        <v>4866923.0999999996</v>
      </c>
    </row>
    <row r="77" spans="4:10" x14ac:dyDescent="0.3">
      <c r="F77" s="180">
        <v>8442480.8399999999</v>
      </c>
    </row>
    <row r="78" spans="4:10" x14ac:dyDescent="0.3">
      <c r="F78" s="180">
        <v>11472640.949999999</v>
      </c>
    </row>
    <row r="79" spans="4:10" x14ac:dyDescent="0.3">
      <c r="F79" s="180">
        <v>5956003.6500000004</v>
      </c>
    </row>
    <row r="80" spans="4:10" x14ac:dyDescent="0.3">
      <c r="F80" s="180">
        <v>19472765.600000001</v>
      </c>
    </row>
    <row r="81" spans="6:6" x14ac:dyDescent="0.3">
      <c r="F81" s="180">
        <v>106305109.92</v>
      </c>
    </row>
    <row r="82" spans="6:6" x14ac:dyDescent="0.3">
      <c r="F82" s="180">
        <v>23374329.219999999</v>
      </c>
    </row>
    <row r="83" spans="6:6" x14ac:dyDescent="0.3">
      <c r="F83" s="180">
        <v>4229740</v>
      </c>
    </row>
    <row r="84" spans="6:6" x14ac:dyDescent="0.3">
      <c r="F84" s="180">
        <v>44649045.719999999</v>
      </c>
    </row>
    <row r="85" spans="6:6" x14ac:dyDescent="0.3">
      <c r="F85" s="180">
        <v>586984</v>
      </c>
    </row>
    <row r="86" spans="6:6" x14ac:dyDescent="0.3">
      <c r="F86" s="180">
        <v>55809758.009999998</v>
      </c>
    </row>
    <row r="87" spans="6:6" x14ac:dyDescent="0.3">
      <c r="F87" s="180">
        <v>30747346.780000001</v>
      </c>
    </row>
    <row r="88" spans="6:6" x14ac:dyDescent="0.3">
      <c r="F88" s="180">
        <v>8099636.5999999996</v>
      </c>
    </row>
    <row r="89" spans="6:6" x14ac:dyDescent="0.3">
      <c r="F89" s="180">
        <v>136097500</v>
      </c>
    </row>
    <row r="90" spans="6:6" x14ac:dyDescent="0.3">
      <c r="F90" s="180">
        <v>149947805.87</v>
      </c>
    </row>
    <row r="91" spans="6:6" x14ac:dyDescent="0.3">
      <c r="F91" s="180">
        <v>20162659.84</v>
      </c>
    </row>
    <row r="92" spans="6:6" x14ac:dyDescent="0.3">
      <c r="F92" s="180">
        <v>8278680.0800000001</v>
      </c>
    </row>
    <row r="93" spans="6:6" x14ac:dyDescent="0.3">
      <c r="F93" s="180">
        <v>44479630</v>
      </c>
    </row>
    <row r="94" spans="6:6" x14ac:dyDescent="0.3">
      <c r="F94" s="180">
        <v>65052624</v>
      </c>
    </row>
    <row r="95" spans="6:6" x14ac:dyDescent="0.3">
      <c r="F95" s="180">
        <v>3040460</v>
      </c>
    </row>
    <row r="96" spans="6:6" x14ac:dyDescent="0.3">
      <c r="F96" s="180">
        <v>3040460</v>
      </c>
    </row>
    <row r="97" spans="6:6" x14ac:dyDescent="0.3">
      <c r="F97" s="180">
        <v>3040460</v>
      </c>
    </row>
    <row r="98" spans="6:6" x14ac:dyDescent="0.3">
      <c r="F98" s="180">
        <v>5652439</v>
      </c>
    </row>
    <row r="99" spans="6:6" x14ac:dyDescent="0.3">
      <c r="F99" s="180">
        <v>1969550</v>
      </c>
    </row>
    <row r="100" spans="6:6" x14ac:dyDescent="0.3">
      <c r="F100" s="180">
        <v>21726335</v>
      </c>
    </row>
    <row r="101" spans="6:6" x14ac:dyDescent="0.3">
      <c r="F101" s="180">
        <v>16843300</v>
      </c>
    </row>
    <row r="102" spans="6:6" x14ac:dyDescent="0.3">
      <c r="F102" s="180">
        <v>9420842.6999999993</v>
      </c>
    </row>
    <row r="103" spans="6:6" x14ac:dyDescent="0.3">
      <c r="F103" s="180">
        <v>4706816.0999999996</v>
      </c>
    </row>
    <row r="104" spans="6:6" x14ac:dyDescent="0.3">
      <c r="F104" s="180">
        <v>11160.5</v>
      </c>
    </row>
    <row r="105" spans="6:6" x14ac:dyDescent="0.3">
      <c r="F105" s="180">
        <v>7752623.5</v>
      </c>
    </row>
    <row r="106" spans="6:6" x14ac:dyDescent="0.3">
      <c r="F106" s="180">
        <v>1161884</v>
      </c>
    </row>
    <row r="107" spans="6:6" x14ac:dyDescent="0.3">
      <c r="F107" s="180">
        <v>464120</v>
      </c>
    </row>
    <row r="108" spans="6:6" x14ac:dyDescent="0.3">
      <c r="F108" s="180">
        <v>5376381</v>
      </c>
    </row>
    <row r="109" spans="6:6" x14ac:dyDescent="0.3">
      <c r="F109" s="180">
        <v>3071920</v>
      </c>
    </row>
    <row r="110" spans="6:6" x14ac:dyDescent="0.3">
      <c r="F110" s="180">
        <v>2411361.19</v>
      </c>
    </row>
    <row r="111" spans="6:6" x14ac:dyDescent="0.3">
      <c r="F111" s="180">
        <v>2156028.6</v>
      </c>
    </row>
    <row r="112" spans="6:6" x14ac:dyDescent="0.3">
      <c r="F112" s="180">
        <v>1023024.96</v>
      </c>
    </row>
    <row r="113" spans="4:10" x14ac:dyDescent="0.3">
      <c r="F113" s="180">
        <v>2500000</v>
      </c>
    </row>
    <row r="114" spans="4:10" x14ac:dyDescent="0.3">
      <c r="F114" s="180">
        <v>4985723</v>
      </c>
    </row>
    <row r="115" spans="4:10" ht="15" thickBot="1" x14ac:dyDescent="0.35">
      <c r="F115" s="180">
        <v>8955315</v>
      </c>
    </row>
    <row r="116" spans="4:10" ht="15" thickBot="1" x14ac:dyDescent="0.35">
      <c r="D116" s="178" t="s">
        <v>613</v>
      </c>
      <c r="E116" s="179" t="s">
        <v>614</v>
      </c>
      <c r="F116" s="181">
        <f>+SUM(F117:F180)</f>
        <v>828120636.59000015</v>
      </c>
      <c r="G116" s="181">
        <f>+F116*$G$1</f>
        <v>311373359.35784006</v>
      </c>
      <c r="H116" s="181">
        <f>$H$1*0.19*F116</f>
        <v>7867146.0476050023</v>
      </c>
      <c r="I116" s="181">
        <f>+H116+G116+F116</f>
        <v>1147361141.9954453</v>
      </c>
      <c r="J116" s="177">
        <v>5034.49</v>
      </c>
    </row>
    <row r="117" spans="4:10" x14ac:dyDescent="0.3">
      <c r="F117" s="180">
        <v>11116153.92</v>
      </c>
    </row>
    <row r="118" spans="4:10" x14ac:dyDescent="0.3">
      <c r="F118" s="180">
        <v>829079.9</v>
      </c>
    </row>
    <row r="119" spans="4:10" x14ac:dyDescent="0.3">
      <c r="F119" s="180">
        <v>14672187.6</v>
      </c>
    </row>
    <row r="120" spans="4:10" x14ac:dyDescent="0.3">
      <c r="F120" s="180">
        <v>22171893.960000001</v>
      </c>
    </row>
    <row r="121" spans="4:10" x14ac:dyDescent="0.3">
      <c r="F121" s="180">
        <v>33129307.899999999</v>
      </c>
    </row>
    <row r="122" spans="4:10" x14ac:dyDescent="0.3">
      <c r="F122" s="180">
        <v>515300.48</v>
      </c>
    </row>
    <row r="123" spans="4:10" x14ac:dyDescent="0.3">
      <c r="F123" s="180">
        <v>1888194.42</v>
      </c>
    </row>
    <row r="124" spans="4:10" x14ac:dyDescent="0.3">
      <c r="F124" s="180">
        <v>12725553.15</v>
      </c>
    </row>
    <row r="125" spans="4:10" x14ac:dyDescent="0.3">
      <c r="F125" s="180">
        <v>6980029.6500000004</v>
      </c>
    </row>
    <row r="126" spans="4:10" x14ac:dyDescent="0.3">
      <c r="F126" s="180">
        <v>14709940.140000001</v>
      </c>
    </row>
    <row r="127" spans="4:10" x14ac:dyDescent="0.3">
      <c r="F127" s="180">
        <v>15525386</v>
      </c>
    </row>
    <row r="128" spans="4:10" x14ac:dyDescent="0.3">
      <c r="F128" s="180">
        <v>3944398.34</v>
      </c>
    </row>
    <row r="129" spans="6:6" x14ac:dyDescent="0.3">
      <c r="F129" s="180">
        <v>5215480</v>
      </c>
    </row>
    <row r="130" spans="6:6" x14ac:dyDescent="0.3">
      <c r="F130" s="180">
        <v>371911</v>
      </c>
    </row>
    <row r="131" spans="6:6" x14ac:dyDescent="0.3">
      <c r="F131" s="180">
        <v>2773632.68</v>
      </c>
    </row>
    <row r="132" spans="6:6" x14ac:dyDescent="0.3">
      <c r="F132" s="180">
        <v>90194888.700000003</v>
      </c>
    </row>
    <row r="133" spans="6:6" x14ac:dyDescent="0.3">
      <c r="F133" s="180">
        <v>11771904.970000001</v>
      </c>
    </row>
    <row r="134" spans="6:6" x14ac:dyDescent="0.3">
      <c r="F134" s="180">
        <v>1641474.45</v>
      </c>
    </row>
    <row r="135" spans="6:6" x14ac:dyDescent="0.3">
      <c r="F135" s="180">
        <v>58870455.439999998</v>
      </c>
    </row>
    <row r="136" spans="6:6" x14ac:dyDescent="0.3">
      <c r="F136" s="180">
        <v>569135.01</v>
      </c>
    </row>
    <row r="137" spans="6:6" x14ac:dyDescent="0.3">
      <c r="F137" s="180">
        <v>7641571.2999999998</v>
      </c>
    </row>
    <row r="138" spans="6:6" x14ac:dyDescent="0.3">
      <c r="F138" s="180">
        <v>3383792</v>
      </c>
    </row>
    <row r="139" spans="6:6" x14ac:dyDescent="0.3">
      <c r="F139" s="180">
        <v>28420489.170000002</v>
      </c>
    </row>
    <row r="140" spans="6:6" x14ac:dyDescent="0.3">
      <c r="F140" s="180">
        <v>62633600.340000004</v>
      </c>
    </row>
    <row r="141" spans="6:6" x14ac:dyDescent="0.3">
      <c r="F141" s="180">
        <v>32685602.489999998</v>
      </c>
    </row>
    <row r="142" spans="6:6" x14ac:dyDescent="0.3">
      <c r="F142" s="180">
        <v>5793453.5999999996</v>
      </c>
    </row>
    <row r="143" spans="6:6" x14ac:dyDescent="0.3">
      <c r="F143" s="180">
        <v>135410700</v>
      </c>
    </row>
    <row r="144" spans="6:6" x14ac:dyDescent="0.3">
      <c r="F144" s="180">
        <v>7225602.5599999996</v>
      </c>
    </row>
    <row r="145" spans="6:6" x14ac:dyDescent="0.3">
      <c r="F145" s="180">
        <v>32504345</v>
      </c>
    </row>
    <row r="146" spans="6:6" x14ac:dyDescent="0.3">
      <c r="F146" s="180">
        <v>44142852</v>
      </c>
    </row>
    <row r="147" spans="6:6" x14ac:dyDescent="0.3">
      <c r="F147" s="180">
        <v>1797568</v>
      </c>
    </row>
    <row r="148" spans="6:6" x14ac:dyDescent="0.3">
      <c r="F148" s="180">
        <v>1309439</v>
      </c>
    </row>
    <row r="149" spans="6:6" x14ac:dyDescent="0.3">
      <c r="F149" s="180">
        <v>2280345</v>
      </c>
    </row>
    <row r="150" spans="6:6" x14ac:dyDescent="0.3">
      <c r="F150" s="180">
        <v>2280345</v>
      </c>
    </row>
    <row r="151" spans="6:6" x14ac:dyDescent="0.3">
      <c r="F151" s="180">
        <v>2280345</v>
      </c>
    </row>
    <row r="152" spans="6:6" x14ac:dyDescent="0.3">
      <c r="F152" s="180">
        <v>5652439</v>
      </c>
    </row>
    <row r="153" spans="6:6" x14ac:dyDescent="0.3">
      <c r="F153" s="180">
        <v>1053306</v>
      </c>
    </row>
    <row r="154" spans="6:6" x14ac:dyDescent="0.3">
      <c r="F154" s="180">
        <v>1846762</v>
      </c>
    </row>
    <row r="155" spans="6:6" x14ac:dyDescent="0.3">
      <c r="F155" s="180">
        <v>5399342</v>
      </c>
    </row>
    <row r="156" spans="6:6" x14ac:dyDescent="0.3">
      <c r="F156" s="180">
        <v>2944294.2</v>
      </c>
    </row>
    <row r="157" spans="6:6" x14ac:dyDescent="0.3">
      <c r="F157" s="180">
        <v>1031778</v>
      </c>
    </row>
    <row r="158" spans="6:6" x14ac:dyDescent="0.3">
      <c r="F158" s="180">
        <v>1722112</v>
      </c>
    </row>
    <row r="159" spans="6:6" x14ac:dyDescent="0.3">
      <c r="F159" s="180">
        <v>780684</v>
      </c>
    </row>
    <row r="160" spans="6:6" x14ac:dyDescent="0.3">
      <c r="F160" s="180">
        <v>1969550</v>
      </c>
    </row>
    <row r="161" spans="6:6" x14ac:dyDescent="0.3">
      <c r="F161" s="180">
        <v>15351036.08</v>
      </c>
    </row>
    <row r="162" spans="6:6" x14ac:dyDescent="0.3">
      <c r="F162" s="180">
        <v>14822104</v>
      </c>
    </row>
    <row r="163" spans="6:6" x14ac:dyDescent="0.3">
      <c r="F163" s="180">
        <v>6894030.3600000003</v>
      </c>
    </row>
    <row r="164" spans="6:6" x14ac:dyDescent="0.3">
      <c r="F164" s="180">
        <v>510822</v>
      </c>
    </row>
    <row r="165" spans="6:6" x14ac:dyDescent="0.3">
      <c r="F165" s="180">
        <v>8255379.9299999997</v>
      </c>
    </row>
    <row r="166" spans="6:6" x14ac:dyDescent="0.3">
      <c r="F166" s="180">
        <v>49237.5</v>
      </c>
    </row>
    <row r="167" spans="6:6" x14ac:dyDescent="0.3">
      <c r="F167" s="180">
        <v>9701262.1199999992</v>
      </c>
    </row>
    <row r="168" spans="6:6" x14ac:dyDescent="0.3">
      <c r="F168" s="180">
        <v>580942</v>
      </c>
    </row>
    <row r="169" spans="6:6" x14ac:dyDescent="0.3">
      <c r="F169" s="180">
        <v>158652</v>
      </c>
    </row>
    <row r="170" spans="6:6" x14ac:dyDescent="0.3">
      <c r="F170" s="180">
        <v>167976</v>
      </c>
    </row>
    <row r="171" spans="6:6" x14ac:dyDescent="0.3">
      <c r="F171" s="180">
        <v>116030</v>
      </c>
    </row>
    <row r="172" spans="6:6" x14ac:dyDescent="0.3">
      <c r="F172" s="180">
        <v>120578</v>
      </c>
    </row>
    <row r="173" spans="6:6" x14ac:dyDescent="0.3">
      <c r="F173" s="180">
        <v>5376381</v>
      </c>
    </row>
    <row r="174" spans="6:6" x14ac:dyDescent="0.3">
      <c r="F174" s="180">
        <v>3071920</v>
      </c>
    </row>
    <row r="175" spans="6:6" x14ac:dyDescent="0.3">
      <c r="F175" s="180">
        <v>2293828.3199999998</v>
      </c>
    </row>
    <row r="176" spans="6:6" x14ac:dyDescent="0.3">
      <c r="F176" s="180">
        <v>42738662.990000002</v>
      </c>
    </row>
    <row r="177" spans="4:10" x14ac:dyDescent="0.3">
      <c r="F177" s="180">
        <v>1455193.92</v>
      </c>
    </row>
    <row r="178" spans="4:10" x14ac:dyDescent="0.3">
      <c r="F178" s="180">
        <v>2500000</v>
      </c>
    </row>
    <row r="179" spans="4:10" x14ac:dyDescent="0.3">
      <c r="F179" s="180">
        <v>4985723</v>
      </c>
    </row>
    <row r="180" spans="4:10" ht="15" thickBot="1" x14ac:dyDescent="0.35">
      <c r="F180" s="180">
        <v>7164252</v>
      </c>
    </row>
    <row r="181" spans="4:10" ht="15" thickBot="1" x14ac:dyDescent="0.35">
      <c r="D181" s="178"/>
      <c r="E181" s="179" t="s">
        <v>249</v>
      </c>
      <c r="F181" s="181"/>
      <c r="G181" s="181"/>
      <c r="H181" s="181"/>
      <c r="I181" s="181">
        <f>+I116+I69+I3</f>
        <v>4593093036.3470955</v>
      </c>
      <c r="J181" s="184">
        <f>+J116+J69+J3</f>
        <v>19301.22</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S578"/>
  <sheetViews>
    <sheetView topLeftCell="A374" zoomScale="55" zoomScaleNormal="55" zoomScaleSheetLayoutView="55" zoomScalePageLayoutView="70" workbookViewId="0">
      <selection activeCell="F386" sqref="F386"/>
    </sheetView>
  </sheetViews>
  <sheetFormatPr baseColWidth="10" defaultColWidth="9.109375" defaultRowHeight="14.4" x14ac:dyDescent="0.3"/>
  <cols>
    <col min="1" max="1" width="77.88671875" style="26" customWidth="1"/>
    <col min="2" max="2" width="27.88671875" style="26" bestFit="1" customWidth="1"/>
    <col min="3" max="3" width="46.88671875" style="26" bestFit="1" customWidth="1"/>
    <col min="4" max="6" width="34.33203125" style="26" customWidth="1"/>
    <col min="7" max="7" width="43.44140625" style="26" customWidth="1"/>
    <col min="8" max="8" width="20.109375" style="26" customWidth="1"/>
    <col min="9" max="9" width="20.88671875" style="26" customWidth="1"/>
    <col min="10" max="10" width="26.44140625" style="26" customWidth="1"/>
    <col min="11" max="11" width="28.109375" style="26" customWidth="1"/>
    <col min="12" max="12" width="21.44140625" style="26" customWidth="1"/>
    <col min="13" max="13" width="23.33203125" style="26" customWidth="1"/>
    <col min="14" max="17" width="37.33203125" style="26" customWidth="1"/>
    <col min="18" max="18" width="97.44140625" style="26" customWidth="1"/>
    <col min="19" max="19" width="17.6640625" style="26" customWidth="1"/>
    <col min="20" max="16384" width="9.109375" style="26"/>
  </cols>
  <sheetData>
    <row r="1" spans="1:19" s="25" customFormat="1" ht="59.25" customHeight="1" x14ac:dyDescent="0.3">
      <c r="A1" s="597" t="s">
        <v>19</v>
      </c>
      <c r="B1" s="598"/>
      <c r="C1" s="598"/>
      <c r="D1" s="598"/>
      <c r="E1" s="598"/>
      <c r="F1" s="598"/>
      <c r="G1" s="598"/>
      <c r="H1" s="598"/>
      <c r="I1" s="598"/>
      <c r="J1" s="598"/>
      <c r="K1" s="598"/>
      <c r="L1" s="598"/>
      <c r="M1" s="598"/>
      <c r="N1" s="598"/>
      <c r="O1" s="598"/>
      <c r="P1" s="598"/>
      <c r="Q1" s="598"/>
      <c r="R1" s="599"/>
    </row>
    <row r="2" spans="1:19" ht="35.25" customHeight="1" x14ac:dyDescent="0.3">
      <c r="A2" s="600" t="s">
        <v>20</v>
      </c>
      <c r="B2" s="600"/>
      <c r="C2" s="600"/>
      <c r="D2" s="600"/>
      <c r="E2" s="600"/>
      <c r="F2" s="600"/>
      <c r="G2" s="600"/>
      <c r="H2" s="600"/>
      <c r="I2" s="600"/>
      <c r="J2" s="600"/>
      <c r="K2" s="600"/>
      <c r="L2" s="600"/>
      <c r="M2" s="600"/>
      <c r="N2" s="600"/>
      <c r="O2" s="600"/>
      <c r="P2" s="600"/>
      <c r="Q2" s="600"/>
      <c r="R2" s="600"/>
    </row>
    <row r="3" spans="1:19" ht="35.25" customHeight="1" x14ac:dyDescent="0.3">
      <c r="A3" s="601" t="s">
        <v>212</v>
      </c>
      <c r="B3" s="601"/>
      <c r="C3" s="601"/>
      <c r="D3" s="601"/>
      <c r="E3" s="601"/>
      <c r="F3" s="601"/>
      <c r="G3" s="601"/>
      <c r="H3" s="601"/>
      <c r="I3" s="601"/>
      <c r="J3" s="601"/>
      <c r="K3" s="601"/>
      <c r="L3" s="601"/>
      <c r="M3" s="601"/>
      <c r="N3" s="601"/>
      <c r="O3" s="601"/>
      <c r="P3" s="601"/>
      <c r="Q3" s="601"/>
      <c r="R3" s="601"/>
      <c r="S3" s="27" t="s">
        <v>213</v>
      </c>
    </row>
    <row r="4" spans="1:19" ht="27.75" customHeight="1" x14ac:dyDescent="0.3">
      <c r="A4" s="441"/>
      <c r="B4" s="441"/>
      <c r="C4" s="441"/>
      <c r="D4" s="441"/>
      <c r="E4" s="441"/>
      <c r="F4" s="441"/>
      <c r="G4" s="441"/>
      <c r="H4" s="441"/>
      <c r="I4" s="441"/>
      <c r="J4" s="441"/>
      <c r="K4" s="441"/>
      <c r="L4" s="441"/>
      <c r="M4" s="441"/>
      <c r="N4" s="441"/>
      <c r="O4" s="441"/>
      <c r="P4" s="441"/>
      <c r="Q4" s="441"/>
      <c r="R4" s="441"/>
      <c r="S4" s="27" t="s">
        <v>214</v>
      </c>
    </row>
    <row r="5" spans="1:19" ht="15.6" x14ac:dyDescent="0.3">
      <c r="A5" s="4"/>
      <c r="B5" s="4"/>
      <c r="C5" s="4"/>
      <c r="D5" s="4"/>
      <c r="E5" s="4"/>
      <c r="F5" s="4"/>
      <c r="G5" s="4"/>
      <c r="H5" s="4"/>
      <c r="I5" s="4"/>
      <c r="J5" s="4"/>
      <c r="K5" s="4"/>
      <c r="L5" s="4"/>
      <c r="M5" s="4"/>
      <c r="N5" s="5"/>
      <c r="O5" s="5"/>
      <c r="P5" s="5"/>
      <c r="Q5" s="5"/>
      <c r="R5" s="6"/>
    </row>
    <row r="6" spans="1:19" ht="15.6" x14ac:dyDescent="0.3">
      <c r="A6" s="4"/>
      <c r="B6" s="4"/>
      <c r="C6" s="4"/>
      <c r="D6" s="4"/>
      <c r="E6" s="4"/>
      <c r="F6" s="4"/>
      <c r="G6" s="4"/>
      <c r="H6" s="4"/>
      <c r="I6" s="4"/>
      <c r="J6" s="4"/>
      <c r="K6" s="4"/>
      <c r="L6" s="4"/>
      <c r="M6" s="4"/>
      <c r="N6" s="5"/>
      <c r="O6" s="5"/>
      <c r="P6" s="5"/>
      <c r="Q6" s="5"/>
      <c r="R6" s="5"/>
    </row>
    <row r="7" spans="1:19" ht="16.2" thickBot="1" x14ac:dyDescent="0.35">
      <c r="A7" s="4"/>
      <c r="B7" s="4"/>
      <c r="C7" s="4"/>
      <c r="D7" s="4"/>
      <c r="E7" s="4"/>
      <c r="F7" s="4"/>
      <c r="G7" s="4"/>
      <c r="H7" s="4"/>
      <c r="I7" s="4"/>
      <c r="J7" s="4"/>
      <c r="K7" s="4"/>
      <c r="L7" s="4"/>
      <c r="M7" s="4"/>
      <c r="N7" s="5"/>
      <c r="O7" s="5"/>
      <c r="P7" s="5"/>
      <c r="Q7" s="5"/>
      <c r="R7" s="5"/>
    </row>
    <row r="8" spans="1:19" ht="30.75" customHeight="1" thickBot="1" x14ac:dyDescent="0.35">
      <c r="A8" s="442">
        <v>1</v>
      </c>
      <c r="B8" s="443"/>
      <c r="C8" s="443"/>
      <c r="D8" s="444"/>
      <c r="E8" s="445" t="str">
        <f>VLOOKUP(A8,'LISTA DE OFERENTES'!$A$6:$B$38,2,FALSE)</f>
        <v>CONSORCIO ESTRUCTURAS Y OBRAS</v>
      </c>
      <c r="F8" s="446"/>
      <c r="G8" s="446"/>
      <c r="H8" s="446"/>
      <c r="I8" s="446"/>
      <c r="J8" s="446"/>
      <c r="K8" s="446"/>
      <c r="L8" s="446"/>
      <c r="M8" s="446"/>
      <c r="N8" s="446"/>
      <c r="O8" s="446"/>
      <c r="P8" s="446"/>
      <c r="Q8" s="446"/>
      <c r="R8" s="447"/>
    </row>
    <row r="9" spans="1:19" ht="50.25" customHeight="1" x14ac:dyDescent="0.3">
      <c r="A9" s="28" t="s">
        <v>215</v>
      </c>
      <c r="B9" s="85">
        <v>2</v>
      </c>
      <c r="C9" s="29" t="s">
        <v>216</v>
      </c>
      <c r="D9" s="68">
        <f>+$E$508</f>
        <v>1649.6083550000001</v>
      </c>
      <c r="E9" s="448"/>
      <c r="F9" s="449"/>
      <c r="G9" s="449"/>
      <c r="H9" s="449"/>
      <c r="I9" s="449"/>
      <c r="J9" s="449"/>
      <c r="K9" s="449"/>
      <c r="L9" s="449"/>
      <c r="M9" s="449"/>
      <c r="N9" s="449"/>
      <c r="O9" s="449"/>
      <c r="P9" s="449"/>
      <c r="Q9" s="449"/>
      <c r="R9" s="450"/>
    </row>
    <row r="10" spans="1:19" ht="30" customHeight="1" x14ac:dyDescent="0.3">
      <c r="A10" s="454" t="s">
        <v>217</v>
      </c>
      <c r="B10" s="455"/>
      <c r="C10" s="70">
        <f>IF(B9&lt;3,0.75,IF(B9&lt;5,1.2,1.5))</f>
        <v>0.75</v>
      </c>
      <c r="D10" s="71">
        <f>+D9*C10</f>
        <v>1237.20626625</v>
      </c>
      <c r="E10" s="448"/>
      <c r="F10" s="449"/>
      <c r="G10" s="449"/>
      <c r="H10" s="449"/>
      <c r="I10" s="449"/>
      <c r="J10" s="449"/>
      <c r="K10" s="449"/>
      <c r="L10" s="449"/>
      <c r="M10" s="449"/>
      <c r="N10" s="449"/>
      <c r="O10" s="449"/>
      <c r="P10" s="449"/>
      <c r="Q10" s="449"/>
      <c r="R10" s="450"/>
    </row>
    <row r="11" spans="1:19" ht="30" customHeight="1" x14ac:dyDescent="0.3">
      <c r="A11" s="456" t="s">
        <v>218</v>
      </c>
      <c r="B11" s="455"/>
      <c r="C11" s="457">
        <v>44771</v>
      </c>
      <c r="D11" s="458"/>
      <c r="E11" s="448"/>
      <c r="F11" s="449"/>
      <c r="G11" s="449"/>
      <c r="H11" s="449"/>
      <c r="I11" s="449"/>
      <c r="J11" s="449"/>
      <c r="K11" s="449"/>
      <c r="L11" s="449"/>
      <c r="M11" s="449"/>
      <c r="N11" s="449"/>
      <c r="O11" s="449"/>
      <c r="P11" s="449"/>
      <c r="Q11" s="449"/>
      <c r="R11" s="450"/>
    </row>
    <row r="12" spans="1:19" ht="30" customHeight="1" x14ac:dyDescent="0.3">
      <c r="A12" s="459" t="s">
        <v>219</v>
      </c>
      <c r="B12" s="460"/>
      <c r="C12" s="472" t="str">
        <f>+IF(I19&gt;D10,"CUMPLE","NO CUMPLE")</f>
        <v>CUMPLE</v>
      </c>
      <c r="D12" s="473"/>
      <c r="E12" s="451"/>
      <c r="F12" s="452"/>
      <c r="G12" s="452"/>
      <c r="H12" s="452"/>
      <c r="I12" s="452"/>
      <c r="J12" s="452"/>
      <c r="K12" s="452"/>
      <c r="L12" s="452"/>
      <c r="M12" s="452"/>
      <c r="N12" s="452"/>
      <c r="O12" s="452"/>
      <c r="P12" s="452"/>
      <c r="Q12" s="452"/>
      <c r="R12" s="453"/>
    </row>
    <row r="13" spans="1:19" ht="55.5" customHeight="1" x14ac:dyDescent="0.3">
      <c r="A13" s="474" t="s">
        <v>220</v>
      </c>
      <c r="B13" s="475"/>
      <c r="C13" s="475"/>
      <c r="D13" s="475"/>
      <c r="E13" s="475"/>
      <c r="F13" s="475"/>
      <c r="G13" s="475"/>
      <c r="H13" s="475"/>
      <c r="I13" s="476"/>
      <c r="J13" s="81" t="s">
        <v>221</v>
      </c>
      <c r="K13" s="103" t="s">
        <v>222</v>
      </c>
      <c r="L13" s="477" t="s">
        <v>223</v>
      </c>
      <c r="M13" s="476"/>
      <c r="N13" s="478" t="s">
        <v>224</v>
      </c>
      <c r="O13" s="480" t="s">
        <v>225</v>
      </c>
      <c r="P13" s="481"/>
      <c r="Q13" s="478" t="s">
        <v>226</v>
      </c>
      <c r="R13" s="461" t="s">
        <v>227</v>
      </c>
    </row>
    <row r="14" spans="1:19" ht="77.25" customHeight="1" x14ac:dyDescent="0.3">
      <c r="A14" s="82" t="s">
        <v>228</v>
      </c>
      <c r="B14" s="463" t="s">
        <v>229</v>
      </c>
      <c r="C14" s="464"/>
      <c r="D14" s="83" t="s">
        <v>230</v>
      </c>
      <c r="E14" s="83" t="s">
        <v>231</v>
      </c>
      <c r="F14" s="83" t="s">
        <v>232</v>
      </c>
      <c r="G14" s="83" t="s">
        <v>233</v>
      </c>
      <c r="H14" s="116" t="s">
        <v>234</v>
      </c>
      <c r="I14" s="116" t="s">
        <v>235</v>
      </c>
      <c r="J14" s="84" t="s">
        <v>236</v>
      </c>
      <c r="K14" s="84" t="s">
        <v>237</v>
      </c>
      <c r="L14" s="191" t="s">
        <v>238</v>
      </c>
      <c r="M14" s="84" t="s">
        <v>239</v>
      </c>
      <c r="N14" s="479"/>
      <c r="O14" s="482"/>
      <c r="P14" s="483"/>
      <c r="Q14" s="479"/>
      <c r="R14" s="462"/>
    </row>
    <row r="15" spans="1:19" ht="39.9" customHeight="1" x14ac:dyDescent="0.3">
      <c r="A15" s="213" t="s">
        <v>240</v>
      </c>
      <c r="B15" s="87"/>
      <c r="C15" s="87"/>
      <c r="D15" s="87"/>
      <c r="E15" s="87"/>
      <c r="F15" s="87"/>
      <c r="G15" s="87"/>
      <c r="H15" s="87"/>
      <c r="I15" s="87"/>
      <c r="J15" s="87"/>
      <c r="K15" s="87"/>
      <c r="L15" s="465" t="str">
        <f>+A15</f>
        <v>ESTRUCTURAS DE HORMIGON LTDA ; OBRAS LTDA</v>
      </c>
      <c r="M15" s="87"/>
      <c r="N15" s="87"/>
      <c r="O15" s="162" t="s">
        <v>241</v>
      </c>
      <c r="P15" s="87"/>
      <c r="Q15" s="159"/>
      <c r="R15" s="90"/>
    </row>
    <row r="16" spans="1:19" s="33" customFormat="1" ht="150" customHeight="1" x14ac:dyDescent="0.3">
      <c r="A16" s="317" t="s">
        <v>242</v>
      </c>
      <c r="B16" s="466" t="s">
        <v>243</v>
      </c>
      <c r="C16" s="467"/>
      <c r="D16" s="23">
        <v>636550279</v>
      </c>
      <c r="E16" s="69">
        <v>2013</v>
      </c>
      <c r="F16" s="185">
        <v>5106.1099999999997</v>
      </c>
      <c r="G16" s="24">
        <f>D16/(VLOOKUP(E16,$D$535:$E$566,2,FALSE))</f>
        <v>1079.8138744698897</v>
      </c>
      <c r="H16" s="3">
        <v>0.9</v>
      </c>
      <c r="I16" s="24">
        <f>H16*G16</f>
        <v>971.83248702290075</v>
      </c>
      <c r="J16" s="100">
        <v>41450</v>
      </c>
      <c r="K16" s="255">
        <v>72153100</v>
      </c>
      <c r="L16" s="465"/>
      <c r="M16" s="31">
        <f>I16</f>
        <v>971.83248702290075</v>
      </c>
      <c r="N16" s="119" t="s">
        <v>213</v>
      </c>
      <c r="O16" s="186" t="str">
        <f>+CONCATENATE(FIXED(F16*H16,2)," ","m2")</f>
        <v>4.595,50 m2</v>
      </c>
      <c r="P16" s="150" t="s">
        <v>213</v>
      </c>
      <c r="Q16" s="158" t="s">
        <v>213</v>
      </c>
      <c r="R16" s="32" t="s">
        <v>244</v>
      </c>
    </row>
    <row r="17" spans="1:18" s="247" customFormat="1" ht="150" customHeight="1" x14ac:dyDescent="0.3">
      <c r="A17" s="318" t="str">
        <f>+'LISTA DE OFERENTES'!G6</f>
        <v>ESTRUCTURAS DE CONCRETO S.A.</v>
      </c>
      <c r="B17" s="468"/>
      <c r="C17" s="469"/>
      <c r="D17" s="248"/>
      <c r="E17" s="248"/>
      <c r="F17" s="248"/>
      <c r="G17" s="248"/>
      <c r="H17" s="248"/>
      <c r="I17" s="248"/>
      <c r="J17" s="248"/>
      <c r="K17" s="249"/>
      <c r="L17" s="465"/>
      <c r="M17" s="250"/>
      <c r="N17" s="248"/>
      <c r="O17" s="248"/>
      <c r="P17" s="248"/>
      <c r="Q17" s="316"/>
      <c r="R17" s="252"/>
    </row>
    <row r="18" spans="1:18" s="33" customFormat="1" ht="162.75" customHeight="1" x14ac:dyDescent="0.3">
      <c r="A18" s="319" t="s">
        <v>245</v>
      </c>
      <c r="B18" s="470" t="s">
        <v>246</v>
      </c>
      <c r="C18" s="471"/>
      <c r="D18" s="238">
        <v>307683830.10000002</v>
      </c>
      <c r="E18" s="239">
        <v>2019</v>
      </c>
      <c r="F18" s="240">
        <v>597.36</v>
      </c>
      <c r="G18" s="241">
        <f>D18/(VLOOKUP(E18,$D$535:$E$566,2,FALSE))</f>
        <v>371.54677617628454</v>
      </c>
      <c r="H18" s="242">
        <v>1</v>
      </c>
      <c r="I18" s="241">
        <f>H18*G18</f>
        <v>371.54677617628454</v>
      </c>
      <c r="J18" s="243">
        <v>43539</v>
      </c>
      <c r="K18" s="255" t="s">
        <v>247</v>
      </c>
      <c r="L18" s="465"/>
      <c r="M18" s="244">
        <f>I18</f>
        <v>371.54677617628454</v>
      </c>
      <c r="N18" s="237" t="s">
        <v>213</v>
      </c>
      <c r="O18" s="245" t="str">
        <f>+CONCATENATE(FIXED(F18*H18,2)," ","m2")</f>
        <v>597,36 m2</v>
      </c>
      <c r="P18" s="313"/>
      <c r="Q18" s="315" t="s">
        <v>213</v>
      </c>
      <c r="R18" s="246" t="s">
        <v>248</v>
      </c>
    </row>
    <row r="19" spans="1:18" s="33" customFormat="1" ht="125.25" customHeight="1" thickBot="1" x14ac:dyDescent="0.35">
      <c r="A19" s="484" t="s">
        <v>249</v>
      </c>
      <c r="B19" s="485"/>
      <c r="C19" s="485"/>
      <c r="D19" s="485"/>
      <c r="E19" s="485"/>
      <c r="F19" s="485"/>
      <c r="G19" s="485"/>
      <c r="H19" s="486"/>
      <c r="I19" s="72">
        <f>SUM(I16:I18)</f>
        <v>1343.3792631991853</v>
      </c>
      <c r="J19" s="487" t="s">
        <v>250</v>
      </c>
      <c r="K19" s="488"/>
      <c r="L19" s="489"/>
      <c r="M19" s="488"/>
      <c r="N19" s="488"/>
      <c r="O19" s="488"/>
      <c r="P19" s="490"/>
      <c r="Q19" s="161"/>
      <c r="R19" s="92" t="s">
        <v>213</v>
      </c>
    </row>
    <row r="20" spans="1:18" ht="16.2" thickBot="1" x14ac:dyDescent="0.35">
      <c r="A20" s="4"/>
      <c r="B20" s="4"/>
      <c r="C20" s="4"/>
      <c r="D20" s="4"/>
      <c r="E20" s="4"/>
      <c r="F20" s="4"/>
      <c r="G20" s="4"/>
      <c r="H20" s="4"/>
      <c r="I20" s="4"/>
      <c r="J20" s="4"/>
      <c r="K20" s="4"/>
      <c r="L20" s="4"/>
      <c r="M20" s="4"/>
      <c r="N20" s="5"/>
      <c r="O20" s="5"/>
      <c r="P20" s="5"/>
      <c r="Q20" s="5"/>
      <c r="R20" s="5"/>
    </row>
    <row r="21" spans="1:18" ht="30.75" customHeight="1" thickBot="1" x14ac:dyDescent="0.35">
      <c r="A21" s="442">
        <f>A8+1</f>
        <v>2</v>
      </c>
      <c r="B21" s="443"/>
      <c r="C21" s="443"/>
      <c r="D21" s="444"/>
      <c r="E21" s="445" t="str">
        <f>VLOOKUP(A21,'LISTA DE OFERENTES'!$A$6:$B$38,2,FALSE)</f>
        <v>HAPIL INGENIERIA SAS</v>
      </c>
      <c r="F21" s="446"/>
      <c r="G21" s="446"/>
      <c r="H21" s="446"/>
      <c r="I21" s="446"/>
      <c r="J21" s="446"/>
      <c r="K21" s="446"/>
      <c r="L21" s="446"/>
      <c r="M21" s="446"/>
      <c r="N21" s="446"/>
      <c r="O21" s="446"/>
      <c r="P21" s="446"/>
      <c r="Q21" s="446"/>
      <c r="R21" s="447"/>
    </row>
    <row r="22" spans="1:18" ht="50.25" customHeight="1" x14ac:dyDescent="0.3">
      <c r="A22" s="28" t="s">
        <v>215</v>
      </c>
      <c r="B22" s="85"/>
      <c r="C22" s="29" t="s">
        <v>216</v>
      </c>
      <c r="D22" s="68">
        <f>+$E$508</f>
        <v>1649.6083550000001</v>
      </c>
      <c r="E22" s="448"/>
      <c r="F22" s="449"/>
      <c r="G22" s="449"/>
      <c r="H22" s="449"/>
      <c r="I22" s="449"/>
      <c r="J22" s="449"/>
      <c r="K22" s="449"/>
      <c r="L22" s="449"/>
      <c r="M22" s="449"/>
      <c r="N22" s="449"/>
      <c r="O22" s="449"/>
      <c r="P22" s="449"/>
      <c r="Q22" s="449"/>
      <c r="R22" s="450"/>
    </row>
    <row r="23" spans="1:18" ht="30" customHeight="1" x14ac:dyDescent="0.3">
      <c r="A23" s="454" t="s">
        <v>217</v>
      </c>
      <c r="B23" s="455"/>
      <c r="C23" s="70">
        <f>IF(B22&lt;3,0.75,IF(B22&lt;5,1.2,1.5))</f>
        <v>0.75</v>
      </c>
      <c r="D23" s="71">
        <f>+D22*C23</f>
        <v>1237.20626625</v>
      </c>
      <c r="E23" s="448"/>
      <c r="F23" s="449"/>
      <c r="G23" s="449"/>
      <c r="H23" s="449"/>
      <c r="I23" s="449"/>
      <c r="J23" s="449"/>
      <c r="K23" s="449"/>
      <c r="L23" s="449"/>
      <c r="M23" s="449"/>
      <c r="N23" s="449"/>
      <c r="O23" s="449"/>
      <c r="P23" s="449"/>
      <c r="Q23" s="449"/>
      <c r="R23" s="450"/>
    </row>
    <row r="24" spans="1:18" ht="30" customHeight="1" x14ac:dyDescent="0.3">
      <c r="A24" s="456" t="s">
        <v>218</v>
      </c>
      <c r="B24" s="455"/>
      <c r="C24" s="457">
        <v>44771</v>
      </c>
      <c r="D24" s="458"/>
      <c r="E24" s="448"/>
      <c r="F24" s="449"/>
      <c r="G24" s="449"/>
      <c r="H24" s="449"/>
      <c r="I24" s="449"/>
      <c r="J24" s="449"/>
      <c r="K24" s="449"/>
      <c r="L24" s="449"/>
      <c r="M24" s="449"/>
      <c r="N24" s="449"/>
      <c r="O24" s="449"/>
      <c r="P24" s="449"/>
      <c r="Q24" s="449"/>
      <c r="R24" s="450"/>
    </row>
    <row r="25" spans="1:18" ht="30" customHeight="1" x14ac:dyDescent="0.3">
      <c r="A25" s="459" t="s">
        <v>219</v>
      </c>
      <c r="B25" s="460"/>
      <c r="C25" s="472" t="str">
        <f>+IF(I30&gt;D23,"CUMPLE","NO CUMPLE")</f>
        <v>CUMPLE</v>
      </c>
      <c r="D25" s="473"/>
      <c r="E25" s="451"/>
      <c r="F25" s="452"/>
      <c r="G25" s="452"/>
      <c r="H25" s="452"/>
      <c r="I25" s="452"/>
      <c r="J25" s="452"/>
      <c r="K25" s="452"/>
      <c r="L25" s="452"/>
      <c r="M25" s="452"/>
      <c r="N25" s="452"/>
      <c r="O25" s="452"/>
      <c r="P25" s="452"/>
      <c r="Q25" s="452"/>
      <c r="R25" s="453"/>
    </row>
    <row r="26" spans="1:18" ht="55.5" customHeight="1" x14ac:dyDescent="0.3">
      <c r="A26" s="474" t="s">
        <v>220</v>
      </c>
      <c r="B26" s="475"/>
      <c r="C26" s="475"/>
      <c r="D26" s="475"/>
      <c r="E26" s="475"/>
      <c r="F26" s="475"/>
      <c r="G26" s="475"/>
      <c r="H26" s="475"/>
      <c r="I26" s="476"/>
      <c r="J26" s="81" t="s">
        <v>221</v>
      </c>
      <c r="K26" s="103" t="s">
        <v>222</v>
      </c>
      <c r="L26" s="477" t="s">
        <v>223</v>
      </c>
      <c r="M26" s="476"/>
      <c r="N26" s="478" t="s">
        <v>224</v>
      </c>
      <c r="O26" s="480" t="s">
        <v>225</v>
      </c>
      <c r="P26" s="481"/>
      <c r="Q26" s="478" t="s">
        <v>226</v>
      </c>
      <c r="R26" s="461" t="s">
        <v>227</v>
      </c>
    </row>
    <row r="27" spans="1:18" ht="77.25" customHeight="1" x14ac:dyDescent="0.3">
      <c r="A27" s="82" t="s">
        <v>228</v>
      </c>
      <c r="B27" s="463" t="s">
        <v>229</v>
      </c>
      <c r="C27" s="464"/>
      <c r="D27" s="83" t="s">
        <v>230</v>
      </c>
      <c r="E27" s="83" t="s">
        <v>231</v>
      </c>
      <c r="F27" s="83" t="s">
        <v>232</v>
      </c>
      <c r="G27" s="83" t="s">
        <v>233</v>
      </c>
      <c r="H27" s="116" t="s">
        <v>234</v>
      </c>
      <c r="I27" s="116" t="s">
        <v>235</v>
      </c>
      <c r="J27" s="84" t="s">
        <v>236</v>
      </c>
      <c r="K27" s="84" t="s">
        <v>237</v>
      </c>
      <c r="L27" s="84" t="s">
        <v>238</v>
      </c>
      <c r="M27" s="84" t="s">
        <v>239</v>
      </c>
      <c r="N27" s="479"/>
      <c r="O27" s="482"/>
      <c r="P27" s="483"/>
      <c r="Q27" s="479"/>
      <c r="R27" s="462"/>
    </row>
    <row r="28" spans="1:18" ht="39.9" customHeight="1" x14ac:dyDescent="0.3">
      <c r="A28" s="86" t="str">
        <f>VLOOKUP(A21,'LISTA DE OFERENTES'!$A$6:$R$38,2,FALSE)</f>
        <v>HAPIL INGENIERIA SAS</v>
      </c>
      <c r="B28" s="87"/>
      <c r="C28" s="87"/>
      <c r="D28" s="87"/>
      <c r="E28" s="87"/>
      <c r="F28" s="87"/>
      <c r="G28" s="87"/>
      <c r="H28" s="87"/>
      <c r="I28" s="87"/>
      <c r="J28" s="87"/>
      <c r="K28" s="87"/>
      <c r="L28" s="491" t="str">
        <f>+A28</f>
        <v>HAPIL INGENIERIA SAS</v>
      </c>
      <c r="M28" s="87"/>
      <c r="N28" s="87"/>
      <c r="O28" s="162" t="s">
        <v>241</v>
      </c>
      <c r="P28" s="87"/>
      <c r="Q28" s="87"/>
      <c r="R28" s="90"/>
    </row>
    <row r="29" spans="1:18" ht="150" customHeight="1" x14ac:dyDescent="0.3">
      <c r="A29" s="119" t="s">
        <v>251</v>
      </c>
      <c r="B29" s="493" t="s">
        <v>252</v>
      </c>
      <c r="C29" s="494"/>
      <c r="D29" s="23">
        <v>4593093036.3470955</v>
      </c>
      <c r="E29" s="69">
        <v>2021</v>
      </c>
      <c r="F29" s="185">
        <v>19301.22</v>
      </c>
      <c r="G29" s="24">
        <f>D29/(VLOOKUP(E29,$D$535:$E$566,2,FALSE))</f>
        <v>5055.5438549332603</v>
      </c>
      <c r="H29" s="187">
        <v>0.33339999999999997</v>
      </c>
      <c r="I29" s="24">
        <f>H29*G29</f>
        <v>1685.5183212347488</v>
      </c>
      <c r="J29" s="100">
        <v>44531</v>
      </c>
      <c r="K29" s="167" t="s">
        <v>253</v>
      </c>
      <c r="L29" s="492"/>
      <c r="M29" s="31">
        <f t="shared" ref="M29" si="0">I29</f>
        <v>1685.5183212347488</v>
      </c>
      <c r="N29" s="119" t="s">
        <v>213</v>
      </c>
      <c r="O29" s="186" t="str">
        <f>+CONCATENATE(FIXED(F29*H29,2)," ","m2")</f>
        <v>6.435,03 m2</v>
      </c>
      <c r="P29" s="119" t="s">
        <v>213</v>
      </c>
      <c r="Q29" s="142" t="s">
        <v>213</v>
      </c>
      <c r="R29" s="32" t="s">
        <v>244</v>
      </c>
    </row>
    <row r="30" spans="1:18" s="33" customFormat="1" ht="48" customHeight="1" thickBot="1" x14ac:dyDescent="0.35">
      <c r="A30" s="495" t="s">
        <v>249</v>
      </c>
      <c r="B30" s="485"/>
      <c r="C30" s="485"/>
      <c r="D30" s="485"/>
      <c r="E30" s="485"/>
      <c r="F30" s="485"/>
      <c r="G30" s="485"/>
      <c r="H30" s="486"/>
      <c r="I30" s="72">
        <f>SUM(I29:I29)</f>
        <v>1685.5183212347488</v>
      </c>
      <c r="J30" s="487" t="s">
        <v>250</v>
      </c>
      <c r="K30" s="488"/>
      <c r="L30" s="488"/>
      <c r="M30" s="488"/>
      <c r="N30" s="488"/>
      <c r="O30" s="488"/>
      <c r="P30" s="490"/>
      <c r="Q30" s="136"/>
      <c r="R30" s="92" t="s">
        <v>213</v>
      </c>
    </row>
    <row r="31" spans="1:18" ht="16.2" thickBot="1" x14ac:dyDescent="0.35">
      <c r="A31" s="4"/>
      <c r="B31" s="4"/>
      <c r="C31" s="4"/>
      <c r="D31" s="4"/>
      <c r="E31" s="4"/>
      <c r="F31" s="4"/>
      <c r="G31" s="4"/>
      <c r="H31" s="4"/>
      <c r="I31" s="4"/>
      <c r="J31" s="4"/>
      <c r="K31" s="4"/>
      <c r="L31" s="4"/>
      <c r="M31" s="4"/>
      <c r="N31" s="5"/>
      <c r="O31" s="5"/>
      <c r="P31" s="5"/>
      <c r="Q31" s="5"/>
      <c r="R31" s="5"/>
    </row>
    <row r="32" spans="1:18" ht="30.75" customHeight="1" thickBot="1" x14ac:dyDescent="0.35">
      <c r="A32" s="442">
        <f>A21+1</f>
        <v>3</v>
      </c>
      <c r="B32" s="443"/>
      <c r="C32" s="443"/>
      <c r="D32" s="444"/>
      <c r="E32" s="445" t="str">
        <f>VLOOKUP(A32,'LISTA DE OFERENTES'!$A$6:$B$38,2,FALSE)</f>
        <v>CONSORCIO SAN FIORANO</v>
      </c>
      <c r="F32" s="446"/>
      <c r="G32" s="446"/>
      <c r="H32" s="446"/>
      <c r="I32" s="446"/>
      <c r="J32" s="446"/>
      <c r="K32" s="446"/>
      <c r="L32" s="446"/>
      <c r="M32" s="446"/>
      <c r="N32" s="446"/>
      <c r="O32" s="446"/>
      <c r="P32" s="446"/>
      <c r="Q32" s="446"/>
      <c r="R32" s="447"/>
    </row>
    <row r="33" spans="1:18" ht="50.25" customHeight="1" x14ac:dyDescent="0.3">
      <c r="A33" s="28" t="s">
        <v>215</v>
      </c>
      <c r="B33" s="85">
        <v>2</v>
      </c>
      <c r="C33" s="29" t="s">
        <v>216</v>
      </c>
      <c r="D33" s="68">
        <f>+$E$508</f>
        <v>1649.6083550000001</v>
      </c>
      <c r="E33" s="448"/>
      <c r="F33" s="449"/>
      <c r="G33" s="449"/>
      <c r="H33" s="449"/>
      <c r="I33" s="449"/>
      <c r="J33" s="449"/>
      <c r="K33" s="449"/>
      <c r="L33" s="449"/>
      <c r="M33" s="449"/>
      <c r="N33" s="449"/>
      <c r="O33" s="449"/>
      <c r="P33" s="449"/>
      <c r="Q33" s="449"/>
      <c r="R33" s="450"/>
    </row>
    <row r="34" spans="1:18" ht="30" customHeight="1" x14ac:dyDescent="0.3">
      <c r="A34" s="454" t="s">
        <v>217</v>
      </c>
      <c r="B34" s="455"/>
      <c r="C34" s="70">
        <f>IF(B33&lt;3,0.75,IF(B33&lt;5,1.2,1.5))</f>
        <v>0.75</v>
      </c>
      <c r="D34" s="71">
        <f>+D33*C34</f>
        <v>1237.20626625</v>
      </c>
      <c r="E34" s="448"/>
      <c r="F34" s="449"/>
      <c r="G34" s="449"/>
      <c r="H34" s="449"/>
      <c r="I34" s="449"/>
      <c r="J34" s="449"/>
      <c r="K34" s="449"/>
      <c r="L34" s="449"/>
      <c r="M34" s="449"/>
      <c r="N34" s="449"/>
      <c r="O34" s="449"/>
      <c r="P34" s="449"/>
      <c r="Q34" s="449"/>
      <c r="R34" s="450"/>
    </row>
    <row r="35" spans="1:18" ht="30" customHeight="1" x14ac:dyDescent="0.3">
      <c r="A35" s="456" t="s">
        <v>218</v>
      </c>
      <c r="B35" s="455"/>
      <c r="C35" s="457">
        <v>44771</v>
      </c>
      <c r="D35" s="458"/>
      <c r="E35" s="448"/>
      <c r="F35" s="449"/>
      <c r="G35" s="449"/>
      <c r="H35" s="449"/>
      <c r="I35" s="449"/>
      <c r="J35" s="449"/>
      <c r="K35" s="449"/>
      <c r="L35" s="449"/>
      <c r="M35" s="449"/>
      <c r="N35" s="449"/>
      <c r="O35" s="449"/>
      <c r="P35" s="449"/>
      <c r="Q35" s="449"/>
      <c r="R35" s="450"/>
    </row>
    <row r="36" spans="1:18" ht="30" customHeight="1" x14ac:dyDescent="0.3">
      <c r="A36" s="459" t="s">
        <v>219</v>
      </c>
      <c r="B36" s="460"/>
      <c r="C36" s="472" t="str">
        <f>+IF(I43&gt;D34,"CUMPLE","NO CUMPLE")</f>
        <v>CUMPLE</v>
      </c>
      <c r="D36" s="473"/>
      <c r="E36" s="451"/>
      <c r="F36" s="452"/>
      <c r="G36" s="452"/>
      <c r="H36" s="452"/>
      <c r="I36" s="452"/>
      <c r="J36" s="452"/>
      <c r="K36" s="452"/>
      <c r="L36" s="452"/>
      <c r="M36" s="452"/>
      <c r="N36" s="452"/>
      <c r="O36" s="452"/>
      <c r="P36" s="452"/>
      <c r="Q36" s="452"/>
      <c r="R36" s="453"/>
    </row>
    <row r="37" spans="1:18" ht="55.5" customHeight="1" x14ac:dyDescent="0.3">
      <c r="A37" s="474" t="s">
        <v>220</v>
      </c>
      <c r="B37" s="475"/>
      <c r="C37" s="475"/>
      <c r="D37" s="475"/>
      <c r="E37" s="475"/>
      <c r="F37" s="475"/>
      <c r="G37" s="475"/>
      <c r="H37" s="475"/>
      <c r="I37" s="476"/>
      <c r="J37" s="81" t="s">
        <v>221</v>
      </c>
      <c r="K37" s="103" t="s">
        <v>222</v>
      </c>
      <c r="L37" s="477" t="s">
        <v>223</v>
      </c>
      <c r="M37" s="476"/>
      <c r="N37" s="478" t="s">
        <v>224</v>
      </c>
      <c r="O37" s="480" t="s">
        <v>254</v>
      </c>
      <c r="P37" s="481"/>
      <c r="Q37" s="478" t="s">
        <v>226</v>
      </c>
      <c r="R37" s="461" t="s">
        <v>227</v>
      </c>
    </row>
    <row r="38" spans="1:18" ht="77.25" customHeight="1" x14ac:dyDescent="0.3">
      <c r="A38" s="82" t="s">
        <v>228</v>
      </c>
      <c r="B38" s="463" t="s">
        <v>229</v>
      </c>
      <c r="C38" s="464"/>
      <c r="D38" s="83" t="s">
        <v>230</v>
      </c>
      <c r="E38" s="83" t="s">
        <v>231</v>
      </c>
      <c r="F38" s="83" t="s">
        <v>232</v>
      </c>
      <c r="G38" s="83" t="s">
        <v>233</v>
      </c>
      <c r="H38" s="116" t="s">
        <v>234</v>
      </c>
      <c r="I38" s="116" t="s">
        <v>235</v>
      </c>
      <c r="J38" s="84" t="s">
        <v>236</v>
      </c>
      <c r="K38" s="84" t="s">
        <v>237</v>
      </c>
      <c r="L38" s="84" t="s">
        <v>238</v>
      </c>
      <c r="M38" s="84" t="s">
        <v>239</v>
      </c>
      <c r="N38" s="479"/>
      <c r="O38" s="482"/>
      <c r="P38" s="483"/>
      <c r="Q38" s="479"/>
      <c r="R38" s="462"/>
    </row>
    <row r="39" spans="1:18" ht="39.9" customHeight="1" x14ac:dyDescent="0.3">
      <c r="A39" s="86" t="str">
        <f>VLOOKUP(A32,'LISTA DE OFERENTES'!$A$6:$R$38,7,FALSE)</f>
        <v>ISAIAS VARGAS GONZALEZ</v>
      </c>
      <c r="B39" s="87"/>
      <c r="C39" s="87"/>
      <c r="D39" s="87"/>
      <c r="E39" s="87"/>
      <c r="F39" s="87"/>
      <c r="G39" s="87"/>
      <c r="H39" s="87"/>
      <c r="I39" s="87"/>
      <c r="J39" s="87"/>
      <c r="K39" s="87"/>
      <c r="L39" s="496"/>
      <c r="M39" s="87"/>
      <c r="N39" s="87"/>
      <c r="O39" s="162" t="s">
        <v>241</v>
      </c>
      <c r="P39" s="87"/>
      <c r="Q39" s="87"/>
      <c r="R39" s="90"/>
    </row>
    <row r="40" spans="1:18" s="33" customFormat="1" ht="150" customHeight="1" x14ac:dyDescent="0.3">
      <c r="A40" s="119" t="s">
        <v>255</v>
      </c>
      <c r="B40" s="498" t="s">
        <v>256</v>
      </c>
      <c r="C40" s="467"/>
      <c r="D40" s="23">
        <v>1779745873.6600001</v>
      </c>
      <c r="E40" s="69">
        <v>2015</v>
      </c>
      <c r="F40" s="185">
        <v>6738.73</v>
      </c>
      <c r="G40" s="24">
        <f>D40/(VLOOKUP(E40,$D$535:$E$566,2,FALSE))</f>
        <v>2762.0794190424458</v>
      </c>
      <c r="H40" s="3">
        <v>0.5</v>
      </c>
      <c r="I40" s="24">
        <f>H40*G40</f>
        <v>1381.0397095212229</v>
      </c>
      <c r="J40" s="100">
        <v>42368</v>
      </c>
      <c r="K40" s="167" t="s">
        <v>257</v>
      </c>
      <c r="L40" s="497"/>
      <c r="M40" s="31">
        <f>I40</f>
        <v>1381.0397095212229</v>
      </c>
      <c r="N40" s="119" t="s">
        <v>213</v>
      </c>
      <c r="O40" s="186" t="str">
        <f>+CONCATENATE(FIXED(F40*H40,2)," ","m2")</f>
        <v>3.369,37 m2</v>
      </c>
      <c r="P40" s="119" t="s">
        <v>213</v>
      </c>
      <c r="Q40" s="142" t="s">
        <v>213</v>
      </c>
      <c r="R40" s="32" t="s">
        <v>258</v>
      </c>
    </row>
    <row r="41" spans="1:18" ht="39.9" customHeight="1" x14ac:dyDescent="0.3">
      <c r="A41" s="88" t="str">
        <f>+'LISTA DE OFERENTES'!K8</f>
        <v>JOHN EDISON JORDAN TEJADA</v>
      </c>
      <c r="B41" s="499"/>
      <c r="C41" s="500"/>
      <c r="D41" s="88"/>
      <c r="E41" s="88"/>
      <c r="F41" s="88"/>
      <c r="G41" s="88"/>
      <c r="H41" s="88"/>
      <c r="I41" s="147"/>
      <c r="J41" s="88"/>
      <c r="K41" s="89"/>
      <c r="L41" s="497"/>
      <c r="M41" s="91"/>
      <c r="N41" s="88"/>
      <c r="O41" s="88"/>
      <c r="P41" s="88"/>
      <c r="Q41" s="87"/>
      <c r="R41" s="90"/>
    </row>
    <row r="42" spans="1:18" s="33" customFormat="1" ht="150" customHeight="1" x14ac:dyDescent="0.3">
      <c r="A42" s="119" t="s">
        <v>259</v>
      </c>
      <c r="B42" s="498" t="s">
        <v>256</v>
      </c>
      <c r="C42" s="467"/>
      <c r="D42" s="23">
        <v>3252998080</v>
      </c>
      <c r="E42" s="69">
        <v>2020</v>
      </c>
      <c r="F42" s="69">
        <v>7465</v>
      </c>
      <c r="G42" s="24">
        <f>D42/(VLOOKUP(E42,$D$535:$E$566,2,FALSE))</f>
        <v>3705.8406954635607</v>
      </c>
      <c r="H42" s="3">
        <v>0.51</v>
      </c>
      <c r="I42" s="24">
        <f>H42*G42</f>
        <v>1889.9787546864159</v>
      </c>
      <c r="J42" s="100">
        <v>44170</v>
      </c>
      <c r="K42" s="167" t="s">
        <v>260</v>
      </c>
      <c r="L42" s="497"/>
      <c r="M42" s="31">
        <f>I42</f>
        <v>1889.9787546864159</v>
      </c>
      <c r="N42" s="119" t="s">
        <v>213</v>
      </c>
      <c r="O42" s="186" t="str">
        <f>+CONCATENATE(FIXED(F42*H42,2)," ","m2")</f>
        <v>3.807,15 m2</v>
      </c>
      <c r="P42" s="119" t="s">
        <v>213</v>
      </c>
      <c r="Q42" s="142" t="s">
        <v>213</v>
      </c>
      <c r="R42" s="32" t="s">
        <v>258</v>
      </c>
    </row>
    <row r="43" spans="1:18" s="33" customFormat="1" ht="48" customHeight="1" x14ac:dyDescent="0.3">
      <c r="A43" s="495" t="s">
        <v>249</v>
      </c>
      <c r="B43" s="485"/>
      <c r="C43" s="485"/>
      <c r="D43" s="485"/>
      <c r="E43" s="485"/>
      <c r="F43" s="485"/>
      <c r="G43" s="485"/>
      <c r="H43" s="486"/>
      <c r="I43" s="72">
        <f>SUM(I40:I42)</f>
        <v>3271.0184642076388</v>
      </c>
      <c r="J43" s="487" t="s">
        <v>250</v>
      </c>
      <c r="K43" s="488"/>
      <c r="L43" s="488"/>
      <c r="M43" s="488"/>
      <c r="N43" s="488"/>
      <c r="O43" s="488"/>
      <c r="P43" s="490"/>
      <c r="Q43" s="136"/>
      <c r="R43" s="92" t="s">
        <v>213</v>
      </c>
    </row>
    <row r="44" spans="1:18" ht="16.2" thickBot="1" x14ac:dyDescent="0.35">
      <c r="A44" s="4"/>
      <c r="B44" s="4"/>
      <c r="C44" s="4"/>
      <c r="D44" s="4"/>
      <c r="E44" s="4"/>
      <c r="F44" s="4"/>
      <c r="G44" s="4"/>
      <c r="H44" s="4"/>
      <c r="I44" s="4"/>
      <c r="J44" s="4"/>
      <c r="K44" s="4"/>
      <c r="L44" s="4"/>
      <c r="M44" s="4"/>
      <c r="N44" s="5"/>
      <c r="O44" s="5"/>
      <c r="P44" s="5"/>
      <c r="Q44" s="5"/>
      <c r="R44" s="5"/>
    </row>
    <row r="45" spans="1:18" ht="30.75" customHeight="1" thickBot="1" x14ac:dyDescent="0.35">
      <c r="A45" s="442">
        <f>A32+1</f>
        <v>4</v>
      </c>
      <c r="B45" s="443"/>
      <c r="C45" s="443"/>
      <c r="D45" s="444"/>
      <c r="E45" s="445" t="str">
        <f>VLOOKUP(A45,'LISTA DE OFERENTES'!$A$6:$B$38,2,FALSE)</f>
        <v>INVERSIONES GUERFOR S.A.S</v>
      </c>
      <c r="F45" s="446"/>
      <c r="G45" s="446"/>
      <c r="H45" s="446"/>
      <c r="I45" s="446"/>
      <c r="J45" s="446"/>
      <c r="K45" s="446"/>
      <c r="L45" s="446"/>
      <c r="M45" s="446"/>
      <c r="N45" s="446"/>
      <c r="O45" s="446"/>
      <c r="P45" s="446"/>
      <c r="Q45" s="446"/>
      <c r="R45" s="447"/>
    </row>
    <row r="46" spans="1:18" ht="50.25" customHeight="1" x14ac:dyDescent="0.3">
      <c r="A46" s="152" t="s">
        <v>215</v>
      </c>
      <c r="B46" s="259">
        <v>4</v>
      </c>
      <c r="C46" s="154" t="s">
        <v>216</v>
      </c>
      <c r="D46" s="155">
        <f>+$E$508</f>
        <v>1649.6083550000001</v>
      </c>
      <c r="E46" s="448"/>
      <c r="F46" s="449"/>
      <c r="G46" s="449"/>
      <c r="H46" s="449"/>
      <c r="I46" s="449"/>
      <c r="J46" s="449"/>
      <c r="K46" s="449"/>
      <c r="L46" s="449"/>
      <c r="M46" s="449"/>
      <c r="N46" s="449"/>
      <c r="O46" s="449"/>
      <c r="P46" s="449"/>
      <c r="Q46" s="449"/>
      <c r="R46" s="450"/>
    </row>
    <row r="47" spans="1:18" ht="30" customHeight="1" x14ac:dyDescent="0.3">
      <c r="A47" s="454" t="s">
        <v>217</v>
      </c>
      <c r="B47" s="455"/>
      <c r="C47" s="70">
        <f>IF(B46&lt;3,0.75,IF(B46&lt;5,1.2,1.5))</f>
        <v>1.2</v>
      </c>
      <c r="D47" s="71">
        <f>+D46*C47</f>
        <v>1979.5300259999999</v>
      </c>
      <c r="E47" s="448"/>
      <c r="F47" s="449"/>
      <c r="G47" s="449"/>
      <c r="H47" s="449"/>
      <c r="I47" s="449"/>
      <c r="J47" s="449"/>
      <c r="K47" s="449"/>
      <c r="L47" s="449"/>
      <c r="M47" s="449"/>
      <c r="N47" s="449"/>
      <c r="O47" s="449"/>
      <c r="P47" s="449"/>
      <c r="Q47" s="449"/>
      <c r="R47" s="450"/>
    </row>
    <row r="48" spans="1:18" ht="30" customHeight="1" x14ac:dyDescent="0.3">
      <c r="A48" s="456" t="s">
        <v>218</v>
      </c>
      <c r="B48" s="455"/>
      <c r="C48" s="457">
        <v>44771</v>
      </c>
      <c r="D48" s="458"/>
      <c r="E48" s="448"/>
      <c r="F48" s="449"/>
      <c r="G48" s="449"/>
      <c r="H48" s="449"/>
      <c r="I48" s="449"/>
      <c r="J48" s="449"/>
      <c r="K48" s="449"/>
      <c r="L48" s="449"/>
      <c r="M48" s="449"/>
      <c r="N48" s="449"/>
      <c r="O48" s="449"/>
      <c r="P48" s="449"/>
      <c r="Q48" s="449"/>
      <c r="R48" s="450"/>
    </row>
    <row r="49" spans="1:18" ht="30" customHeight="1" thickBot="1" x14ac:dyDescent="0.35">
      <c r="A49" s="459" t="s">
        <v>219</v>
      </c>
      <c r="B49" s="460"/>
      <c r="C49" s="472" t="str">
        <f>+IF(I57&gt;D47,"CUMPLE","NO CUMPLE")</f>
        <v>CUMPLE</v>
      </c>
      <c r="D49" s="473"/>
      <c r="E49" s="451"/>
      <c r="F49" s="452"/>
      <c r="G49" s="452"/>
      <c r="H49" s="452"/>
      <c r="I49" s="452"/>
      <c r="J49" s="452"/>
      <c r="K49" s="452"/>
      <c r="L49" s="452"/>
      <c r="M49" s="452"/>
      <c r="N49" s="452"/>
      <c r="O49" s="452"/>
      <c r="P49" s="452"/>
      <c r="Q49" s="452"/>
      <c r="R49" s="453"/>
    </row>
    <row r="50" spans="1:18" ht="55.5" customHeight="1" x14ac:dyDescent="0.3">
      <c r="A50" s="474" t="s">
        <v>220</v>
      </c>
      <c r="B50" s="475"/>
      <c r="C50" s="475"/>
      <c r="D50" s="475"/>
      <c r="E50" s="475"/>
      <c r="F50" s="475"/>
      <c r="G50" s="475"/>
      <c r="H50" s="475"/>
      <c r="I50" s="476"/>
      <c r="J50" s="81" t="s">
        <v>221</v>
      </c>
      <c r="K50" s="103" t="s">
        <v>222</v>
      </c>
      <c r="L50" s="477" t="s">
        <v>223</v>
      </c>
      <c r="M50" s="476"/>
      <c r="N50" s="478" t="s">
        <v>224</v>
      </c>
      <c r="O50" s="480" t="s">
        <v>225</v>
      </c>
      <c r="P50" s="481"/>
      <c r="Q50" s="478" t="s">
        <v>226</v>
      </c>
      <c r="R50" s="461" t="s">
        <v>227</v>
      </c>
    </row>
    <row r="51" spans="1:18" ht="77.25" customHeight="1" x14ac:dyDescent="0.3">
      <c r="A51" s="82" t="s">
        <v>228</v>
      </c>
      <c r="B51" s="463" t="s">
        <v>229</v>
      </c>
      <c r="C51" s="464"/>
      <c r="D51" s="83" t="s">
        <v>230</v>
      </c>
      <c r="E51" s="83" t="s">
        <v>231</v>
      </c>
      <c r="F51" s="83" t="s">
        <v>232</v>
      </c>
      <c r="G51" s="83" t="s">
        <v>233</v>
      </c>
      <c r="H51" s="116" t="s">
        <v>234</v>
      </c>
      <c r="I51" s="116" t="s">
        <v>235</v>
      </c>
      <c r="J51" s="84" t="s">
        <v>236</v>
      </c>
      <c r="K51" s="84" t="s">
        <v>237</v>
      </c>
      <c r="L51" s="84" t="s">
        <v>238</v>
      </c>
      <c r="M51" s="84" t="s">
        <v>239</v>
      </c>
      <c r="N51" s="479"/>
      <c r="O51" s="482"/>
      <c r="P51" s="483"/>
      <c r="Q51" s="479"/>
      <c r="R51" s="462"/>
    </row>
    <row r="52" spans="1:18" ht="36.75" customHeight="1" x14ac:dyDescent="0.3">
      <c r="A52" s="86" t="str">
        <f>VLOOKUP(A45,'LISTA DE OFERENTES'!$A$6:$R$38,7,FALSE)</f>
        <v>INVERSIONES GUERFOR S.A.S</v>
      </c>
      <c r="B52" s="87"/>
      <c r="C52" s="87"/>
      <c r="D52" s="87"/>
      <c r="E52" s="87"/>
      <c r="F52" s="87"/>
      <c r="G52" s="87"/>
      <c r="H52" s="87"/>
      <c r="I52" s="87"/>
      <c r="J52" s="87"/>
      <c r="K52" s="87"/>
      <c r="L52" s="491" t="str">
        <f>+A52</f>
        <v>INVERSIONES GUERFOR S.A.S</v>
      </c>
      <c r="M52" s="87"/>
      <c r="N52" s="87"/>
      <c r="O52" s="162" t="s">
        <v>241</v>
      </c>
      <c r="P52" s="87"/>
      <c r="Q52" s="159"/>
      <c r="R52" s="188"/>
    </row>
    <row r="53" spans="1:18" s="33" customFormat="1" ht="150" customHeight="1" x14ac:dyDescent="0.3">
      <c r="A53" s="119" t="s">
        <v>262</v>
      </c>
      <c r="B53" s="498" t="s">
        <v>243</v>
      </c>
      <c r="C53" s="467"/>
      <c r="D53" s="23">
        <v>5858976013</v>
      </c>
      <c r="E53" s="69">
        <v>2019</v>
      </c>
      <c r="F53" s="69">
        <v>0</v>
      </c>
      <c r="G53" s="24">
        <f>D53/(VLOOKUP(E53,$D$535:$E$566,2,FALSE))</f>
        <v>7075.0667937825137</v>
      </c>
      <c r="H53" s="3">
        <v>0.4</v>
      </c>
      <c r="I53" s="24"/>
      <c r="J53" s="100">
        <v>43663</v>
      </c>
      <c r="K53" s="30" t="s">
        <v>247</v>
      </c>
      <c r="L53" s="492"/>
      <c r="M53" s="31">
        <f>I53</f>
        <v>0</v>
      </c>
      <c r="N53" s="119" t="s">
        <v>213</v>
      </c>
      <c r="O53" s="186" t="str">
        <f>+CONCATENATE(FIXED(F53*H53,2)," ","m2")</f>
        <v>0,00 m2</v>
      </c>
      <c r="P53" s="150" t="s">
        <v>214</v>
      </c>
      <c r="Q53" s="158" t="s">
        <v>214</v>
      </c>
      <c r="R53" s="158" t="s">
        <v>615</v>
      </c>
    </row>
    <row r="54" spans="1:18" s="33" customFormat="1" ht="150.75" customHeight="1" x14ac:dyDescent="0.3">
      <c r="A54" s="119" t="s">
        <v>267</v>
      </c>
      <c r="B54" s="498" t="s">
        <v>243</v>
      </c>
      <c r="C54" s="467"/>
      <c r="D54" s="23">
        <v>4397636945</v>
      </c>
      <c r="E54" s="69">
        <v>2019</v>
      </c>
      <c r="F54" s="69">
        <v>20150</v>
      </c>
      <c r="G54" s="24">
        <f>D54/(VLOOKUP(E54,$D$535:$E$566,2,FALSE))</f>
        <v>5310.4117599466745</v>
      </c>
      <c r="H54" s="3">
        <v>0.4</v>
      </c>
      <c r="I54" s="24">
        <f>H54*G54</f>
        <v>2124.1647039786699</v>
      </c>
      <c r="J54" s="100">
        <v>43646</v>
      </c>
      <c r="K54" s="30" t="s">
        <v>247</v>
      </c>
      <c r="L54" s="492"/>
      <c r="M54" s="31">
        <f>I54</f>
        <v>2124.1647039786699</v>
      </c>
      <c r="N54" s="119" t="s">
        <v>213</v>
      </c>
      <c r="O54" s="186" t="str">
        <f>+CONCATENATE(FIXED(F54*H54,2)," ","m2")</f>
        <v>8.060,00 m2</v>
      </c>
      <c r="P54" s="150" t="s">
        <v>213</v>
      </c>
      <c r="Q54" s="158" t="s">
        <v>213</v>
      </c>
      <c r="R54" s="158" t="s">
        <v>616</v>
      </c>
    </row>
    <row r="55" spans="1:18" s="33" customFormat="1" ht="150.75" customHeight="1" x14ac:dyDescent="0.3">
      <c r="A55" s="119" t="s">
        <v>269</v>
      </c>
      <c r="B55" s="498" t="s">
        <v>243</v>
      </c>
      <c r="C55" s="467"/>
      <c r="D55" s="23">
        <v>5585976015</v>
      </c>
      <c r="E55" s="69">
        <v>2019</v>
      </c>
      <c r="F55" s="69">
        <v>19556.47</v>
      </c>
      <c r="G55" s="24">
        <f>D55/(VLOOKUP(E55,$D$535:$E$566,2,FALSE))</f>
        <v>6745.4028360761049</v>
      </c>
      <c r="H55" s="3">
        <v>0.4</v>
      </c>
      <c r="I55" s="24">
        <f>H55*G55</f>
        <v>2698.161134430442</v>
      </c>
      <c r="J55" s="100">
        <v>43665</v>
      </c>
      <c r="K55" s="30" t="s">
        <v>247</v>
      </c>
      <c r="L55" s="492"/>
      <c r="M55" s="31">
        <f>I55</f>
        <v>2698.161134430442</v>
      </c>
      <c r="N55" s="119" t="s">
        <v>213</v>
      </c>
      <c r="O55" s="186" t="str">
        <f>+CONCATENATE(FIXED(F55*H55,2)," ","m2")</f>
        <v>7.822,59 m2</v>
      </c>
      <c r="P55" s="150" t="s">
        <v>213</v>
      </c>
      <c r="Q55" s="158" t="s">
        <v>213</v>
      </c>
      <c r="R55" s="158" t="s">
        <v>616</v>
      </c>
    </row>
    <row r="56" spans="1:18" s="33" customFormat="1" ht="150" customHeight="1" x14ac:dyDescent="0.3">
      <c r="A56" s="119" t="s">
        <v>271</v>
      </c>
      <c r="B56" s="498" t="s">
        <v>272</v>
      </c>
      <c r="C56" s="467"/>
      <c r="D56" s="23">
        <v>1676531872</v>
      </c>
      <c r="E56" s="69">
        <v>2021</v>
      </c>
      <c r="F56" s="69">
        <v>0</v>
      </c>
      <c r="G56" s="24">
        <f>D56/(VLOOKUP(E56,$D$535:$E$566,2,FALSE))</f>
        <v>1845.3317483484236</v>
      </c>
      <c r="H56" s="3">
        <v>0.5</v>
      </c>
      <c r="I56" s="24"/>
      <c r="J56" s="100">
        <v>44525</v>
      </c>
      <c r="K56" s="167" t="s">
        <v>274</v>
      </c>
      <c r="L56" s="492"/>
      <c r="M56" s="31">
        <f>I56</f>
        <v>0</v>
      </c>
      <c r="N56" s="119" t="s">
        <v>213</v>
      </c>
      <c r="O56" s="186" t="str">
        <f>+CONCATENATE(FIXED(F56*H56,2)," ","m2")</f>
        <v>0,00 m2</v>
      </c>
      <c r="P56" s="150" t="s">
        <v>214</v>
      </c>
      <c r="Q56" s="158" t="s">
        <v>214</v>
      </c>
      <c r="R56" s="158" t="s">
        <v>617</v>
      </c>
    </row>
    <row r="57" spans="1:18" s="33" customFormat="1" ht="48" customHeight="1" x14ac:dyDescent="0.3">
      <c r="A57" s="495" t="s">
        <v>249</v>
      </c>
      <c r="B57" s="485"/>
      <c r="C57" s="485"/>
      <c r="D57" s="485"/>
      <c r="E57" s="485"/>
      <c r="F57" s="485"/>
      <c r="G57" s="485"/>
      <c r="H57" s="486"/>
      <c r="I57" s="72">
        <f>SUM(I53:I56)</f>
        <v>4822.3258384091114</v>
      </c>
      <c r="J57" s="487" t="s">
        <v>250</v>
      </c>
      <c r="K57" s="488"/>
      <c r="L57" s="488"/>
      <c r="M57" s="488"/>
      <c r="N57" s="488"/>
      <c r="O57" s="488"/>
      <c r="P57" s="490"/>
      <c r="Q57" s="161"/>
      <c r="R57" s="190" t="s">
        <v>213</v>
      </c>
    </row>
    <row r="58" spans="1:18" ht="16.2" thickBot="1" x14ac:dyDescent="0.35">
      <c r="A58" s="4"/>
      <c r="B58" s="4"/>
      <c r="C58" s="4"/>
      <c r="D58" s="4"/>
      <c r="E58" s="4"/>
      <c r="F58" s="4"/>
      <c r="G58" s="4"/>
      <c r="H58" s="4"/>
      <c r="I58" s="4"/>
      <c r="J58" s="4"/>
      <c r="K58" s="4"/>
      <c r="L58" s="4"/>
      <c r="M58" s="4"/>
      <c r="N58" s="5"/>
      <c r="O58" s="5"/>
      <c r="P58" s="5"/>
      <c r="Q58" s="5"/>
      <c r="R58" s="5"/>
    </row>
    <row r="59" spans="1:18" ht="30.75" customHeight="1" thickBot="1" x14ac:dyDescent="0.35">
      <c r="A59" s="442">
        <f>A45+1</f>
        <v>5</v>
      </c>
      <c r="B59" s="443"/>
      <c r="C59" s="443"/>
      <c r="D59" s="444"/>
      <c r="E59" s="445" t="str">
        <f>VLOOKUP(A59,'LISTA DE OFERENTES'!$A$6:$B$38,2,FALSE)</f>
        <v>CONSORCIO PARQUES C&amp;A</v>
      </c>
      <c r="F59" s="446"/>
      <c r="G59" s="446"/>
      <c r="H59" s="446"/>
      <c r="I59" s="446"/>
      <c r="J59" s="446"/>
      <c r="K59" s="446"/>
      <c r="L59" s="446"/>
      <c r="M59" s="446"/>
      <c r="N59" s="446"/>
      <c r="O59" s="446"/>
      <c r="P59" s="446"/>
      <c r="Q59" s="446"/>
      <c r="R59" s="447"/>
    </row>
    <row r="60" spans="1:18" ht="50.25" customHeight="1" x14ac:dyDescent="0.3">
      <c r="A60" s="28" t="s">
        <v>215</v>
      </c>
      <c r="B60" s="85">
        <v>4</v>
      </c>
      <c r="C60" s="29" t="s">
        <v>216</v>
      </c>
      <c r="D60" s="68">
        <f>+$E$508</f>
        <v>1649.6083550000001</v>
      </c>
      <c r="E60" s="448"/>
      <c r="F60" s="449"/>
      <c r="G60" s="449"/>
      <c r="H60" s="449"/>
      <c r="I60" s="449"/>
      <c r="J60" s="449"/>
      <c r="K60" s="449"/>
      <c r="L60" s="449"/>
      <c r="M60" s="449"/>
      <c r="N60" s="449"/>
      <c r="O60" s="449"/>
      <c r="P60" s="449"/>
      <c r="Q60" s="449"/>
      <c r="R60" s="450"/>
    </row>
    <row r="61" spans="1:18" ht="30" customHeight="1" x14ac:dyDescent="0.3">
      <c r="A61" s="454" t="s">
        <v>217</v>
      </c>
      <c r="B61" s="455"/>
      <c r="C61" s="70">
        <f>IF(B60&lt;3,0.75,IF(B60&lt;5,1.2,1.5))</f>
        <v>1.2</v>
      </c>
      <c r="D61" s="71">
        <f>+D60*C61</f>
        <v>1979.5300259999999</v>
      </c>
      <c r="E61" s="448"/>
      <c r="F61" s="449"/>
      <c r="G61" s="449"/>
      <c r="H61" s="449"/>
      <c r="I61" s="449"/>
      <c r="J61" s="449"/>
      <c r="K61" s="449"/>
      <c r="L61" s="449"/>
      <c r="M61" s="449"/>
      <c r="N61" s="449"/>
      <c r="O61" s="449"/>
      <c r="P61" s="449"/>
      <c r="Q61" s="449"/>
      <c r="R61" s="450"/>
    </row>
    <row r="62" spans="1:18" ht="30" customHeight="1" x14ac:dyDescent="0.3">
      <c r="A62" s="456" t="s">
        <v>218</v>
      </c>
      <c r="B62" s="455"/>
      <c r="C62" s="457">
        <v>44771</v>
      </c>
      <c r="D62" s="458"/>
      <c r="E62" s="448"/>
      <c r="F62" s="449"/>
      <c r="G62" s="449"/>
      <c r="H62" s="449"/>
      <c r="I62" s="449"/>
      <c r="J62" s="449"/>
      <c r="K62" s="449"/>
      <c r="L62" s="449"/>
      <c r="M62" s="449"/>
      <c r="N62" s="449"/>
      <c r="O62" s="449"/>
      <c r="P62" s="449"/>
      <c r="Q62" s="449"/>
      <c r="R62" s="450"/>
    </row>
    <row r="63" spans="1:18" ht="30" customHeight="1" x14ac:dyDescent="0.3">
      <c r="A63" s="459" t="s">
        <v>219</v>
      </c>
      <c r="B63" s="460"/>
      <c r="C63" s="472" t="str">
        <f>+IF(I72&gt;D61,"CUMPLE","NO CUMPLE")</f>
        <v>CUMPLE</v>
      </c>
      <c r="D63" s="473"/>
      <c r="E63" s="451"/>
      <c r="F63" s="452"/>
      <c r="G63" s="452"/>
      <c r="H63" s="452"/>
      <c r="I63" s="452"/>
      <c r="J63" s="452"/>
      <c r="K63" s="452"/>
      <c r="L63" s="452"/>
      <c r="M63" s="452"/>
      <c r="N63" s="452"/>
      <c r="O63" s="452"/>
      <c r="P63" s="452"/>
      <c r="Q63" s="452"/>
      <c r="R63" s="453"/>
    </row>
    <row r="64" spans="1:18" ht="55.5" customHeight="1" x14ac:dyDescent="0.3">
      <c r="A64" s="474" t="s">
        <v>220</v>
      </c>
      <c r="B64" s="475"/>
      <c r="C64" s="475"/>
      <c r="D64" s="475"/>
      <c r="E64" s="475"/>
      <c r="F64" s="475"/>
      <c r="G64" s="475"/>
      <c r="H64" s="475"/>
      <c r="I64" s="476"/>
      <c r="J64" s="81" t="s">
        <v>221</v>
      </c>
      <c r="K64" s="103" t="s">
        <v>222</v>
      </c>
      <c r="L64" s="477" t="s">
        <v>223</v>
      </c>
      <c r="M64" s="476"/>
      <c r="N64" s="478" t="s">
        <v>224</v>
      </c>
      <c r="O64" s="480" t="s">
        <v>225</v>
      </c>
      <c r="P64" s="481"/>
      <c r="Q64" s="478" t="s">
        <v>226</v>
      </c>
      <c r="R64" s="461" t="s">
        <v>227</v>
      </c>
    </row>
    <row r="65" spans="1:18" ht="77.25" customHeight="1" x14ac:dyDescent="0.3">
      <c r="A65" s="82" t="s">
        <v>228</v>
      </c>
      <c r="B65" s="463" t="s">
        <v>229</v>
      </c>
      <c r="C65" s="464"/>
      <c r="D65" s="83" t="s">
        <v>230</v>
      </c>
      <c r="E65" s="83" t="s">
        <v>231</v>
      </c>
      <c r="F65" s="83" t="s">
        <v>232</v>
      </c>
      <c r="G65" s="83" t="s">
        <v>233</v>
      </c>
      <c r="H65" s="116" t="s">
        <v>234</v>
      </c>
      <c r="I65" s="116" t="s">
        <v>235</v>
      </c>
      <c r="J65" s="84" t="s">
        <v>236</v>
      </c>
      <c r="K65" s="84" t="s">
        <v>237</v>
      </c>
      <c r="L65" s="84" t="s">
        <v>238</v>
      </c>
      <c r="M65" s="84" t="s">
        <v>239</v>
      </c>
      <c r="N65" s="479"/>
      <c r="O65" s="482"/>
      <c r="P65" s="483"/>
      <c r="Q65" s="479"/>
      <c r="R65" s="462"/>
    </row>
    <row r="66" spans="1:18" ht="36.75" customHeight="1" x14ac:dyDescent="0.3">
      <c r="A66" s="86" t="str">
        <f>+'LISTA DE OFERENTES'!G10</f>
        <v>AGORASPORT SA SUCURSAL COLOMBIA</v>
      </c>
      <c r="B66" s="87"/>
      <c r="C66" s="87"/>
      <c r="D66" s="87"/>
      <c r="E66" s="87"/>
      <c r="F66" s="87"/>
      <c r="G66" s="87"/>
      <c r="H66" s="87"/>
      <c r="I66" s="87"/>
      <c r="J66" s="87"/>
      <c r="K66" s="87"/>
      <c r="L66" s="491" t="str">
        <f>+A66</f>
        <v>AGORASPORT SA SUCURSAL COLOMBIA</v>
      </c>
      <c r="M66" s="87"/>
      <c r="N66" s="87"/>
      <c r="O66" s="162" t="s">
        <v>241</v>
      </c>
      <c r="P66" s="87"/>
      <c r="Q66" s="87"/>
      <c r="R66" s="90"/>
    </row>
    <row r="67" spans="1:18" s="33" customFormat="1" ht="107.25" customHeight="1" x14ac:dyDescent="0.3">
      <c r="A67" s="119" t="s">
        <v>275</v>
      </c>
      <c r="B67" s="498" t="s">
        <v>276</v>
      </c>
      <c r="C67" s="467"/>
      <c r="D67" s="238">
        <f>18008440575.8-(935101481+82429000)*1.3</f>
        <v>16685650950.5</v>
      </c>
      <c r="E67" s="69">
        <v>2015</v>
      </c>
      <c r="F67" s="185">
        <f>1517.25+4020.57+433.44+401.28+669.8</f>
        <v>7042.3399999999992</v>
      </c>
      <c r="G67" s="24">
        <f>D67/(VLOOKUP(E67,$D$535:$E$566,2,FALSE))</f>
        <v>25895.322341118957</v>
      </c>
      <c r="H67" s="3">
        <v>1</v>
      </c>
      <c r="I67" s="24">
        <f>H67*G67</f>
        <v>25895.322341118957</v>
      </c>
      <c r="J67" s="100">
        <v>42357</v>
      </c>
      <c r="K67" s="30" t="s">
        <v>247</v>
      </c>
      <c r="L67" s="492"/>
      <c r="M67" s="31">
        <f>I67</f>
        <v>25895.322341118957</v>
      </c>
      <c r="N67" s="119" t="s">
        <v>213</v>
      </c>
      <c r="O67" s="186" t="str">
        <f>+CONCATENATE(FIXED(F67*H67,2)," ","m2")</f>
        <v>7.042,34 m2</v>
      </c>
      <c r="P67" s="119" t="s">
        <v>213</v>
      </c>
      <c r="Q67" s="142" t="s">
        <v>213</v>
      </c>
      <c r="R67" s="32" t="s">
        <v>277</v>
      </c>
    </row>
    <row r="68" spans="1:18" s="33" customFormat="1" ht="107.25" customHeight="1" x14ac:dyDescent="0.3">
      <c r="A68" s="119" t="s">
        <v>278</v>
      </c>
      <c r="B68" s="502" t="s">
        <v>276</v>
      </c>
      <c r="C68" s="471"/>
      <c r="D68" s="23">
        <f>(559738963+126792745+13976865+29119620+19042902.93+11755800+21790080.78)*1.3</f>
        <v>1016882069.7229999</v>
      </c>
      <c r="E68" s="69">
        <v>2015</v>
      </c>
      <c r="F68" s="185">
        <v>0</v>
      </c>
      <c r="G68" s="24">
        <f>D68/(VLOOKUP(E68,$D$535:$E$566,2,FALSE))</f>
        <v>1578.1517338759991</v>
      </c>
      <c r="H68" s="3">
        <v>1</v>
      </c>
      <c r="I68" s="24">
        <f>H68*G68</f>
        <v>1578.1517338759991</v>
      </c>
      <c r="J68" s="100">
        <v>42308</v>
      </c>
      <c r="K68" s="30" t="s">
        <v>247</v>
      </c>
      <c r="L68" s="492"/>
      <c r="M68" s="31">
        <f>I68</f>
        <v>1578.1517338759991</v>
      </c>
      <c r="N68" s="119" t="s">
        <v>213</v>
      </c>
      <c r="O68" s="186" t="str">
        <f>+CONCATENATE(FIXED(F68*H68,2)," ","m2")</f>
        <v>0,00 m2</v>
      </c>
      <c r="P68" s="119"/>
      <c r="Q68" s="142" t="s">
        <v>213</v>
      </c>
      <c r="R68" s="32" t="s">
        <v>279</v>
      </c>
    </row>
    <row r="69" spans="1:18" s="247" customFormat="1" ht="107.25" customHeight="1" x14ac:dyDescent="0.3">
      <c r="A69" s="248" t="str">
        <f>+'LISTA DE OFERENTES'!K10</f>
        <v>INGENIERIA, CONSULTORIA, SUMINISTROS Y SERVICIOS INTEGRALES S.A.S</v>
      </c>
      <c r="B69" s="503"/>
      <c r="C69" s="469"/>
      <c r="D69" s="248"/>
      <c r="E69" s="248"/>
      <c r="F69" s="248"/>
      <c r="G69" s="248"/>
      <c r="H69" s="248"/>
      <c r="I69" s="248"/>
      <c r="J69" s="248"/>
      <c r="K69" s="249"/>
      <c r="L69" s="492"/>
      <c r="M69" s="250"/>
      <c r="N69" s="248"/>
      <c r="O69" s="248"/>
      <c r="P69" s="248"/>
      <c r="Q69" s="251"/>
      <c r="R69" s="252"/>
    </row>
    <row r="70" spans="1:18" s="33" customFormat="1" ht="111" customHeight="1" x14ac:dyDescent="0.3">
      <c r="A70" s="119" t="s">
        <v>280</v>
      </c>
      <c r="B70" s="498" t="s">
        <v>281</v>
      </c>
      <c r="C70" s="467"/>
      <c r="D70" s="23">
        <v>576366927</v>
      </c>
      <c r="E70" s="69">
        <v>2020</v>
      </c>
      <c r="F70" s="185">
        <v>1038</v>
      </c>
      <c r="G70" s="24">
        <f>D70/(VLOOKUP(E70,$D$535:$E$566,2,FALSE))</f>
        <v>656.601682837721</v>
      </c>
      <c r="H70" s="3">
        <v>1</v>
      </c>
      <c r="I70" s="24">
        <f>H70*G70</f>
        <v>656.601682837721</v>
      </c>
      <c r="J70" s="100">
        <v>43900</v>
      </c>
      <c r="K70" s="30" t="s">
        <v>247</v>
      </c>
      <c r="L70" s="492"/>
      <c r="M70" s="31">
        <f>I70</f>
        <v>656.601682837721</v>
      </c>
      <c r="N70" s="119" t="s">
        <v>213</v>
      </c>
      <c r="O70" s="186" t="str">
        <f>+CONCATENATE(FIXED(F70*H70,2)," ","m2")</f>
        <v>1.038,00 m2</v>
      </c>
      <c r="P70" s="119"/>
      <c r="Q70" s="142" t="s">
        <v>213</v>
      </c>
      <c r="R70" s="32" t="s">
        <v>282</v>
      </c>
    </row>
    <row r="71" spans="1:18" s="33" customFormat="1" ht="111" customHeight="1" x14ac:dyDescent="0.3">
      <c r="A71" s="119" t="s">
        <v>283</v>
      </c>
      <c r="B71" s="498" t="s">
        <v>284</v>
      </c>
      <c r="C71" s="467"/>
      <c r="D71" s="23">
        <v>4197495289</v>
      </c>
      <c r="E71" s="69">
        <v>2018</v>
      </c>
      <c r="F71" s="185">
        <v>436.82</v>
      </c>
      <c r="G71" s="24">
        <f>D71/(VLOOKUP(E71,$D$535:$E$566,2,FALSE))</f>
        <v>5372.8489878936361</v>
      </c>
      <c r="H71" s="3">
        <v>0.9</v>
      </c>
      <c r="I71" s="24">
        <f>H71*G71</f>
        <v>4835.5640891042731</v>
      </c>
      <c r="J71" s="100">
        <v>43455</v>
      </c>
      <c r="K71" s="30" t="s">
        <v>285</v>
      </c>
      <c r="L71" s="492"/>
      <c r="M71" s="31">
        <f>I71</f>
        <v>4835.5640891042731</v>
      </c>
      <c r="N71" s="119" t="s">
        <v>213</v>
      </c>
      <c r="O71" s="186" t="str">
        <f>+CONCATENATE(FIXED(F71*H71,2)," ","m2")</f>
        <v>393,14 m2</v>
      </c>
      <c r="P71" s="119"/>
      <c r="Q71" s="142" t="s">
        <v>213</v>
      </c>
      <c r="R71" s="32" t="s">
        <v>282</v>
      </c>
    </row>
    <row r="72" spans="1:18" s="33" customFormat="1" ht="48" customHeight="1" thickBot="1" x14ac:dyDescent="0.35">
      <c r="A72" s="495" t="s">
        <v>249</v>
      </c>
      <c r="B72" s="485"/>
      <c r="C72" s="485"/>
      <c r="D72" s="485"/>
      <c r="E72" s="485"/>
      <c r="F72" s="485"/>
      <c r="G72" s="485"/>
      <c r="H72" s="486"/>
      <c r="I72" s="72">
        <f>SUM(I67:I71)</f>
        <v>32965.639846936952</v>
      </c>
      <c r="J72" s="487" t="s">
        <v>250</v>
      </c>
      <c r="K72" s="488"/>
      <c r="L72" s="488"/>
      <c r="M72" s="488"/>
      <c r="N72" s="488"/>
      <c r="O72" s="488"/>
      <c r="P72" s="490"/>
      <c r="Q72" s="136"/>
      <c r="R72" s="92" t="s">
        <v>213</v>
      </c>
    </row>
    <row r="73" spans="1:18" ht="16.2" thickBot="1" x14ac:dyDescent="0.35">
      <c r="A73" s="4"/>
      <c r="B73" s="4"/>
      <c r="C73" s="4"/>
      <c r="D73" s="4"/>
      <c r="E73" s="4"/>
      <c r="F73" s="4"/>
      <c r="G73" s="4"/>
      <c r="H73" s="4"/>
      <c r="I73" s="4"/>
      <c r="J73" s="4"/>
      <c r="K73" s="4"/>
      <c r="L73" s="4"/>
      <c r="M73" s="4"/>
      <c r="N73" s="5"/>
      <c r="O73" s="5"/>
      <c r="P73" s="5"/>
      <c r="Q73" s="5"/>
      <c r="R73" s="5"/>
    </row>
    <row r="74" spans="1:18" ht="30.75" customHeight="1" thickBot="1" x14ac:dyDescent="0.35">
      <c r="A74" s="442">
        <f>A59+1</f>
        <v>6</v>
      </c>
      <c r="B74" s="443"/>
      <c r="C74" s="443"/>
      <c r="D74" s="444"/>
      <c r="E74" s="445" t="str">
        <f>VLOOKUP(A74,'LISTA DE OFERENTES'!$A$6:$B$38,2,FALSE)</f>
        <v>UNION TEMPORAL TUNAL 2022</v>
      </c>
      <c r="F74" s="446"/>
      <c r="G74" s="446"/>
      <c r="H74" s="446"/>
      <c r="I74" s="446"/>
      <c r="J74" s="446"/>
      <c r="K74" s="446"/>
      <c r="L74" s="446"/>
      <c r="M74" s="446"/>
      <c r="N74" s="446"/>
      <c r="O74" s="446"/>
      <c r="P74" s="446"/>
      <c r="Q74" s="446"/>
      <c r="R74" s="447"/>
    </row>
    <row r="75" spans="1:18" ht="50.25" customHeight="1" x14ac:dyDescent="0.3">
      <c r="A75" s="28" t="s">
        <v>215</v>
      </c>
      <c r="B75" s="85">
        <v>1</v>
      </c>
      <c r="C75" s="29" t="s">
        <v>216</v>
      </c>
      <c r="D75" s="68">
        <f>+$E$508</f>
        <v>1649.6083550000001</v>
      </c>
      <c r="E75" s="448"/>
      <c r="F75" s="449"/>
      <c r="G75" s="449"/>
      <c r="H75" s="449"/>
      <c r="I75" s="449"/>
      <c r="J75" s="449"/>
      <c r="K75" s="449"/>
      <c r="L75" s="449"/>
      <c r="M75" s="449"/>
      <c r="N75" s="449"/>
      <c r="O75" s="449"/>
      <c r="P75" s="449"/>
      <c r="Q75" s="449"/>
      <c r="R75" s="450"/>
    </row>
    <row r="76" spans="1:18" ht="30" customHeight="1" x14ac:dyDescent="0.3">
      <c r="A76" s="454" t="s">
        <v>217</v>
      </c>
      <c r="B76" s="455"/>
      <c r="C76" s="70">
        <f>IF(B75&lt;3,0.75,IF(B75&lt;5,1.2,1.5))</f>
        <v>0.75</v>
      </c>
      <c r="D76" s="71">
        <f>+D75*C76</f>
        <v>1237.20626625</v>
      </c>
      <c r="E76" s="448"/>
      <c r="F76" s="449"/>
      <c r="G76" s="449"/>
      <c r="H76" s="449"/>
      <c r="I76" s="449"/>
      <c r="J76" s="449"/>
      <c r="K76" s="449"/>
      <c r="L76" s="449"/>
      <c r="M76" s="449"/>
      <c r="N76" s="449"/>
      <c r="O76" s="449"/>
      <c r="P76" s="449"/>
      <c r="Q76" s="449"/>
      <c r="R76" s="450"/>
    </row>
    <row r="77" spans="1:18" ht="30" customHeight="1" x14ac:dyDescent="0.3">
      <c r="A77" s="456" t="s">
        <v>218</v>
      </c>
      <c r="B77" s="455"/>
      <c r="C77" s="457">
        <v>44771</v>
      </c>
      <c r="D77" s="458"/>
      <c r="E77" s="448"/>
      <c r="F77" s="449"/>
      <c r="G77" s="449"/>
      <c r="H77" s="449"/>
      <c r="I77" s="449"/>
      <c r="J77" s="449"/>
      <c r="K77" s="449"/>
      <c r="L77" s="449"/>
      <c r="M77" s="449"/>
      <c r="N77" s="449"/>
      <c r="O77" s="449"/>
      <c r="P77" s="449"/>
      <c r="Q77" s="449"/>
      <c r="R77" s="450"/>
    </row>
    <row r="78" spans="1:18" ht="30" customHeight="1" x14ac:dyDescent="0.3">
      <c r="A78" s="459" t="s">
        <v>219</v>
      </c>
      <c r="B78" s="460"/>
      <c r="C78" s="472" t="str">
        <f>+IF(I83&gt;D76,"CUMPLE","NO CUMPLE")</f>
        <v>CUMPLE</v>
      </c>
      <c r="D78" s="473"/>
      <c r="E78" s="451"/>
      <c r="F78" s="452"/>
      <c r="G78" s="452"/>
      <c r="H78" s="452"/>
      <c r="I78" s="452"/>
      <c r="J78" s="452"/>
      <c r="K78" s="452"/>
      <c r="L78" s="452"/>
      <c r="M78" s="452"/>
      <c r="N78" s="452"/>
      <c r="O78" s="452"/>
      <c r="P78" s="452"/>
      <c r="Q78" s="452"/>
      <c r="R78" s="453"/>
    </row>
    <row r="79" spans="1:18" ht="55.5" customHeight="1" x14ac:dyDescent="0.3">
      <c r="A79" s="474" t="s">
        <v>220</v>
      </c>
      <c r="B79" s="475"/>
      <c r="C79" s="475"/>
      <c r="D79" s="475"/>
      <c r="E79" s="475"/>
      <c r="F79" s="475"/>
      <c r="G79" s="475"/>
      <c r="H79" s="475"/>
      <c r="I79" s="476"/>
      <c r="J79" s="81" t="s">
        <v>221</v>
      </c>
      <c r="K79" s="103" t="s">
        <v>222</v>
      </c>
      <c r="L79" s="477" t="s">
        <v>223</v>
      </c>
      <c r="M79" s="476"/>
      <c r="N79" s="478" t="s">
        <v>224</v>
      </c>
      <c r="O79" s="480" t="s">
        <v>225</v>
      </c>
      <c r="P79" s="481"/>
      <c r="Q79" s="478" t="s">
        <v>226</v>
      </c>
      <c r="R79" s="461" t="s">
        <v>227</v>
      </c>
    </row>
    <row r="80" spans="1:18" ht="77.25" customHeight="1" x14ac:dyDescent="0.3">
      <c r="A80" s="82" t="s">
        <v>228</v>
      </c>
      <c r="B80" s="463" t="s">
        <v>229</v>
      </c>
      <c r="C80" s="464"/>
      <c r="D80" s="83" t="s">
        <v>230</v>
      </c>
      <c r="E80" s="83" t="s">
        <v>231</v>
      </c>
      <c r="F80" s="83" t="s">
        <v>232</v>
      </c>
      <c r="G80" s="83" t="s">
        <v>233</v>
      </c>
      <c r="H80" s="116" t="s">
        <v>234</v>
      </c>
      <c r="I80" s="116" t="s">
        <v>235</v>
      </c>
      <c r="J80" s="84" t="s">
        <v>236</v>
      </c>
      <c r="K80" s="84" t="s">
        <v>237</v>
      </c>
      <c r="L80" s="84" t="s">
        <v>238</v>
      </c>
      <c r="M80" s="84" t="s">
        <v>239</v>
      </c>
      <c r="N80" s="479"/>
      <c r="O80" s="482"/>
      <c r="P80" s="483"/>
      <c r="Q80" s="479"/>
      <c r="R80" s="462"/>
    </row>
    <row r="81" spans="1:18" ht="39.9" customHeight="1" x14ac:dyDescent="0.3">
      <c r="A81" s="86" t="s">
        <v>286</v>
      </c>
      <c r="B81" s="87"/>
      <c r="C81" s="87"/>
      <c r="D81" s="87"/>
      <c r="E81" s="87"/>
      <c r="F81" s="87"/>
      <c r="G81" s="87"/>
      <c r="H81" s="87"/>
      <c r="I81" s="87"/>
      <c r="J81" s="87"/>
      <c r="K81" s="87"/>
      <c r="L81" s="491" t="str">
        <f>+A81</f>
        <v>ASOCIACION DE MUNICIPIOS DE LA SUBREGION CIENAGA GRANDE DE SANTAMARTA “ASOCIENAGA”</v>
      </c>
      <c r="M81" s="87"/>
      <c r="N81" s="87"/>
      <c r="O81" s="162" t="s">
        <v>241</v>
      </c>
      <c r="P81" s="87"/>
      <c r="Q81" s="87"/>
      <c r="R81" s="90"/>
    </row>
    <row r="82" spans="1:18" s="33" customFormat="1" ht="150" customHeight="1" x14ac:dyDescent="0.3">
      <c r="A82" s="119" t="s">
        <v>287</v>
      </c>
      <c r="B82" s="498" t="s">
        <v>288</v>
      </c>
      <c r="C82" s="467"/>
      <c r="D82" s="23">
        <v>3679625955</v>
      </c>
      <c r="E82" s="69">
        <v>2018</v>
      </c>
      <c r="F82" s="69">
        <v>3765.77</v>
      </c>
      <c r="G82" s="24">
        <f>D82/(VLOOKUP(E82,$D$535:$E$566,2,FALSE))</f>
        <v>4709.9694524871938</v>
      </c>
      <c r="H82" s="3">
        <v>1</v>
      </c>
      <c r="I82" s="24">
        <f>H82*G82</f>
        <v>4709.9694524871938</v>
      </c>
      <c r="J82" s="100">
        <v>43452</v>
      </c>
      <c r="K82" s="30" t="s">
        <v>257</v>
      </c>
      <c r="L82" s="492"/>
      <c r="M82" s="31">
        <f>I82</f>
        <v>4709.9694524871938</v>
      </c>
      <c r="N82" s="119" t="s">
        <v>213</v>
      </c>
      <c r="O82" s="186" t="str">
        <f>+CONCATENATE(FIXED(F82*H82,2)," ","m2")</f>
        <v>3.765,77 m2</v>
      </c>
      <c r="P82" s="119" t="s">
        <v>213</v>
      </c>
      <c r="Q82" s="142" t="s">
        <v>213</v>
      </c>
      <c r="R82" s="32" t="s">
        <v>289</v>
      </c>
    </row>
    <row r="83" spans="1:18" s="33" customFormat="1" ht="48" customHeight="1" thickBot="1" x14ac:dyDescent="0.35">
      <c r="A83" s="495" t="s">
        <v>249</v>
      </c>
      <c r="B83" s="485"/>
      <c r="C83" s="485"/>
      <c r="D83" s="485"/>
      <c r="E83" s="485"/>
      <c r="F83" s="485"/>
      <c r="G83" s="485"/>
      <c r="H83" s="486"/>
      <c r="I83" s="72">
        <f>SUM(I82:I82)</f>
        <v>4709.9694524871938</v>
      </c>
      <c r="J83" s="487" t="s">
        <v>250</v>
      </c>
      <c r="K83" s="488"/>
      <c r="L83" s="488"/>
      <c r="M83" s="488"/>
      <c r="N83" s="488"/>
      <c r="O83" s="488"/>
      <c r="P83" s="490"/>
      <c r="Q83" s="136"/>
      <c r="R83" s="92" t="s">
        <v>213</v>
      </c>
    </row>
    <row r="84" spans="1:18" ht="15.75" customHeight="1" thickBot="1" x14ac:dyDescent="0.35">
      <c r="A84" s="4"/>
      <c r="B84" s="4"/>
      <c r="C84" s="120"/>
      <c r="D84" s="120"/>
      <c r="E84" s="120"/>
      <c r="F84" s="120"/>
      <c r="G84" s="120"/>
      <c r="H84" s="120"/>
      <c r="I84" s="120"/>
      <c r="J84" s="120"/>
      <c r="K84" s="120"/>
      <c r="L84" s="120"/>
      <c r="M84" s="120"/>
      <c r="N84" s="120"/>
      <c r="O84" s="120"/>
      <c r="P84" s="120"/>
      <c r="Q84" s="120"/>
      <c r="R84" s="5"/>
    </row>
    <row r="85" spans="1:18" ht="30.75" customHeight="1" thickBot="1" x14ac:dyDescent="0.35">
      <c r="A85" s="442">
        <f>A74+1</f>
        <v>7</v>
      </c>
      <c r="B85" s="443"/>
      <c r="C85" s="443"/>
      <c r="D85" s="444"/>
      <c r="E85" s="445" t="str">
        <f>VLOOKUP(A85,'LISTA DE OFERENTES'!$A$6:$B$38,2,FALSE)</f>
        <v>CONSORCIO TUNJUELO 2022</v>
      </c>
      <c r="F85" s="446"/>
      <c r="G85" s="446"/>
      <c r="H85" s="446"/>
      <c r="I85" s="446"/>
      <c r="J85" s="446"/>
      <c r="K85" s="446"/>
      <c r="L85" s="446"/>
      <c r="M85" s="446"/>
      <c r="N85" s="446"/>
      <c r="O85" s="446"/>
      <c r="P85" s="446"/>
      <c r="Q85" s="446"/>
      <c r="R85" s="447"/>
    </row>
    <row r="86" spans="1:18" ht="50.25" customHeight="1" x14ac:dyDescent="0.3">
      <c r="A86" s="28" t="s">
        <v>215</v>
      </c>
      <c r="B86" s="85">
        <v>3</v>
      </c>
      <c r="C86" s="29" t="s">
        <v>216</v>
      </c>
      <c r="D86" s="68">
        <f>+$E$508</f>
        <v>1649.6083550000001</v>
      </c>
      <c r="E86" s="448"/>
      <c r="F86" s="449"/>
      <c r="G86" s="449"/>
      <c r="H86" s="449"/>
      <c r="I86" s="449"/>
      <c r="J86" s="449"/>
      <c r="K86" s="449"/>
      <c r="L86" s="449"/>
      <c r="M86" s="449"/>
      <c r="N86" s="449"/>
      <c r="O86" s="449"/>
      <c r="P86" s="449"/>
      <c r="Q86" s="449"/>
      <c r="R86" s="450"/>
    </row>
    <row r="87" spans="1:18" ht="30" customHeight="1" x14ac:dyDescent="0.3">
      <c r="A87" s="454" t="s">
        <v>217</v>
      </c>
      <c r="B87" s="455"/>
      <c r="C87" s="70">
        <f>IF(B86&lt;3,0.75,IF(B86&lt;5,1.2,1.5))</f>
        <v>1.2</v>
      </c>
      <c r="D87" s="71">
        <f>+D86*C87</f>
        <v>1979.5300259999999</v>
      </c>
      <c r="E87" s="448"/>
      <c r="F87" s="449"/>
      <c r="G87" s="449"/>
      <c r="H87" s="449"/>
      <c r="I87" s="449"/>
      <c r="J87" s="449"/>
      <c r="K87" s="449"/>
      <c r="L87" s="449"/>
      <c r="M87" s="449"/>
      <c r="N87" s="449"/>
      <c r="O87" s="449"/>
      <c r="P87" s="449"/>
      <c r="Q87" s="449"/>
      <c r="R87" s="450"/>
    </row>
    <row r="88" spans="1:18" ht="30" customHeight="1" x14ac:dyDescent="0.3">
      <c r="A88" s="456" t="s">
        <v>218</v>
      </c>
      <c r="B88" s="455"/>
      <c r="C88" s="457">
        <v>44771</v>
      </c>
      <c r="D88" s="458"/>
      <c r="E88" s="448"/>
      <c r="F88" s="449"/>
      <c r="G88" s="449"/>
      <c r="H88" s="449"/>
      <c r="I88" s="449"/>
      <c r="J88" s="449"/>
      <c r="K88" s="449"/>
      <c r="L88" s="449"/>
      <c r="M88" s="449"/>
      <c r="N88" s="449"/>
      <c r="O88" s="449"/>
      <c r="P88" s="449"/>
      <c r="Q88" s="449"/>
      <c r="R88" s="450"/>
    </row>
    <row r="89" spans="1:18" ht="30" customHeight="1" x14ac:dyDescent="0.3">
      <c r="A89" s="459" t="s">
        <v>219</v>
      </c>
      <c r="B89" s="460"/>
      <c r="C89" s="472" t="str">
        <f>+IF(I98&gt;D87,"CUMPLE","NO CUMPLE")</f>
        <v>CUMPLE</v>
      </c>
      <c r="D89" s="473"/>
      <c r="E89" s="451"/>
      <c r="F89" s="452"/>
      <c r="G89" s="452"/>
      <c r="H89" s="452"/>
      <c r="I89" s="452"/>
      <c r="J89" s="452"/>
      <c r="K89" s="452"/>
      <c r="L89" s="452"/>
      <c r="M89" s="452"/>
      <c r="N89" s="452"/>
      <c r="O89" s="452"/>
      <c r="P89" s="452"/>
      <c r="Q89" s="452"/>
      <c r="R89" s="453"/>
    </row>
    <row r="90" spans="1:18" ht="55.5" customHeight="1" x14ac:dyDescent="0.3">
      <c r="A90" s="474" t="s">
        <v>220</v>
      </c>
      <c r="B90" s="475"/>
      <c r="C90" s="475"/>
      <c r="D90" s="475"/>
      <c r="E90" s="475"/>
      <c r="F90" s="475"/>
      <c r="G90" s="475"/>
      <c r="H90" s="475"/>
      <c r="I90" s="476"/>
      <c r="J90" s="81" t="s">
        <v>221</v>
      </c>
      <c r="K90" s="103" t="s">
        <v>222</v>
      </c>
      <c r="L90" s="477" t="s">
        <v>223</v>
      </c>
      <c r="M90" s="476"/>
      <c r="N90" s="478" t="s">
        <v>224</v>
      </c>
      <c r="O90" s="480" t="s">
        <v>225</v>
      </c>
      <c r="P90" s="481"/>
      <c r="Q90" s="478" t="s">
        <v>226</v>
      </c>
      <c r="R90" s="461" t="s">
        <v>227</v>
      </c>
    </row>
    <row r="91" spans="1:18" ht="77.25" customHeight="1" x14ac:dyDescent="0.3">
      <c r="A91" s="82" t="s">
        <v>228</v>
      </c>
      <c r="B91" s="463" t="s">
        <v>229</v>
      </c>
      <c r="C91" s="464"/>
      <c r="D91" s="83" t="s">
        <v>230</v>
      </c>
      <c r="E91" s="83" t="s">
        <v>231</v>
      </c>
      <c r="F91" s="83" t="s">
        <v>232</v>
      </c>
      <c r="G91" s="83" t="s">
        <v>233</v>
      </c>
      <c r="H91" s="116" t="s">
        <v>234</v>
      </c>
      <c r="I91" s="116" t="s">
        <v>235</v>
      </c>
      <c r="J91" s="84" t="s">
        <v>236</v>
      </c>
      <c r="K91" s="84" t="s">
        <v>237</v>
      </c>
      <c r="L91" s="84" t="s">
        <v>238</v>
      </c>
      <c r="M91" s="84" t="s">
        <v>239</v>
      </c>
      <c r="N91" s="479"/>
      <c r="O91" s="482"/>
      <c r="P91" s="483"/>
      <c r="Q91" s="479"/>
      <c r="R91" s="462"/>
    </row>
    <row r="92" spans="1:18" ht="15.6" x14ac:dyDescent="0.3">
      <c r="A92" s="86" t="str">
        <f>VLOOKUP(A85,'LISTA DE OFERENTES'!$A$6:$R$38,7,FALSE)</f>
        <v>JOHN WILLIAM CASALLAS JURADO</v>
      </c>
      <c r="B92" s="87"/>
      <c r="C92" s="87"/>
      <c r="D92" s="87"/>
      <c r="E92" s="87"/>
      <c r="F92" s="87"/>
      <c r="G92" s="87"/>
      <c r="H92" s="87"/>
      <c r="I92" s="87"/>
      <c r="J92" s="87"/>
      <c r="K92" s="87"/>
      <c r="L92" s="496" t="str">
        <f>+A96</f>
        <v>PROCIVIN S.A.S</v>
      </c>
      <c r="M92" s="87"/>
      <c r="N92" s="87"/>
      <c r="O92" s="162" t="s">
        <v>241</v>
      </c>
      <c r="P92" s="87"/>
      <c r="Q92" s="87"/>
      <c r="R92" s="90"/>
    </row>
    <row r="93" spans="1:18" s="33" customFormat="1" ht="150" customHeight="1" x14ac:dyDescent="0.3">
      <c r="A93" s="119" t="s">
        <v>290</v>
      </c>
      <c r="B93" s="498" t="s">
        <v>243</v>
      </c>
      <c r="C93" s="467"/>
      <c r="D93" s="23">
        <v>4737787374</v>
      </c>
      <c r="E93" s="69">
        <v>2018</v>
      </c>
      <c r="F93" s="69">
        <f>17732.95+9012</f>
        <v>26744.95</v>
      </c>
      <c r="G93" s="24">
        <f>D93/(VLOOKUP(E93,$D$535:$E$566,2,FALSE))</f>
        <v>6064.4299384825699</v>
      </c>
      <c r="H93" s="3">
        <v>0.34</v>
      </c>
      <c r="I93" s="24">
        <f>H93*G93</f>
        <v>2061.9061790840738</v>
      </c>
      <c r="J93" s="100">
        <v>43452</v>
      </c>
      <c r="K93" s="30" t="s">
        <v>257</v>
      </c>
      <c r="L93" s="497"/>
      <c r="M93" s="31">
        <f>I93</f>
        <v>2061.9061790840738</v>
      </c>
      <c r="N93" s="119" t="s">
        <v>213</v>
      </c>
      <c r="O93" s="186" t="str">
        <f>+CONCATENATE(FIXED(F93*H93,2)," ","m2")</f>
        <v>9.093,28 m2</v>
      </c>
      <c r="P93" s="119" t="s">
        <v>213</v>
      </c>
      <c r="Q93" s="142" t="s">
        <v>213</v>
      </c>
      <c r="R93" s="32" t="s">
        <v>291</v>
      </c>
    </row>
    <row r="94" spans="1:18" ht="15.6" x14ac:dyDescent="0.3">
      <c r="A94" s="88" t="str">
        <f>VLOOKUP(A85,'LISTA DE OFERENTES'!$A$6:$R$38,11,FALSE)</f>
        <v>EDILEBERTO MATEUS ALVAREZ</v>
      </c>
      <c r="B94" s="499"/>
      <c r="C94" s="500"/>
      <c r="D94" s="88"/>
      <c r="E94" s="88"/>
      <c r="F94" s="88"/>
      <c r="G94" s="88"/>
      <c r="H94" s="88"/>
      <c r="I94" s="147"/>
      <c r="J94" s="88"/>
      <c r="K94" s="89"/>
      <c r="L94" s="497"/>
      <c r="M94" s="91"/>
      <c r="N94" s="88"/>
      <c r="O94" s="88"/>
      <c r="P94" s="88"/>
      <c r="Q94" s="87"/>
      <c r="R94" s="90"/>
    </row>
    <row r="95" spans="1:18" s="33" customFormat="1" ht="150" customHeight="1" x14ac:dyDescent="0.3">
      <c r="A95" s="119" t="s">
        <v>292</v>
      </c>
      <c r="B95" s="498" t="s">
        <v>243</v>
      </c>
      <c r="C95" s="467"/>
      <c r="D95" s="23">
        <v>1122116902</v>
      </c>
      <c r="E95" s="69">
        <v>2009</v>
      </c>
      <c r="F95" s="69">
        <v>6348</v>
      </c>
      <c r="G95" s="24">
        <f>D95/(VLOOKUP(E95,$D$535:$E$566,2,FALSE))</f>
        <v>2258.2348601328235</v>
      </c>
      <c r="H95" s="3">
        <v>0.67</v>
      </c>
      <c r="I95" s="24">
        <f>H95*G95</f>
        <v>1513.0173562889918</v>
      </c>
      <c r="J95" s="100">
        <v>40091</v>
      </c>
      <c r="K95" s="30" t="s">
        <v>257</v>
      </c>
      <c r="L95" s="497"/>
      <c r="M95" s="31">
        <f>I95</f>
        <v>1513.0173562889918</v>
      </c>
      <c r="N95" s="119" t="s">
        <v>213</v>
      </c>
      <c r="O95" s="186" t="str">
        <f>+CONCATENATE(FIXED(F95*H95,2)," ","m2")</f>
        <v>4.253,16 m2</v>
      </c>
      <c r="P95" s="119" t="s">
        <v>213</v>
      </c>
      <c r="Q95" s="142" t="s">
        <v>213</v>
      </c>
      <c r="R95" s="32" t="s">
        <v>291</v>
      </c>
    </row>
    <row r="96" spans="1:18" ht="15.6" x14ac:dyDescent="0.3">
      <c r="A96" s="88" t="str">
        <f>VLOOKUP(A85,'LISTA DE OFERENTES'!$A$6:$R$38,15,FALSE)</f>
        <v>PROCIVIN S.A.S</v>
      </c>
      <c r="B96" s="499"/>
      <c r="C96" s="500"/>
      <c r="D96" s="88"/>
      <c r="E96" s="88"/>
      <c r="F96" s="88"/>
      <c r="G96" s="88"/>
      <c r="H96" s="88"/>
      <c r="I96" s="147"/>
      <c r="J96" s="88"/>
      <c r="K96" s="89"/>
      <c r="L96" s="497"/>
      <c r="M96" s="91"/>
      <c r="N96" s="88"/>
      <c r="O96" s="88"/>
      <c r="P96" s="88"/>
      <c r="Q96" s="87"/>
      <c r="R96" s="90"/>
    </row>
    <row r="97" spans="1:18" s="33" customFormat="1" ht="150" customHeight="1" x14ac:dyDescent="0.3">
      <c r="A97" s="119" t="s">
        <v>293</v>
      </c>
      <c r="B97" s="498" t="s">
        <v>243</v>
      </c>
      <c r="C97" s="467"/>
      <c r="D97" s="23">
        <v>9925109755</v>
      </c>
      <c r="E97" s="69">
        <v>2019</v>
      </c>
      <c r="F97" s="69">
        <v>23145</v>
      </c>
      <c r="G97" s="24">
        <f>D97/(VLOOKUP(E97,$D$535:$E$566,2,FALSE))</f>
        <v>11985.168448623141</v>
      </c>
      <c r="H97" s="3">
        <v>0.25</v>
      </c>
      <c r="I97" s="24">
        <f>H97*G97</f>
        <v>2996.2921121557852</v>
      </c>
      <c r="J97" s="100">
        <v>43828</v>
      </c>
      <c r="K97" s="30" t="s">
        <v>257</v>
      </c>
      <c r="L97" s="497"/>
      <c r="M97" s="31">
        <f>I97</f>
        <v>2996.2921121557852</v>
      </c>
      <c r="N97" s="119" t="s">
        <v>213</v>
      </c>
      <c r="O97" s="186" t="str">
        <f>+CONCATENATE(FIXED(F97*H97,2)," ","m2")</f>
        <v>5.786,25 m2</v>
      </c>
      <c r="P97" s="119" t="s">
        <v>213</v>
      </c>
      <c r="Q97" s="142" t="s">
        <v>213</v>
      </c>
      <c r="R97" s="32" t="s">
        <v>294</v>
      </c>
    </row>
    <row r="98" spans="1:18" s="33" customFormat="1" ht="48" customHeight="1" thickBot="1" x14ac:dyDescent="0.35">
      <c r="A98" s="495" t="s">
        <v>249</v>
      </c>
      <c r="B98" s="485"/>
      <c r="C98" s="485"/>
      <c r="D98" s="485"/>
      <c r="E98" s="485"/>
      <c r="F98" s="485"/>
      <c r="G98" s="485"/>
      <c r="H98" s="486"/>
      <c r="I98" s="72">
        <f>SUM(I93:I97)</f>
        <v>6571.2156475288502</v>
      </c>
      <c r="J98" s="487" t="s">
        <v>250</v>
      </c>
      <c r="K98" s="488"/>
      <c r="L98" s="488"/>
      <c r="M98" s="488"/>
      <c r="N98" s="488"/>
      <c r="O98" s="488"/>
      <c r="P98" s="490"/>
      <c r="Q98" s="136"/>
      <c r="R98" s="92" t="s">
        <v>213</v>
      </c>
    </row>
    <row r="99" spans="1:18" ht="16.2" thickBot="1" x14ac:dyDescent="0.35">
      <c r="A99" s="4"/>
      <c r="B99" s="4"/>
      <c r="C99" s="4"/>
      <c r="D99" s="4"/>
      <c r="E99" s="4"/>
      <c r="F99" s="4"/>
      <c r="G99" s="4"/>
      <c r="H99" s="4"/>
      <c r="I99" s="4"/>
      <c r="J99" s="4"/>
      <c r="K99" s="4"/>
      <c r="L99" s="4"/>
      <c r="M99" s="4"/>
      <c r="N99" s="5"/>
      <c r="O99" s="5"/>
      <c r="P99" s="5"/>
      <c r="Q99" s="5"/>
      <c r="R99" s="5"/>
    </row>
    <row r="100" spans="1:18" ht="30.75" customHeight="1" thickBot="1" x14ac:dyDescent="0.35">
      <c r="A100" s="442">
        <f>A85+1</f>
        <v>8</v>
      </c>
      <c r="B100" s="443"/>
      <c r="C100" s="443"/>
      <c r="D100" s="444"/>
      <c r="E100" s="445" t="str">
        <f>VLOOKUP(A100,'LISTA DE OFERENTES'!$A$6:$B$38,2,FALSE)</f>
        <v>CONSORCIO INGENIERÍA I</v>
      </c>
      <c r="F100" s="446"/>
      <c r="G100" s="446"/>
      <c r="H100" s="446"/>
      <c r="I100" s="446"/>
      <c r="J100" s="446"/>
      <c r="K100" s="446"/>
      <c r="L100" s="446"/>
      <c r="M100" s="446"/>
      <c r="N100" s="446"/>
      <c r="O100" s="446"/>
      <c r="P100" s="446"/>
      <c r="Q100" s="446"/>
      <c r="R100" s="447"/>
    </row>
    <row r="101" spans="1:18" ht="50.25" customHeight="1" x14ac:dyDescent="0.3">
      <c r="A101" s="28" t="s">
        <v>215</v>
      </c>
      <c r="B101" s="85">
        <v>2</v>
      </c>
      <c r="C101" s="29" t="s">
        <v>216</v>
      </c>
      <c r="D101" s="68">
        <f>+$E$508</f>
        <v>1649.6083550000001</v>
      </c>
      <c r="E101" s="448"/>
      <c r="F101" s="449"/>
      <c r="G101" s="449"/>
      <c r="H101" s="449"/>
      <c r="I101" s="449"/>
      <c r="J101" s="449"/>
      <c r="K101" s="449"/>
      <c r="L101" s="449"/>
      <c r="M101" s="449"/>
      <c r="N101" s="449"/>
      <c r="O101" s="449"/>
      <c r="P101" s="449"/>
      <c r="Q101" s="449"/>
      <c r="R101" s="450"/>
    </row>
    <row r="102" spans="1:18" ht="30" customHeight="1" x14ac:dyDescent="0.3">
      <c r="A102" s="454" t="s">
        <v>217</v>
      </c>
      <c r="B102" s="455"/>
      <c r="C102" s="70">
        <f>IF(B101&lt;3,0.75,IF(B101&lt;5,1.2,1.5))</f>
        <v>0.75</v>
      </c>
      <c r="D102" s="71">
        <f>+D101*C102</f>
        <v>1237.20626625</v>
      </c>
      <c r="E102" s="448"/>
      <c r="F102" s="449"/>
      <c r="G102" s="449"/>
      <c r="H102" s="449"/>
      <c r="I102" s="449"/>
      <c r="J102" s="449"/>
      <c r="K102" s="449"/>
      <c r="L102" s="449"/>
      <c r="M102" s="449"/>
      <c r="N102" s="449"/>
      <c r="O102" s="449"/>
      <c r="P102" s="449"/>
      <c r="Q102" s="449"/>
      <c r="R102" s="450"/>
    </row>
    <row r="103" spans="1:18" ht="30" customHeight="1" x14ac:dyDescent="0.3">
      <c r="A103" s="456" t="s">
        <v>218</v>
      </c>
      <c r="B103" s="455"/>
      <c r="C103" s="457">
        <v>44771</v>
      </c>
      <c r="D103" s="458"/>
      <c r="E103" s="448"/>
      <c r="F103" s="449"/>
      <c r="G103" s="449"/>
      <c r="H103" s="449"/>
      <c r="I103" s="449"/>
      <c r="J103" s="449"/>
      <c r="K103" s="449"/>
      <c r="L103" s="449"/>
      <c r="M103" s="449"/>
      <c r="N103" s="449"/>
      <c r="O103" s="449"/>
      <c r="P103" s="449"/>
      <c r="Q103" s="449"/>
      <c r="R103" s="450"/>
    </row>
    <row r="104" spans="1:18" ht="30" customHeight="1" x14ac:dyDescent="0.3">
      <c r="A104" s="459" t="s">
        <v>219</v>
      </c>
      <c r="B104" s="460"/>
      <c r="C104" s="472" t="str">
        <f>+IF(I111&gt;D102,"CUMPLE","NO CUMPLE")</f>
        <v>CUMPLE</v>
      </c>
      <c r="D104" s="473"/>
      <c r="E104" s="451"/>
      <c r="F104" s="452"/>
      <c r="G104" s="452"/>
      <c r="H104" s="452"/>
      <c r="I104" s="452"/>
      <c r="J104" s="452"/>
      <c r="K104" s="452"/>
      <c r="L104" s="452"/>
      <c r="M104" s="452"/>
      <c r="N104" s="452"/>
      <c r="O104" s="452"/>
      <c r="P104" s="452"/>
      <c r="Q104" s="452"/>
      <c r="R104" s="453"/>
    </row>
    <row r="105" spans="1:18" ht="55.5" customHeight="1" x14ac:dyDescent="0.3">
      <c r="A105" s="474" t="s">
        <v>220</v>
      </c>
      <c r="B105" s="475"/>
      <c r="C105" s="475"/>
      <c r="D105" s="475"/>
      <c r="E105" s="475"/>
      <c r="F105" s="475"/>
      <c r="G105" s="475"/>
      <c r="H105" s="475"/>
      <c r="I105" s="476"/>
      <c r="J105" s="81" t="s">
        <v>221</v>
      </c>
      <c r="K105" s="103" t="s">
        <v>222</v>
      </c>
      <c r="L105" s="477" t="s">
        <v>223</v>
      </c>
      <c r="M105" s="476"/>
      <c r="N105" s="478" t="s">
        <v>224</v>
      </c>
      <c r="O105" s="480" t="s">
        <v>225</v>
      </c>
      <c r="P105" s="481"/>
      <c r="Q105" s="478" t="s">
        <v>226</v>
      </c>
      <c r="R105" s="461" t="s">
        <v>227</v>
      </c>
    </row>
    <row r="106" spans="1:18" ht="77.25" customHeight="1" x14ac:dyDescent="0.3">
      <c r="A106" s="82" t="s">
        <v>228</v>
      </c>
      <c r="B106" s="463" t="s">
        <v>229</v>
      </c>
      <c r="C106" s="464"/>
      <c r="D106" s="83" t="s">
        <v>230</v>
      </c>
      <c r="E106" s="83" t="s">
        <v>231</v>
      </c>
      <c r="F106" s="83" t="s">
        <v>232</v>
      </c>
      <c r="G106" s="83" t="s">
        <v>233</v>
      </c>
      <c r="H106" s="116" t="s">
        <v>234</v>
      </c>
      <c r="I106" s="116" t="s">
        <v>235</v>
      </c>
      <c r="J106" s="84" t="s">
        <v>236</v>
      </c>
      <c r="K106" s="84" t="s">
        <v>237</v>
      </c>
      <c r="L106" s="84" t="s">
        <v>238</v>
      </c>
      <c r="M106" s="84" t="s">
        <v>239</v>
      </c>
      <c r="N106" s="479"/>
      <c r="O106" s="482"/>
      <c r="P106" s="483"/>
      <c r="Q106" s="479"/>
      <c r="R106" s="462"/>
    </row>
    <row r="107" spans="1:18" ht="39.9" customHeight="1" x14ac:dyDescent="0.3">
      <c r="A107" s="86" t="str">
        <f>VLOOKUP(A100,'LISTA DE OFERENTES'!$A$6:$R$38,7,FALSE)</f>
        <v>IC INGENIEROS CONSTRUCTORES SAS</v>
      </c>
      <c r="B107" s="87"/>
      <c r="C107" s="87"/>
      <c r="D107" s="87"/>
      <c r="E107" s="87"/>
      <c r="F107" s="87"/>
      <c r="G107" s="162"/>
      <c r="H107" s="162"/>
      <c r="I107" s="162"/>
      <c r="J107" s="162"/>
      <c r="K107" s="162"/>
      <c r="L107" s="491" t="str">
        <f>+A107</f>
        <v>IC INGENIEROS CONSTRUCTORES SAS</v>
      </c>
      <c r="M107" s="162"/>
      <c r="N107" s="87"/>
      <c r="O107" s="162" t="s">
        <v>241</v>
      </c>
      <c r="P107" s="87"/>
      <c r="Q107" s="159"/>
      <c r="R107" s="90"/>
    </row>
    <row r="108" spans="1:18" s="33" customFormat="1" ht="215.25" customHeight="1" x14ac:dyDescent="0.3">
      <c r="A108" s="119" t="s">
        <v>618</v>
      </c>
      <c r="B108" s="498" t="s">
        <v>619</v>
      </c>
      <c r="C108" s="467"/>
      <c r="D108" s="23">
        <v>2753035489</v>
      </c>
      <c r="E108" s="156">
        <v>2019</v>
      </c>
      <c r="F108" s="156">
        <f>2258+4270+5284.71+2064</f>
        <v>13876.71</v>
      </c>
      <c r="G108" s="24">
        <f>D108/(VLOOKUP(E108,$D$535:$E$566,2,FALSE))</f>
        <v>3324.4563430727098</v>
      </c>
      <c r="H108" s="166">
        <v>0.7</v>
      </c>
      <c r="I108" s="163">
        <f>H108*G108</f>
        <v>2327.1194401508969</v>
      </c>
      <c r="J108" s="100">
        <v>43798</v>
      </c>
      <c r="K108" s="157" t="s">
        <v>620</v>
      </c>
      <c r="L108" s="492"/>
      <c r="M108" s="31">
        <f>I108</f>
        <v>2327.1194401508969</v>
      </c>
      <c r="N108" s="119" t="s">
        <v>213</v>
      </c>
      <c r="O108" s="186" t="str">
        <f>+CONCATENATE(FIXED(F108*H108,2)," ","m2")</f>
        <v>9.713,70 m2</v>
      </c>
      <c r="P108" s="150" t="s">
        <v>213</v>
      </c>
      <c r="Q108" s="158" t="s">
        <v>213</v>
      </c>
      <c r="R108" s="32" t="s">
        <v>621</v>
      </c>
    </row>
    <row r="109" spans="1:18" ht="39.9" customHeight="1" x14ac:dyDescent="0.3">
      <c r="A109" s="86" t="str">
        <f>VLOOKUP(A100,'LISTA DE OFERENTES'!$A$6:$R$38,11,FALSE)</f>
        <v>INGASI SAS</v>
      </c>
      <c r="B109" s="499"/>
      <c r="C109" s="500"/>
      <c r="D109" s="88"/>
      <c r="E109" s="88"/>
      <c r="F109" s="88"/>
      <c r="G109" s="164"/>
      <c r="H109" s="165"/>
      <c r="I109" s="165"/>
      <c r="J109" s="164"/>
      <c r="K109" s="117"/>
      <c r="L109" s="492"/>
      <c r="M109" s="118"/>
      <c r="N109" s="88"/>
      <c r="O109" s="88"/>
      <c r="P109" s="88"/>
      <c r="Q109" s="160"/>
      <c r="R109" s="90"/>
    </row>
    <row r="110" spans="1:18" s="33" customFormat="1" ht="165.75" customHeight="1" x14ac:dyDescent="0.3">
      <c r="A110" s="119" t="s">
        <v>622</v>
      </c>
      <c r="B110" s="498" t="s">
        <v>619</v>
      </c>
      <c r="C110" s="467"/>
      <c r="D110" s="23">
        <v>2165532661</v>
      </c>
      <c r="E110" s="156">
        <v>2019</v>
      </c>
      <c r="F110" s="156">
        <f>4927+3498+2551</f>
        <v>10976</v>
      </c>
      <c r="G110" s="24">
        <f>D110/(VLOOKUP(E110,$D$535:$E$566,2,FALSE))</f>
        <v>2615.0112556694958</v>
      </c>
      <c r="H110" s="166">
        <v>0.7</v>
      </c>
      <c r="I110" s="163">
        <f>H110*G110</f>
        <v>1830.507878968647</v>
      </c>
      <c r="J110" s="100">
        <v>43669</v>
      </c>
      <c r="K110" s="157" t="s">
        <v>620</v>
      </c>
      <c r="L110" s="492"/>
      <c r="M110" s="31">
        <f>I110</f>
        <v>1830.507878968647</v>
      </c>
      <c r="N110" s="119" t="s">
        <v>213</v>
      </c>
      <c r="O110" s="186" t="str">
        <f>+CONCATENATE(FIXED(F110*H110,2)," ","m2")</f>
        <v>7.683,20 m2</v>
      </c>
      <c r="P110" s="150" t="s">
        <v>213</v>
      </c>
      <c r="Q110" s="158" t="s">
        <v>214</v>
      </c>
      <c r="R110" s="32" t="s">
        <v>621</v>
      </c>
    </row>
    <row r="111" spans="1:18" s="33" customFormat="1" ht="48" customHeight="1" x14ac:dyDescent="0.3">
      <c r="A111" s="495" t="s">
        <v>249</v>
      </c>
      <c r="B111" s="485"/>
      <c r="C111" s="485"/>
      <c r="D111" s="485"/>
      <c r="E111" s="485"/>
      <c r="F111" s="485"/>
      <c r="G111" s="485"/>
      <c r="H111" s="486"/>
      <c r="I111" s="72">
        <f>SUM(I108:I110)</f>
        <v>4157.6273191195442</v>
      </c>
      <c r="J111" s="487" t="s">
        <v>250</v>
      </c>
      <c r="K111" s="488"/>
      <c r="L111" s="488"/>
      <c r="M111" s="488"/>
      <c r="N111" s="488"/>
      <c r="O111" s="488"/>
      <c r="P111" s="490"/>
      <c r="Q111" s="161"/>
      <c r="R111" s="92" t="s">
        <v>213</v>
      </c>
    </row>
    <row r="112" spans="1:18" ht="16.2" thickBot="1" x14ac:dyDescent="0.35">
      <c r="A112" s="4"/>
      <c r="B112" s="4"/>
      <c r="C112" s="4"/>
      <c r="D112" s="4"/>
      <c r="E112" s="4"/>
      <c r="F112" s="4"/>
      <c r="G112" s="4"/>
      <c r="H112" s="4"/>
      <c r="I112" s="4"/>
      <c r="J112" s="4"/>
      <c r="K112" s="4"/>
      <c r="L112" s="4"/>
      <c r="M112" s="4"/>
      <c r="N112" s="5"/>
      <c r="O112" s="5"/>
      <c r="P112" s="5"/>
      <c r="Q112" s="5"/>
      <c r="R112" s="5"/>
    </row>
    <row r="113" spans="1:18" ht="30.75" customHeight="1" thickBot="1" x14ac:dyDescent="0.35">
      <c r="A113" s="442">
        <f>A100+1</f>
        <v>9</v>
      </c>
      <c r="B113" s="443"/>
      <c r="C113" s="443"/>
      <c r="D113" s="444"/>
      <c r="E113" s="445" t="str">
        <f>VLOOKUP(A113,'LISTA DE OFERENTES'!$A$6:$B$38,2,FALSE)</f>
        <v>UNIÓN TEMPORAL BCC PARQUES BOGOTA 2022</v>
      </c>
      <c r="F113" s="446"/>
      <c r="G113" s="446"/>
      <c r="H113" s="446"/>
      <c r="I113" s="446"/>
      <c r="J113" s="446"/>
      <c r="K113" s="446"/>
      <c r="L113" s="446"/>
      <c r="M113" s="446"/>
      <c r="N113" s="446"/>
      <c r="O113" s="446"/>
      <c r="P113" s="446"/>
      <c r="Q113" s="446"/>
      <c r="R113" s="447"/>
    </row>
    <row r="114" spans="1:18" ht="50.25" customHeight="1" x14ac:dyDescent="0.3">
      <c r="A114" s="28" t="s">
        <v>215</v>
      </c>
      <c r="B114" s="85">
        <v>3</v>
      </c>
      <c r="C114" s="29" t="s">
        <v>216</v>
      </c>
      <c r="D114" s="68">
        <f>+$E$508</f>
        <v>1649.6083550000001</v>
      </c>
      <c r="E114" s="448"/>
      <c r="F114" s="449"/>
      <c r="G114" s="449"/>
      <c r="H114" s="449"/>
      <c r="I114" s="449"/>
      <c r="J114" s="449"/>
      <c r="K114" s="449"/>
      <c r="L114" s="449"/>
      <c r="M114" s="449"/>
      <c r="N114" s="449"/>
      <c r="O114" s="449"/>
      <c r="P114" s="449"/>
      <c r="Q114" s="449"/>
      <c r="R114" s="450"/>
    </row>
    <row r="115" spans="1:18" ht="30" customHeight="1" x14ac:dyDescent="0.3">
      <c r="A115" s="454" t="s">
        <v>217</v>
      </c>
      <c r="B115" s="455"/>
      <c r="C115" s="70">
        <f>IF(B114&lt;3,0.75,IF(B114&lt;5,1.2,1.5))</f>
        <v>1.2</v>
      </c>
      <c r="D115" s="71">
        <f>+D114*C115</f>
        <v>1979.5300259999999</v>
      </c>
      <c r="E115" s="448"/>
      <c r="F115" s="449"/>
      <c r="G115" s="449"/>
      <c r="H115" s="449"/>
      <c r="I115" s="449"/>
      <c r="J115" s="449"/>
      <c r="K115" s="449"/>
      <c r="L115" s="449"/>
      <c r="M115" s="449"/>
      <c r="N115" s="449"/>
      <c r="O115" s="449"/>
      <c r="P115" s="449"/>
      <c r="Q115" s="449"/>
      <c r="R115" s="450"/>
    </row>
    <row r="116" spans="1:18" ht="30" customHeight="1" x14ac:dyDescent="0.3">
      <c r="A116" s="456" t="s">
        <v>218</v>
      </c>
      <c r="B116" s="455"/>
      <c r="C116" s="457">
        <v>44771</v>
      </c>
      <c r="D116" s="458"/>
      <c r="E116" s="448"/>
      <c r="F116" s="449"/>
      <c r="G116" s="449"/>
      <c r="H116" s="449"/>
      <c r="I116" s="449"/>
      <c r="J116" s="449"/>
      <c r="K116" s="449"/>
      <c r="L116" s="449"/>
      <c r="M116" s="449"/>
      <c r="N116" s="449"/>
      <c r="O116" s="449"/>
      <c r="P116" s="449"/>
      <c r="Q116" s="449"/>
      <c r="R116" s="450"/>
    </row>
    <row r="117" spans="1:18" ht="30" customHeight="1" x14ac:dyDescent="0.3">
      <c r="A117" s="459" t="s">
        <v>219</v>
      </c>
      <c r="B117" s="460"/>
      <c r="C117" s="472" t="str">
        <f>+IF(I126&gt;D115,"CUMPLE","NO CUMPLE")</f>
        <v>CUMPLE</v>
      </c>
      <c r="D117" s="473"/>
      <c r="E117" s="451"/>
      <c r="F117" s="452"/>
      <c r="G117" s="452"/>
      <c r="H117" s="452"/>
      <c r="I117" s="452"/>
      <c r="J117" s="452"/>
      <c r="K117" s="452"/>
      <c r="L117" s="452"/>
      <c r="M117" s="452"/>
      <c r="N117" s="452"/>
      <c r="O117" s="452"/>
      <c r="P117" s="452"/>
      <c r="Q117" s="452"/>
      <c r="R117" s="453"/>
    </row>
    <row r="118" spans="1:18" ht="55.5" customHeight="1" x14ac:dyDescent="0.3">
      <c r="A118" s="474" t="s">
        <v>220</v>
      </c>
      <c r="B118" s="475"/>
      <c r="C118" s="475"/>
      <c r="D118" s="475"/>
      <c r="E118" s="475"/>
      <c r="F118" s="475"/>
      <c r="G118" s="475"/>
      <c r="H118" s="475"/>
      <c r="I118" s="476"/>
      <c r="J118" s="81" t="s">
        <v>221</v>
      </c>
      <c r="K118" s="103" t="s">
        <v>222</v>
      </c>
      <c r="L118" s="477" t="s">
        <v>223</v>
      </c>
      <c r="M118" s="476"/>
      <c r="N118" s="478" t="s">
        <v>224</v>
      </c>
      <c r="O118" s="480" t="s">
        <v>225</v>
      </c>
      <c r="P118" s="481"/>
      <c r="Q118" s="478" t="s">
        <v>226</v>
      </c>
      <c r="R118" s="461" t="s">
        <v>227</v>
      </c>
    </row>
    <row r="119" spans="1:18" ht="77.25" customHeight="1" x14ac:dyDescent="0.3">
      <c r="A119" s="82" t="s">
        <v>228</v>
      </c>
      <c r="B119" s="463" t="s">
        <v>229</v>
      </c>
      <c r="C119" s="464"/>
      <c r="D119" s="83" t="s">
        <v>230</v>
      </c>
      <c r="E119" s="83" t="s">
        <v>231</v>
      </c>
      <c r="F119" s="83" t="s">
        <v>232</v>
      </c>
      <c r="G119" s="83" t="s">
        <v>233</v>
      </c>
      <c r="H119" s="116" t="s">
        <v>234</v>
      </c>
      <c r="I119" s="116" t="s">
        <v>235</v>
      </c>
      <c r="J119" s="84" t="s">
        <v>236</v>
      </c>
      <c r="K119" s="84" t="s">
        <v>237</v>
      </c>
      <c r="L119" s="84" t="s">
        <v>238</v>
      </c>
      <c r="M119" s="84" t="s">
        <v>239</v>
      </c>
      <c r="N119" s="479"/>
      <c r="O119" s="482"/>
      <c r="P119" s="483"/>
      <c r="Q119" s="479"/>
      <c r="R119" s="462"/>
    </row>
    <row r="120" spans="1:18" ht="39.9" customHeight="1" x14ac:dyDescent="0.3">
      <c r="A120" s="86" t="str">
        <f>VLOOKUP(A113,'LISTA DE OFERENTES'!$A$6:$R$38,7,FALSE)</f>
        <v>Construlinea Ingeniería S.A.S</v>
      </c>
      <c r="B120" s="87"/>
      <c r="C120" s="87"/>
      <c r="D120" s="87"/>
      <c r="E120" s="87"/>
      <c r="F120" s="87"/>
      <c r="G120" s="87"/>
      <c r="H120" s="87"/>
      <c r="I120" s="87"/>
      <c r="J120" s="87"/>
      <c r="K120" s="87"/>
      <c r="L120" s="491" t="str">
        <f>+A124</f>
        <v>Carlos Arturo Arango Salazar</v>
      </c>
      <c r="M120" s="87"/>
      <c r="N120" s="87"/>
      <c r="O120" s="162" t="s">
        <v>241</v>
      </c>
      <c r="P120" s="87"/>
      <c r="Q120" s="87"/>
      <c r="R120" s="90"/>
    </row>
    <row r="121" spans="1:18" s="33" customFormat="1" ht="150" customHeight="1" x14ac:dyDescent="0.3">
      <c r="A121" s="119" t="s">
        <v>297</v>
      </c>
      <c r="B121" s="498" t="s">
        <v>298</v>
      </c>
      <c r="C121" s="467"/>
      <c r="D121" s="299">
        <v>2402017730.6905003</v>
      </c>
      <c r="E121" s="69">
        <v>2020</v>
      </c>
      <c r="F121" s="185">
        <v>4436.76</v>
      </c>
      <c r="G121" s="24">
        <f>D121/(VLOOKUP(E121,$D$535:$E$566,2,FALSE))</f>
        <v>2736.3972675993364</v>
      </c>
      <c r="H121" s="3">
        <v>0.34</v>
      </c>
      <c r="I121" s="24">
        <f>H121*G121</f>
        <v>930.37507098377444</v>
      </c>
      <c r="J121" s="100">
        <v>44177</v>
      </c>
      <c r="K121" s="30" t="s">
        <v>299</v>
      </c>
      <c r="L121" s="492"/>
      <c r="M121" s="31">
        <f>I121</f>
        <v>930.37507098377444</v>
      </c>
      <c r="N121" s="119" t="s">
        <v>213</v>
      </c>
      <c r="O121" s="186"/>
      <c r="P121" s="119"/>
      <c r="Q121" s="142" t="s">
        <v>213</v>
      </c>
      <c r="R121" s="32" t="s">
        <v>300</v>
      </c>
    </row>
    <row r="122" spans="1:18" ht="39.9" customHeight="1" x14ac:dyDescent="0.3">
      <c r="A122" s="86" t="str">
        <f>VLOOKUP(A113,'LISTA DE OFERENTES'!$A$6:$R$38,11,FALSE)</f>
        <v>Braycon Ingeniería S.A.S</v>
      </c>
      <c r="B122" s="87"/>
      <c r="C122" s="87"/>
      <c r="D122" s="87"/>
      <c r="E122" s="87"/>
      <c r="F122" s="87"/>
      <c r="G122" s="87"/>
      <c r="H122" s="87"/>
      <c r="I122" s="87"/>
      <c r="J122" s="87"/>
      <c r="K122" s="87"/>
      <c r="L122" s="492"/>
      <c r="M122" s="87"/>
      <c r="N122" s="87"/>
      <c r="O122" s="162" t="s">
        <v>241</v>
      </c>
      <c r="P122" s="87"/>
      <c r="Q122" s="87"/>
      <c r="R122" s="90"/>
    </row>
    <row r="123" spans="1:18" s="33" customFormat="1" ht="150" customHeight="1" x14ac:dyDescent="0.3">
      <c r="A123" s="119" t="s">
        <v>301</v>
      </c>
      <c r="B123" s="498" t="s">
        <v>302</v>
      </c>
      <c r="C123" s="467"/>
      <c r="D123" s="23">
        <v>1260204502.4300001</v>
      </c>
      <c r="E123" s="69">
        <v>2019</v>
      </c>
      <c r="F123" s="185">
        <v>4299.68</v>
      </c>
      <c r="G123" s="24">
        <f>D123/(VLOOKUP(E123,$D$535:$E$566,2,FALSE))</f>
        <v>1521.7729188060612</v>
      </c>
      <c r="H123" s="3">
        <v>0.95</v>
      </c>
      <c r="I123" s="24">
        <f t="shared" ref="I123:I125" si="1">H123*G123</f>
        <v>1445.684272865758</v>
      </c>
      <c r="J123" s="100">
        <v>43763</v>
      </c>
      <c r="K123" s="30" t="s">
        <v>303</v>
      </c>
      <c r="L123" s="492"/>
      <c r="M123" s="31">
        <f t="shared" ref="M123:M125" si="2">I123</f>
        <v>1445.684272865758</v>
      </c>
      <c r="N123" s="119" t="s">
        <v>213</v>
      </c>
      <c r="O123" s="186" t="str">
        <f>+CONCATENATE(FIXED(F123*H123,2)," ","m2")</f>
        <v>4.084,70 m2</v>
      </c>
      <c r="P123" s="119" t="s">
        <v>213</v>
      </c>
      <c r="Q123" s="142" t="s">
        <v>213</v>
      </c>
      <c r="R123" s="32" t="s">
        <v>304</v>
      </c>
    </row>
    <row r="124" spans="1:18" ht="39.9" customHeight="1" x14ac:dyDescent="0.3">
      <c r="A124" s="86" t="str">
        <f>VLOOKUP(A113,'LISTA DE OFERENTES'!$A$6:$R$38,15,FALSE)</f>
        <v>Carlos Arturo Arango Salazar</v>
      </c>
      <c r="B124" s="87"/>
      <c r="C124" s="87"/>
      <c r="D124" s="87"/>
      <c r="E124" s="87"/>
      <c r="F124" s="290"/>
      <c r="G124" s="87"/>
      <c r="H124" s="87"/>
      <c r="I124" s="87"/>
      <c r="J124" s="87"/>
      <c r="K124" s="87"/>
      <c r="L124" s="492"/>
      <c r="M124" s="87"/>
      <c r="N124" s="87"/>
      <c r="O124" s="162" t="s">
        <v>241</v>
      </c>
      <c r="P124" s="87"/>
      <c r="Q124" s="87"/>
      <c r="R124" s="90"/>
    </row>
    <row r="125" spans="1:18" s="33" customFormat="1" ht="150" customHeight="1" x14ac:dyDescent="0.3">
      <c r="A125" s="119" t="s">
        <v>305</v>
      </c>
      <c r="B125" s="498" t="s">
        <v>302</v>
      </c>
      <c r="C125" s="467"/>
      <c r="D125" s="23">
        <v>5361459944.5299997</v>
      </c>
      <c r="E125" s="69">
        <v>2015</v>
      </c>
      <c r="F125" s="185">
        <v>7845.44</v>
      </c>
      <c r="G125" s="24">
        <f>D125/(VLOOKUP(E125,$D$535:$E$566,2,FALSE))</f>
        <v>8320.7262272522694</v>
      </c>
      <c r="H125" s="3">
        <v>0.5</v>
      </c>
      <c r="I125" s="24">
        <f t="shared" si="1"/>
        <v>4160.3631136261347</v>
      </c>
      <c r="J125" s="100">
        <v>42270</v>
      </c>
      <c r="K125" s="30" t="s">
        <v>306</v>
      </c>
      <c r="L125" s="501"/>
      <c r="M125" s="31">
        <f t="shared" si="2"/>
        <v>4160.3631136261347</v>
      </c>
      <c r="N125" s="119" t="s">
        <v>213</v>
      </c>
      <c r="O125" s="186" t="str">
        <f>+CONCATENATE(FIXED(F125*H125,2)," ","m2")</f>
        <v>3.922,72 m2</v>
      </c>
      <c r="P125" s="119" t="s">
        <v>213</v>
      </c>
      <c r="Q125" s="142" t="s">
        <v>213</v>
      </c>
      <c r="R125" s="32" t="s">
        <v>307</v>
      </c>
    </row>
    <row r="126" spans="1:18" s="33" customFormat="1" ht="48" customHeight="1" x14ac:dyDescent="0.3">
      <c r="A126" s="495" t="s">
        <v>249</v>
      </c>
      <c r="B126" s="485"/>
      <c r="C126" s="485"/>
      <c r="D126" s="485"/>
      <c r="E126" s="485"/>
      <c r="F126" s="485"/>
      <c r="G126" s="485"/>
      <c r="H126" s="486"/>
      <c r="I126" s="72">
        <f>SUM(I121:I125)</f>
        <v>6536.4224574756672</v>
      </c>
      <c r="J126" s="487" t="s">
        <v>250</v>
      </c>
      <c r="K126" s="488"/>
      <c r="L126" s="488"/>
      <c r="M126" s="488"/>
      <c r="N126" s="488"/>
      <c r="O126" s="488"/>
      <c r="P126" s="490"/>
      <c r="Q126" s="136"/>
      <c r="R126" s="92" t="s">
        <v>213</v>
      </c>
    </row>
    <row r="127" spans="1:18" ht="15.75" customHeight="1" thickBot="1" x14ac:dyDescent="0.35">
      <c r="A127" s="4"/>
      <c r="B127" s="4"/>
      <c r="C127" s="120"/>
      <c r="D127" s="120"/>
      <c r="E127" s="120"/>
      <c r="F127" s="120"/>
      <c r="G127" s="120"/>
      <c r="H127" s="120"/>
      <c r="I127" s="120"/>
      <c r="J127" s="120"/>
      <c r="K127" s="120"/>
      <c r="L127" s="120"/>
      <c r="M127" s="120"/>
      <c r="N127" s="120"/>
      <c r="O127" s="120"/>
      <c r="P127" s="120"/>
      <c r="Q127" s="120"/>
      <c r="R127" s="5"/>
    </row>
    <row r="128" spans="1:18" ht="30.75" customHeight="1" thickBot="1" x14ac:dyDescent="0.35">
      <c r="A128" s="442">
        <f>A113+1</f>
        <v>10</v>
      </c>
      <c r="B128" s="443"/>
      <c r="C128" s="443"/>
      <c r="D128" s="444"/>
      <c r="E128" s="445" t="str">
        <f>VLOOKUP(A128,'LISTA DE OFERENTES'!$A$6:$B$38,2,FALSE)</f>
        <v>LAM CONSTRUCCIONES S.A.S</v>
      </c>
      <c r="F128" s="446"/>
      <c r="G128" s="446"/>
      <c r="H128" s="446"/>
      <c r="I128" s="446"/>
      <c r="J128" s="446"/>
      <c r="K128" s="446"/>
      <c r="L128" s="446"/>
      <c r="M128" s="446"/>
      <c r="N128" s="446"/>
      <c r="O128" s="446"/>
      <c r="P128" s="446"/>
      <c r="Q128" s="446"/>
      <c r="R128" s="447"/>
    </row>
    <row r="129" spans="1:18" ht="50.25" customHeight="1" x14ac:dyDescent="0.3">
      <c r="A129" s="28" t="s">
        <v>215</v>
      </c>
      <c r="B129" s="85">
        <v>2</v>
      </c>
      <c r="C129" s="29" t="s">
        <v>216</v>
      </c>
      <c r="D129" s="68">
        <f>+$E$508</f>
        <v>1649.6083550000001</v>
      </c>
      <c r="E129" s="448"/>
      <c r="F129" s="449"/>
      <c r="G129" s="449"/>
      <c r="H129" s="449"/>
      <c r="I129" s="449"/>
      <c r="J129" s="449"/>
      <c r="K129" s="449"/>
      <c r="L129" s="449"/>
      <c r="M129" s="449"/>
      <c r="N129" s="449"/>
      <c r="O129" s="449"/>
      <c r="P129" s="449"/>
      <c r="Q129" s="449"/>
      <c r="R129" s="450"/>
    </row>
    <row r="130" spans="1:18" ht="30" customHeight="1" x14ac:dyDescent="0.3">
      <c r="A130" s="454" t="s">
        <v>217</v>
      </c>
      <c r="B130" s="455"/>
      <c r="C130" s="70">
        <f>IF(B129&lt;3,0.75,IF(B129&lt;5,1.2,1.5))</f>
        <v>0.75</v>
      </c>
      <c r="D130" s="71">
        <f>+D129*C130</f>
        <v>1237.20626625</v>
      </c>
      <c r="E130" s="448"/>
      <c r="F130" s="449"/>
      <c r="G130" s="449"/>
      <c r="H130" s="449"/>
      <c r="I130" s="449"/>
      <c r="J130" s="449"/>
      <c r="K130" s="449"/>
      <c r="L130" s="449"/>
      <c r="M130" s="449"/>
      <c r="N130" s="449"/>
      <c r="O130" s="449"/>
      <c r="P130" s="449"/>
      <c r="Q130" s="449"/>
      <c r="R130" s="450"/>
    </row>
    <row r="131" spans="1:18" ht="30" customHeight="1" x14ac:dyDescent="0.3">
      <c r="A131" s="456" t="s">
        <v>218</v>
      </c>
      <c r="B131" s="455"/>
      <c r="C131" s="457">
        <v>44771</v>
      </c>
      <c r="D131" s="458"/>
      <c r="E131" s="448"/>
      <c r="F131" s="449"/>
      <c r="G131" s="449"/>
      <c r="H131" s="449"/>
      <c r="I131" s="449"/>
      <c r="J131" s="449"/>
      <c r="K131" s="449"/>
      <c r="L131" s="449"/>
      <c r="M131" s="449"/>
      <c r="N131" s="449"/>
      <c r="O131" s="449"/>
      <c r="P131" s="449"/>
      <c r="Q131" s="449"/>
      <c r="R131" s="450"/>
    </row>
    <row r="132" spans="1:18" ht="30" customHeight="1" x14ac:dyDescent="0.3">
      <c r="A132" s="459" t="s">
        <v>219</v>
      </c>
      <c r="B132" s="460"/>
      <c r="C132" s="472" t="str">
        <f>+IF(I138&gt;D130,"CUMPLE","NO CUMPLE")</f>
        <v>CUMPLE</v>
      </c>
      <c r="D132" s="473"/>
      <c r="E132" s="451"/>
      <c r="F132" s="452"/>
      <c r="G132" s="452"/>
      <c r="H132" s="452"/>
      <c r="I132" s="452"/>
      <c r="J132" s="452"/>
      <c r="K132" s="452"/>
      <c r="L132" s="452"/>
      <c r="M132" s="452"/>
      <c r="N132" s="452"/>
      <c r="O132" s="452"/>
      <c r="P132" s="452"/>
      <c r="Q132" s="452"/>
      <c r="R132" s="453"/>
    </row>
    <row r="133" spans="1:18" ht="55.5" customHeight="1" x14ac:dyDescent="0.3">
      <c r="A133" s="474" t="s">
        <v>220</v>
      </c>
      <c r="B133" s="475"/>
      <c r="C133" s="475"/>
      <c r="D133" s="475"/>
      <c r="E133" s="475"/>
      <c r="F133" s="475"/>
      <c r="G133" s="475"/>
      <c r="H133" s="475"/>
      <c r="I133" s="476"/>
      <c r="J133" s="81" t="s">
        <v>221</v>
      </c>
      <c r="K133" s="103" t="s">
        <v>222</v>
      </c>
      <c r="L133" s="477" t="s">
        <v>223</v>
      </c>
      <c r="M133" s="476"/>
      <c r="N133" s="478" t="s">
        <v>224</v>
      </c>
      <c r="O133" s="480" t="s">
        <v>225</v>
      </c>
      <c r="P133" s="481"/>
      <c r="Q133" s="478" t="s">
        <v>226</v>
      </c>
      <c r="R133" s="461" t="s">
        <v>227</v>
      </c>
    </row>
    <row r="134" spans="1:18" ht="77.25" customHeight="1" x14ac:dyDescent="0.3">
      <c r="A134" s="82" t="s">
        <v>228</v>
      </c>
      <c r="B134" s="463" t="s">
        <v>229</v>
      </c>
      <c r="C134" s="464"/>
      <c r="D134" s="83" t="s">
        <v>230</v>
      </c>
      <c r="E134" s="83" t="s">
        <v>231</v>
      </c>
      <c r="F134" s="83" t="s">
        <v>232</v>
      </c>
      <c r="G134" s="83" t="s">
        <v>233</v>
      </c>
      <c r="H134" s="116" t="s">
        <v>234</v>
      </c>
      <c r="I134" s="116" t="s">
        <v>235</v>
      </c>
      <c r="J134" s="84" t="s">
        <v>236</v>
      </c>
      <c r="K134" s="84" t="s">
        <v>237</v>
      </c>
      <c r="L134" s="191" t="s">
        <v>238</v>
      </c>
      <c r="M134" s="84" t="s">
        <v>239</v>
      </c>
      <c r="N134" s="479"/>
      <c r="O134" s="482"/>
      <c r="P134" s="483"/>
      <c r="Q134" s="479"/>
      <c r="R134" s="462"/>
    </row>
    <row r="135" spans="1:18" ht="39.9" customHeight="1" x14ac:dyDescent="0.3">
      <c r="A135" s="86" t="str">
        <f>VLOOKUP(A128,'LISTA DE OFERENTES'!$A$6:$R$38,2,FALSE)</f>
        <v>LAM CONSTRUCCIONES S.A.S</v>
      </c>
      <c r="B135" s="87"/>
      <c r="C135" s="87"/>
      <c r="D135" s="87"/>
      <c r="E135" s="87"/>
      <c r="F135" s="87"/>
      <c r="G135" s="87"/>
      <c r="H135" s="87"/>
      <c r="I135" s="87"/>
      <c r="J135" s="87"/>
      <c r="K135" s="87"/>
      <c r="L135" s="504" t="str">
        <f>+A135</f>
        <v>LAM CONSTRUCCIONES S.A.S</v>
      </c>
      <c r="M135" s="87"/>
      <c r="N135" s="87"/>
      <c r="O135" s="162" t="s">
        <v>241</v>
      </c>
      <c r="P135" s="87"/>
      <c r="Q135" s="159"/>
      <c r="R135" s="188"/>
    </row>
    <row r="136" spans="1:18" s="33" customFormat="1" ht="150" customHeight="1" x14ac:dyDescent="0.3">
      <c r="A136" s="119" t="s">
        <v>308</v>
      </c>
      <c r="B136" s="498" t="s">
        <v>309</v>
      </c>
      <c r="C136" s="467"/>
      <c r="D136" s="23">
        <v>9335856175</v>
      </c>
      <c r="E136" s="69">
        <v>2022</v>
      </c>
      <c r="F136" s="185">
        <v>39246.85</v>
      </c>
      <c r="G136" s="24">
        <f>D136/(VLOOKUP(E136,$D$535:$E$566,2,FALSE))</f>
        <v>9335.8561750000008</v>
      </c>
      <c r="H136" s="3">
        <v>1</v>
      </c>
      <c r="I136" s="24">
        <f>H136*G136</f>
        <v>9335.8561750000008</v>
      </c>
      <c r="J136" s="100">
        <v>44697</v>
      </c>
      <c r="K136" s="30" t="s">
        <v>310</v>
      </c>
      <c r="L136" s="504"/>
      <c r="M136" s="31">
        <f>I136</f>
        <v>9335.8561750000008</v>
      </c>
      <c r="N136" s="320" t="s">
        <v>214</v>
      </c>
      <c r="O136" s="186"/>
      <c r="P136" s="150" t="s">
        <v>213</v>
      </c>
      <c r="Q136" s="158" t="s">
        <v>213</v>
      </c>
      <c r="R136" s="158" t="s">
        <v>311</v>
      </c>
    </row>
    <row r="137" spans="1:18" s="33" customFormat="1" ht="150" customHeight="1" x14ac:dyDescent="0.3">
      <c r="A137" s="119" t="s">
        <v>312</v>
      </c>
      <c r="B137" s="498" t="s">
        <v>313</v>
      </c>
      <c r="C137" s="467"/>
      <c r="D137" s="23">
        <v>2099999430</v>
      </c>
      <c r="E137" s="69">
        <v>2013</v>
      </c>
      <c r="F137" s="185">
        <v>5217</v>
      </c>
      <c r="G137" s="24">
        <f>D137/(VLOOKUP(E137,$D$535:$E$566,2,FALSE))</f>
        <v>3562.34</v>
      </c>
      <c r="H137" s="3">
        <v>1</v>
      </c>
      <c r="I137" s="24">
        <f>H137*G137</f>
        <v>3562.34</v>
      </c>
      <c r="J137" s="100">
        <v>41355</v>
      </c>
      <c r="K137" s="30" t="s">
        <v>310</v>
      </c>
      <c r="L137" s="504"/>
      <c r="M137" s="31">
        <f>I137</f>
        <v>3562.34</v>
      </c>
      <c r="N137" s="119" t="s">
        <v>213</v>
      </c>
      <c r="O137" s="186" t="str">
        <f>+CONCATENATE(FIXED(F137*H137,2)," ","m2")</f>
        <v>5.217,00 m2</v>
      </c>
      <c r="P137" s="150" t="s">
        <v>213</v>
      </c>
      <c r="Q137" s="158" t="s">
        <v>213</v>
      </c>
      <c r="R137" s="158" t="s">
        <v>314</v>
      </c>
    </row>
    <row r="138" spans="1:18" s="33" customFormat="1" ht="48" customHeight="1" x14ac:dyDescent="0.3">
      <c r="A138" s="495" t="s">
        <v>249</v>
      </c>
      <c r="B138" s="485"/>
      <c r="C138" s="485"/>
      <c r="D138" s="485"/>
      <c r="E138" s="485"/>
      <c r="F138" s="485"/>
      <c r="G138" s="485"/>
      <c r="H138" s="486"/>
      <c r="I138" s="72">
        <f>SUM(I136:I137)</f>
        <v>12898.196175000001</v>
      </c>
      <c r="J138" s="487" t="s">
        <v>250</v>
      </c>
      <c r="K138" s="488"/>
      <c r="L138" s="489"/>
      <c r="M138" s="488"/>
      <c r="N138" s="488"/>
      <c r="O138" s="488"/>
      <c r="P138" s="490"/>
      <c r="Q138" s="161"/>
      <c r="R138" s="190" t="s">
        <v>213</v>
      </c>
    </row>
    <row r="139" spans="1:18" ht="16.2" thickBot="1" x14ac:dyDescent="0.35">
      <c r="A139" s="4"/>
      <c r="B139" s="4"/>
      <c r="C139" s="4"/>
      <c r="D139" s="4"/>
      <c r="E139" s="4"/>
      <c r="F139" s="4"/>
      <c r="G139" s="4"/>
      <c r="H139" s="4"/>
      <c r="I139" s="4"/>
      <c r="J139" s="4"/>
      <c r="K139" s="4"/>
      <c r="L139" s="4"/>
      <c r="M139" s="4"/>
      <c r="N139" s="5"/>
      <c r="O139" s="5"/>
      <c r="P139" s="5"/>
      <c r="Q139" s="5"/>
      <c r="R139" s="5"/>
    </row>
    <row r="140" spans="1:18" ht="30.75" customHeight="1" thickBot="1" x14ac:dyDescent="0.35">
      <c r="A140" s="442">
        <f>A128+1</f>
        <v>11</v>
      </c>
      <c r="B140" s="443"/>
      <c r="C140" s="443"/>
      <c r="D140" s="444"/>
      <c r="E140" s="445" t="str">
        <f>VLOOKUP(A140,'LISTA DE OFERENTES'!$A$6:$B$38,2,FALSE)</f>
        <v>UNION TEMPORAL PARQUE TUNAL II</v>
      </c>
      <c r="F140" s="446"/>
      <c r="G140" s="446"/>
      <c r="H140" s="446"/>
      <c r="I140" s="446"/>
      <c r="J140" s="446"/>
      <c r="K140" s="446"/>
      <c r="L140" s="446"/>
      <c r="M140" s="446"/>
      <c r="N140" s="446"/>
      <c r="O140" s="446"/>
      <c r="P140" s="446"/>
      <c r="Q140" s="446"/>
      <c r="R140" s="447"/>
    </row>
    <row r="141" spans="1:18" ht="50.25" customHeight="1" x14ac:dyDescent="0.3">
      <c r="A141" s="28" t="s">
        <v>215</v>
      </c>
      <c r="B141" s="85">
        <v>4</v>
      </c>
      <c r="C141" s="29" t="s">
        <v>216</v>
      </c>
      <c r="D141" s="68">
        <f>+$E$508</f>
        <v>1649.6083550000001</v>
      </c>
      <c r="E141" s="448"/>
      <c r="F141" s="449"/>
      <c r="G141" s="449"/>
      <c r="H141" s="449"/>
      <c r="I141" s="449"/>
      <c r="J141" s="449"/>
      <c r="K141" s="449"/>
      <c r="L141" s="449"/>
      <c r="M141" s="449"/>
      <c r="N141" s="449"/>
      <c r="O141" s="449"/>
      <c r="P141" s="449"/>
      <c r="Q141" s="449"/>
      <c r="R141" s="450"/>
    </row>
    <row r="142" spans="1:18" ht="30" customHeight="1" x14ac:dyDescent="0.3">
      <c r="A142" s="454" t="s">
        <v>217</v>
      </c>
      <c r="B142" s="455"/>
      <c r="C142" s="70">
        <f>IF(B141&lt;3,0.75,IF(B141&lt;5,1.2,1.5))</f>
        <v>1.2</v>
      </c>
      <c r="D142" s="71">
        <f>+D141*C142</f>
        <v>1979.5300259999999</v>
      </c>
      <c r="E142" s="448"/>
      <c r="F142" s="449"/>
      <c r="G142" s="449"/>
      <c r="H142" s="449"/>
      <c r="I142" s="449"/>
      <c r="J142" s="449"/>
      <c r="K142" s="449"/>
      <c r="L142" s="449"/>
      <c r="M142" s="449"/>
      <c r="N142" s="449"/>
      <c r="O142" s="449"/>
      <c r="P142" s="449"/>
      <c r="Q142" s="449"/>
      <c r="R142" s="450"/>
    </row>
    <row r="143" spans="1:18" ht="30" customHeight="1" x14ac:dyDescent="0.3">
      <c r="A143" s="456" t="s">
        <v>218</v>
      </c>
      <c r="B143" s="455"/>
      <c r="C143" s="457">
        <v>44771</v>
      </c>
      <c r="D143" s="458"/>
      <c r="E143" s="448"/>
      <c r="F143" s="449"/>
      <c r="G143" s="449"/>
      <c r="H143" s="449"/>
      <c r="I143" s="449"/>
      <c r="J143" s="449"/>
      <c r="K143" s="449"/>
      <c r="L143" s="449"/>
      <c r="M143" s="449"/>
      <c r="N143" s="449"/>
      <c r="O143" s="449"/>
      <c r="P143" s="449"/>
      <c r="Q143" s="449"/>
      <c r="R143" s="450"/>
    </row>
    <row r="144" spans="1:18" ht="30" customHeight="1" x14ac:dyDescent="0.3">
      <c r="A144" s="459" t="s">
        <v>219</v>
      </c>
      <c r="B144" s="460"/>
      <c r="C144" s="472"/>
      <c r="D144" s="473"/>
      <c r="E144" s="451"/>
      <c r="F144" s="452"/>
      <c r="G144" s="452"/>
      <c r="H144" s="452"/>
      <c r="I144" s="452"/>
      <c r="J144" s="452"/>
      <c r="K144" s="452"/>
      <c r="L144" s="452"/>
      <c r="M144" s="452"/>
      <c r="N144" s="452"/>
      <c r="O144" s="452"/>
      <c r="P144" s="452"/>
      <c r="Q144" s="452"/>
      <c r="R144" s="453"/>
    </row>
    <row r="145" spans="1:18" ht="55.5" customHeight="1" x14ac:dyDescent="0.3">
      <c r="A145" s="474" t="s">
        <v>220</v>
      </c>
      <c r="B145" s="475"/>
      <c r="C145" s="475"/>
      <c r="D145" s="475"/>
      <c r="E145" s="475"/>
      <c r="F145" s="475"/>
      <c r="G145" s="475"/>
      <c r="H145" s="475"/>
      <c r="I145" s="476"/>
      <c r="J145" s="81" t="s">
        <v>221</v>
      </c>
      <c r="K145" s="103" t="s">
        <v>222</v>
      </c>
      <c r="L145" s="477" t="s">
        <v>223</v>
      </c>
      <c r="M145" s="476"/>
      <c r="N145" s="478" t="s">
        <v>224</v>
      </c>
      <c r="O145" s="480" t="s">
        <v>225</v>
      </c>
      <c r="P145" s="481"/>
      <c r="Q145" s="478" t="s">
        <v>226</v>
      </c>
      <c r="R145" s="461" t="s">
        <v>227</v>
      </c>
    </row>
    <row r="146" spans="1:18" ht="77.25" customHeight="1" x14ac:dyDescent="0.3">
      <c r="A146" s="82" t="s">
        <v>228</v>
      </c>
      <c r="B146" s="463" t="s">
        <v>229</v>
      </c>
      <c r="C146" s="464"/>
      <c r="D146" s="83" t="s">
        <v>230</v>
      </c>
      <c r="E146" s="83" t="s">
        <v>231</v>
      </c>
      <c r="F146" s="83" t="s">
        <v>232</v>
      </c>
      <c r="G146" s="83" t="s">
        <v>233</v>
      </c>
      <c r="H146" s="116" t="s">
        <v>234</v>
      </c>
      <c r="I146" s="116" t="s">
        <v>235</v>
      </c>
      <c r="J146" s="84" t="s">
        <v>236</v>
      </c>
      <c r="K146" s="84" t="s">
        <v>237</v>
      </c>
      <c r="L146" s="84" t="s">
        <v>238</v>
      </c>
      <c r="M146" s="84" t="s">
        <v>239</v>
      </c>
      <c r="N146" s="479"/>
      <c r="O146" s="482"/>
      <c r="P146" s="483"/>
      <c r="Q146" s="479"/>
      <c r="R146" s="462"/>
    </row>
    <row r="147" spans="1:18" ht="39.9" customHeight="1" x14ac:dyDescent="0.3">
      <c r="A147" s="86" t="str">
        <f>VLOOKUP(A140,'LISTA DE OFERENTES'!$A$6:$R$38,7,FALSE)</f>
        <v>VAREGO SAS</v>
      </c>
      <c r="B147" s="87"/>
      <c r="C147" s="87"/>
      <c r="D147" s="87"/>
      <c r="E147" s="87"/>
      <c r="F147" s="87"/>
      <c r="G147" s="87"/>
      <c r="H147" s="87"/>
      <c r="I147" s="87"/>
      <c r="J147" s="87"/>
      <c r="K147" s="87"/>
      <c r="L147" s="491" t="s">
        <v>92</v>
      </c>
      <c r="M147" s="87"/>
      <c r="N147" s="87"/>
      <c r="O147" s="162" t="s">
        <v>241</v>
      </c>
      <c r="P147" s="87"/>
      <c r="Q147" s="159"/>
      <c r="R147" s="90"/>
    </row>
    <row r="148" spans="1:18" s="33" customFormat="1" ht="150" customHeight="1" x14ac:dyDescent="0.3">
      <c r="A148" s="119" t="s">
        <v>315</v>
      </c>
      <c r="B148" s="498" t="s">
        <v>316</v>
      </c>
      <c r="C148" s="467"/>
      <c r="D148" s="23">
        <v>3168483443</v>
      </c>
      <c r="E148" s="69">
        <v>2018</v>
      </c>
      <c r="F148" s="69">
        <v>4226.68</v>
      </c>
      <c r="G148" s="24">
        <f>D148/(VLOOKUP(E148,$D$535:$E$566,2,FALSE))</f>
        <v>4055.7003374114552</v>
      </c>
      <c r="H148" s="3">
        <v>0.05</v>
      </c>
      <c r="I148" s="24">
        <f>H148*G148</f>
        <v>202.78501687057278</v>
      </c>
      <c r="J148" s="100">
        <v>43300</v>
      </c>
      <c r="K148" s="30" t="s">
        <v>317</v>
      </c>
      <c r="L148" s="492"/>
      <c r="M148" s="31">
        <f>I148</f>
        <v>202.78501687057278</v>
      </c>
      <c r="N148" s="119" t="s">
        <v>213</v>
      </c>
      <c r="O148" s="186">
        <v>290.27999999999997</v>
      </c>
      <c r="P148" s="150"/>
      <c r="Q148" s="158" t="s">
        <v>213</v>
      </c>
      <c r="R148" s="32" t="s">
        <v>318</v>
      </c>
    </row>
    <row r="149" spans="1:18" ht="39.9" customHeight="1" x14ac:dyDescent="0.3">
      <c r="A149" s="86" t="str">
        <f>VLOOKUP(A140,'LISTA DE OFERENTES'!$A$6:$R$38,11,FALSE)</f>
        <v>EQUIPOS Y CONSTRUCCIONES VAREGO SAS</v>
      </c>
      <c r="B149" s="87"/>
      <c r="C149" s="87"/>
      <c r="D149" s="87"/>
      <c r="E149" s="87"/>
      <c r="F149" s="87"/>
      <c r="G149" s="87"/>
      <c r="H149" s="87"/>
      <c r="I149" s="87"/>
      <c r="J149" s="87"/>
      <c r="K149" s="87"/>
      <c r="L149" s="492"/>
      <c r="M149" s="87"/>
      <c r="N149" s="87"/>
      <c r="O149" s="162" t="s">
        <v>241</v>
      </c>
      <c r="P149" s="87"/>
      <c r="Q149" s="160"/>
      <c r="R149" s="90"/>
    </row>
    <row r="150" spans="1:18" s="33" customFormat="1" ht="88.5" customHeight="1" x14ac:dyDescent="0.3">
      <c r="A150" s="119" t="s">
        <v>319</v>
      </c>
      <c r="B150" s="498" t="s">
        <v>320</v>
      </c>
      <c r="C150" s="467"/>
      <c r="D150" s="23">
        <v>4238899515</v>
      </c>
      <c r="E150" s="69">
        <v>2006</v>
      </c>
      <c r="F150" s="69">
        <v>26242</v>
      </c>
      <c r="G150" s="24">
        <f>D150/(VLOOKUP(E150,$D$535:$E$566,2,FALSE))</f>
        <v>10389.459595588236</v>
      </c>
      <c r="H150" s="3">
        <v>0.45</v>
      </c>
      <c r="I150" s="24">
        <f>H150*G150</f>
        <v>4675.2568180147064</v>
      </c>
      <c r="J150" s="100">
        <v>38992</v>
      </c>
      <c r="K150" s="167">
        <v>72101500</v>
      </c>
      <c r="L150" s="492"/>
      <c r="M150" s="31">
        <f>I150</f>
        <v>4675.2568180147064</v>
      </c>
      <c r="N150" s="119" t="s">
        <v>213</v>
      </c>
      <c r="O150" s="186">
        <f>8222+1625</f>
        <v>9847</v>
      </c>
      <c r="P150" s="150"/>
      <c r="Q150" s="158" t="s">
        <v>213</v>
      </c>
      <c r="R150" s="32"/>
    </row>
    <row r="151" spans="1:18" s="33" customFormat="1" ht="108" customHeight="1" x14ac:dyDescent="0.3">
      <c r="A151" s="119" t="s">
        <v>321</v>
      </c>
      <c r="B151" s="498" t="s">
        <v>320</v>
      </c>
      <c r="C151" s="467"/>
      <c r="D151" s="23">
        <v>7059100635.5699997</v>
      </c>
      <c r="E151" s="69">
        <v>2007</v>
      </c>
      <c r="F151" s="69">
        <v>45232</v>
      </c>
      <c r="G151" s="24">
        <f>D151/(VLOOKUP(E151,$D$535:$E$566,2,FALSE))</f>
        <v>16276.459846829604</v>
      </c>
      <c r="H151" s="3">
        <v>0.45</v>
      </c>
      <c r="I151" s="24">
        <f>H151*G151</f>
        <v>7324.4069310733221</v>
      </c>
      <c r="J151" s="100">
        <v>39306</v>
      </c>
      <c r="K151" s="30" t="s">
        <v>257</v>
      </c>
      <c r="L151" s="492"/>
      <c r="M151" s="31">
        <f>I151</f>
        <v>7324.4069310733221</v>
      </c>
      <c r="N151" s="119" t="s">
        <v>213</v>
      </c>
      <c r="O151" s="186">
        <f>3103+10502</f>
        <v>13605</v>
      </c>
      <c r="P151" s="150" t="s">
        <v>213</v>
      </c>
      <c r="Q151" s="158" t="s">
        <v>213</v>
      </c>
      <c r="R151" s="32"/>
    </row>
    <row r="152" spans="1:18" s="33" customFormat="1" ht="150" customHeight="1" x14ac:dyDescent="0.3">
      <c r="A152" s="119" t="s">
        <v>322</v>
      </c>
      <c r="B152" s="498" t="s">
        <v>320</v>
      </c>
      <c r="C152" s="467"/>
      <c r="D152" s="23">
        <v>5142812003</v>
      </c>
      <c r="E152" s="69">
        <v>2003</v>
      </c>
      <c r="F152" s="69">
        <v>106756.38</v>
      </c>
      <c r="G152" s="24">
        <f>D152/(VLOOKUP(E152,$D$535:$E$566,2,FALSE))</f>
        <v>15490.397599397591</v>
      </c>
      <c r="H152" s="3">
        <v>0.5</v>
      </c>
      <c r="I152" s="24">
        <f>H152*G152</f>
        <v>7745.1987996987955</v>
      </c>
      <c r="J152" s="100">
        <v>37846</v>
      </c>
      <c r="K152" s="30" t="s">
        <v>257</v>
      </c>
      <c r="L152" s="492"/>
      <c r="M152" s="31">
        <f>I152</f>
        <v>7745.1987996987955</v>
      </c>
      <c r="N152" s="119" t="s">
        <v>213</v>
      </c>
      <c r="O152" s="186">
        <f>31423.21+2658.64+431.38+8722.11</f>
        <v>43235.34</v>
      </c>
      <c r="P152" s="150" t="s">
        <v>213</v>
      </c>
      <c r="Q152" s="158" t="s">
        <v>213</v>
      </c>
      <c r="R152" s="32"/>
    </row>
    <row r="153" spans="1:18" s="33" customFormat="1" ht="150" customHeight="1" x14ac:dyDescent="0.3">
      <c r="A153" s="119" t="s">
        <v>315</v>
      </c>
      <c r="B153" s="498" t="s">
        <v>316</v>
      </c>
      <c r="C153" s="467"/>
      <c r="D153" s="23">
        <v>3168483443</v>
      </c>
      <c r="E153" s="69">
        <v>2018</v>
      </c>
      <c r="F153" s="69">
        <v>4226.68</v>
      </c>
      <c r="G153" s="24">
        <f>D153/(VLOOKUP(E153,$D$535:$E$566,2,FALSE))</f>
        <v>4055.7003374114552</v>
      </c>
      <c r="H153" s="3">
        <v>0.45</v>
      </c>
      <c r="I153" s="24">
        <f>H153*G153</f>
        <v>1825.0651518351549</v>
      </c>
      <c r="J153" s="100">
        <v>43300</v>
      </c>
      <c r="K153" s="30" t="s">
        <v>306</v>
      </c>
      <c r="L153" s="501"/>
      <c r="M153" s="31">
        <f>I153</f>
        <v>1825.0651518351549</v>
      </c>
      <c r="N153" s="119" t="s">
        <v>213</v>
      </c>
      <c r="O153" s="186">
        <v>290.27999999999997</v>
      </c>
      <c r="P153" s="150"/>
      <c r="Q153" s="158" t="s">
        <v>213</v>
      </c>
      <c r="R153" s="32"/>
    </row>
    <row r="154" spans="1:18" s="33" customFormat="1" ht="48" customHeight="1" x14ac:dyDescent="0.3">
      <c r="A154" s="495" t="s">
        <v>249</v>
      </c>
      <c r="B154" s="485"/>
      <c r="C154" s="485"/>
      <c r="D154" s="485"/>
      <c r="E154" s="485"/>
      <c r="F154" s="485"/>
      <c r="G154" s="485"/>
      <c r="H154" s="486"/>
      <c r="I154" s="72">
        <f>SUM(I148:I153)</f>
        <v>21772.712717492552</v>
      </c>
      <c r="J154" s="487" t="s">
        <v>250</v>
      </c>
      <c r="K154" s="488"/>
      <c r="L154" s="488"/>
      <c r="M154" s="488"/>
      <c r="N154" s="488"/>
      <c r="O154" s="488"/>
      <c r="P154" s="490"/>
      <c r="Q154" s="161"/>
      <c r="R154" s="92" t="s">
        <v>213</v>
      </c>
    </row>
    <row r="155" spans="1:18" ht="16.2" thickBot="1" x14ac:dyDescent="0.35">
      <c r="A155" s="4"/>
      <c r="B155" s="4"/>
      <c r="C155" s="4"/>
      <c r="D155" s="4"/>
      <c r="E155" s="4"/>
      <c r="F155" s="4"/>
      <c r="G155" s="4"/>
      <c r="H155" s="4"/>
      <c r="I155" s="4"/>
      <c r="J155" s="4"/>
      <c r="K155" s="4"/>
      <c r="L155" s="4"/>
      <c r="M155" s="4"/>
      <c r="N155" s="5"/>
      <c r="O155" s="5"/>
      <c r="P155" s="5"/>
      <c r="Q155" s="5"/>
      <c r="R155" s="5"/>
    </row>
    <row r="156" spans="1:18" ht="30.75" customHeight="1" thickBot="1" x14ac:dyDescent="0.35">
      <c r="A156" s="442">
        <f>A140+1</f>
        <v>12</v>
      </c>
      <c r="B156" s="443"/>
      <c r="C156" s="443"/>
      <c r="D156" s="444"/>
      <c r="E156" s="445" t="str">
        <f>VLOOKUP(A156,'LISTA DE OFERENTES'!$A$6:$B$38,2,FALSE)</f>
        <v>CONSORCIO UNAL AVL-DHE</v>
      </c>
      <c r="F156" s="446"/>
      <c r="G156" s="446"/>
      <c r="H156" s="446"/>
      <c r="I156" s="446"/>
      <c r="J156" s="446"/>
      <c r="K156" s="446"/>
      <c r="L156" s="446"/>
      <c r="M156" s="446"/>
      <c r="N156" s="446"/>
      <c r="O156" s="446"/>
      <c r="P156" s="446"/>
      <c r="Q156" s="446"/>
      <c r="R156" s="447"/>
    </row>
    <row r="157" spans="1:18" ht="50.25" customHeight="1" x14ac:dyDescent="0.3">
      <c r="A157" s="28" t="s">
        <v>215</v>
      </c>
      <c r="B157" s="85"/>
      <c r="C157" s="29" t="s">
        <v>216</v>
      </c>
      <c r="D157" s="68">
        <f>+$E$508</f>
        <v>1649.6083550000001</v>
      </c>
      <c r="E157" s="448"/>
      <c r="F157" s="449"/>
      <c r="G157" s="449"/>
      <c r="H157" s="449"/>
      <c r="I157" s="449"/>
      <c r="J157" s="449"/>
      <c r="K157" s="449"/>
      <c r="L157" s="449"/>
      <c r="M157" s="449"/>
      <c r="N157" s="449"/>
      <c r="O157" s="449"/>
      <c r="P157" s="449"/>
      <c r="Q157" s="449"/>
      <c r="R157" s="450"/>
    </row>
    <row r="158" spans="1:18" ht="30" customHeight="1" x14ac:dyDescent="0.3">
      <c r="A158" s="454" t="s">
        <v>217</v>
      </c>
      <c r="B158" s="455"/>
      <c r="C158" s="70">
        <f>IF(B157&lt;3,0.75,IF(B157&lt;5,1.2,1.5))</f>
        <v>0.75</v>
      </c>
      <c r="D158" s="71">
        <f>+D157*C158</f>
        <v>1237.20626625</v>
      </c>
      <c r="E158" s="448"/>
      <c r="F158" s="449"/>
      <c r="G158" s="449"/>
      <c r="H158" s="449"/>
      <c r="I158" s="449"/>
      <c r="J158" s="449"/>
      <c r="K158" s="449"/>
      <c r="L158" s="449"/>
      <c r="M158" s="449"/>
      <c r="N158" s="449"/>
      <c r="O158" s="449"/>
      <c r="P158" s="449"/>
      <c r="Q158" s="449"/>
      <c r="R158" s="450"/>
    </row>
    <row r="159" spans="1:18" ht="30" customHeight="1" x14ac:dyDescent="0.3">
      <c r="A159" s="456" t="s">
        <v>218</v>
      </c>
      <c r="B159" s="455"/>
      <c r="C159" s="457">
        <v>44771</v>
      </c>
      <c r="D159" s="458"/>
      <c r="E159" s="448"/>
      <c r="F159" s="449"/>
      <c r="G159" s="449"/>
      <c r="H159" s="449"/>
      <c r="I159" s="449"/>
      <c r="J159" s="449"/>
      <c r="K159" s="449"/>
      <c r="L159" s="449"/>
      <c r="M159" s="449"/>
      <c r="N159" s="449"/>
      <c r="O159" s="449"/>
      <c r="P159" s="449"/>
      <c r="Q159" s="449"/>
      <c r="R159" s="450"/>
    </row>
    <row r="160" spans="1:18" ht="30" customHeight="1" x14ac:dyDescent="0.3">
      <c r="A160" s="459" t="s">
        <v>219</v>
      </c>
      <c r="B160" s="460"/>
      <c r="C160" s="472"/>
      <c r="D160" s="473"/>
      <c r="E160" s="451"/>
      <c r="F160" s="452"/>
      <c r="G160" s="452"/>
      <c r="H160" s="452"/>
      <c r="I160" s="452"/>
      <c r="J160" s="452"/>
      <c r="K160" s="452"/>
      <c r="L160" s="452"/>
      <c r="M160" s="452"/>
      <c r="N160" s="452"/>
      <c r="O160" s="452"/>
      <c r="P160" s="452"/>
      <c r="Q160" s="452"/>
      <c r="R160" s="453"/>
    </row>
    <row r="161" spans="1:18" ht="55.5" customHeight="1" x14ac:dyDescent="0.3">
      <c r="A161" s="474" t="s">
        <v>220</v>
      </c>
      <c r="B161" s="475"/>
      <c r="C161" s="475"/>
      <c r="D161" s="475"/>
      <c r="E161" s="475"/>
      <c r="F161" s="475"/>
      <c r="G161" s="475"/>
      <c r="H161" s="475"/>
      <c r="I161" s="476"/>
      <c r="J161" s="81" t="s">
        <v>221</v>
      </c>
      <c r="K161" s="103" t="s">
        <v>222</v>
      </c>
      <c r="L161" s="477" t="s">
        <v>223</v>
      </c>
      <c r="M161" s="476"/>
      <c r="N161" s="478" t="s">
        <v>224</v>
      </c>
      <c r="O161" s="480" t="s">
        <v>225</v>
      </c>
      <c r="P161" s="481"/>
      <c r="Q161" s="478" t="s">
        <v>226</v>
      </c>
      <c r="R161" s="461" t="s">
        <v>227</v>
      </c>
    </row>
    <row r="162" spans="1:18" ht="77.25" customHeight="1" x14ac:dyDescent="0.3">
      <c r="A162" s="82" t="s">
        <v>228</v>
      </c>
      <c r="B162" s="463" t="s">
        <v>229</v>
      </c>
      <c r="C162" s="464"/>
      <c r="D162" s="83" t="s">
        <v>230</v>
      </c>
      <c r="E162" s="83" t="s">
        <v>231</v>
      </c>
      <c r="F162" s="83" t="s">
        <v>232</v>
      </c>
      <c r="G162" s="83" t="s">
        <v>233</v>
      </c>
      <c r="H162" s="116" t="s">
        <v>234</v>
      </c>
      <c r="I162" s="116" t="s">
        <v>235</v>
      </c>
      <c r="J162" s="84" t="s">
        <v>236</v>
      </c>
      <c r="K162" s="84" t="s">
        <v>237</v>
      </c>
      <c r="L162" s="84" t="s">
        <v>238</v>
      </c>
      <c r="M162" s="84" t="s">
        <v>239</v>
      </c>
      <c r="N162" s="479"/>
      <c r="O162" s="482"/>
      <c r="P162" s="483"/>
      <c r="Q162" s="479"/>
      <c r="R162" s="462"/>
    </row>
    <row r="163" spans="1:18" ht="39.9" customHeight="1" x14ac:dyDescent="0.3">
      <c r="A163" s="86" t="str">
        <f>VLOOKUP(A156,'LISTA DE OFERENTES'!$A$6:$R$38,7,FALSE)</f>
        <v>AV&amp;L INGENIERIA SAS</v>
      </c>
      <c r="B163" s="87"/>
      <c r="C163" s="87"/>
      <c r="D163" s="87"/>
      <c r="E163" s="87"/>
      <c r="F163" s="87"/>
      <c r="G163" s="87"/>
      <c r="H163" s="87"/>
      <c r="I163" s="87"/>
      <c r="J163" s="87"/>
      <c r="K163" s="87"/>
      <c r="L163" s="491" t="s">
        <v>97</v>
      </c>
      <c r="M163" s="87"/>
      <c r="N163" s="87"/>
      <c r="O163" s="162" t="s">
        <v>241</v>
      </c>
      <c r="P163" s="87"/>
      <c r="Q163" s="87"/>
      <c r="R163" s="90"/>
    </row>
    <row r="164" spans="1:18" s="33" customFormat="1" ht="150" customHeight="1" x14ac:dyDescent="0.3">
      <c r="A164" s="119" t="s">
        <v>323</v>
      </c>
      <c r="B164" s="498" t="s">
        <v>324</v>
      </c>
      <c r="C164" s="467"/>
      <c r="D164" s="23">
        <v>2708827245</v>
      </c>
      <c r="E164" s="69">
        <v>2010</v>
      </c>
      <c r="F164" s="69">
        <v>22574</v>
      </c>
      <c r="G164" s="24">
        <f>D164/(VLOOKUP(E164,$D$535:$E$566,2,FALSE))</f>
        <v>5259.85872815534</v>
      </c>
      <c r="H164" s="3">
        <v>0.33500000000000002</v>
      </c>
      <c r="I164" s="24">
        <f>H164*G164</f>
        <v>1762.0526739320389</v>
      </c>
      <c r="J164" s="100">
        <v>40423</v>
      </c>
      <c r="K164" s="30" t="s">
        <v>247</v>
      </c>
      <c r="L164" s="492"/>
      <c r="M164" s="31">
        <f>I164</f>
        <v>1762.0526739320389</v>
      </c>
      <c r="N164" s="119" t="s">
        <v>213</v>
      </c>
      <c r="O164" s="186">
        <f>2596+3457+3341</f>
        <v>9394</v>
      </c>
      <c r="P164" s="119" t="s">
        <v>213</v>
      </c>
      <c r="Q164" s="142" t="s">
        <v>213</v>
      </c>
      <c r="R164" s="32" t="s">
        <v>325</v>
      </c>
    </row>
    <row r="165" spans="1:18" ht="39.9" customHeight="1" x14ac:dyDescent="0.3">
      <c r="A165" s="86" t="str">
        <f>VLOOKUP(A156,'LISTA DE OFERENTES'!$A$6:$R$38,11,FALSE)</f>
        <v>DHE INGENIERIA SAS</v>
      </c>
      <c r="B165" s="87"/>
      <c r="C165" s="87"/>
      <c r="D165" s="87"/>
      <c r="E165" s="87"/>
      <c r="F165" s="87"/>
      <c r="G165" s="87"/>
      <c r="H165" s="87"/>
      <c r="I165" s="87"/>
      <c r="J165" s="87"/>
      <c r="K165" s="87"/>
      <c r="L165" s="492"/>
      <c r="M165" s="87"/>
      <c r="N165" s="87"/>
      <c r="O165" s="162" t="s">
        <v>241</v>
      </c>
      <c r="P165" s="87"/>
      <c r="Q165" s="87"/>
      <c r="R165" s="90"/>
    </row>
    <row r="166" spans="1:18" s="33" customFormat="1" ht="150" customHeight="1" x14ac:dyDescent="0.3">
      <c r="A166" s="119"/>
      <c r="B166" s="498"/>
      <c r="C166" s="467"/>
      <c r="D166" s="23"/>
      <c r="E166" s="69"/>
      <c r="F166" s="69"/>
      <c r="G166" s="24"/>
      <c r="H166" s="3"/>
      <c r="I166" s="24"/>
      <c r="J166" s="100"/>
      <c r="K166" s="30"/>
      <c r="L166" s="501"/>
      <c r="M166" s="31"/>
      <c r="N166" s="119"/>
      <c r="O166" s="186"/>
      <c r="P166" s="119"/>
      <c r="Q166" s="142"/>
      <c r="R166" s="32" t="s">
        <v>326</v>
      </c>
    </row>
    <row r="167" spans="1:18" s="33" customFormat="1" ht="48" customHeight="1" x14ac:dyDescent="0.3">
      <c r="A167" s="495" t="s">
        <v>249</v>
      </c>
      <c r="B167" s="485"/>
      <c r="C167" s="485"/>
      <c r="D167" s="485"/>
      <c r="E167" s="485"/>
      <c r="F167" s="485"/>
      <c r="G167" s="485"/>
      <c r="H167" s="486"/>
      <c r="I167" s="72">
        <f>SUM(I164:I164)</f>
        <v>1762.0526739320389</v>
      </c>
      <c r="J167" s="487" t="s">
        <v>250</v>
      </c>
      <c r="K167" s="488"/>
      <c r="L167" s="488"/>
      <c r="M167" s="488"/>
      <c r="N167" s="488"/>
      <c r="O167" s="488"/>
      <c r="P167" s="490"/>
      <c r="Q167" s="136"/>
      <c r="R167" s="92" t="s">
        <v>213</v>
      </c>
    </row>
    <row r="168" spans="1:18" ht="15.75" customHeight="1" thickBot="1" x14ac:dyDescent="0.35">
      <c r="A168" s="4"/>
      <c r="B168" s="4"/>
      <c r="C168" s="120"/>
      <c r="D168" s="120"/>
      <c r="E168" s="120"/>
      <c r="F168" s="120"/>
      <c r="G168" s="120"/>
      <c r="H168" s="120"/>
      <c r="I168" s="120"/>
      <c r="J168" s="120"/>
      <c r="K168" s="120"/>
      <c r="L168" s="120"/>
      <c r="M168" s="120"/>
      <c r="N168" s="120"/>
      <c r="O168" s="120"/>
      <c r="P168" s="120"/>
      <c r="Q168" s="120"/>
      <c r="R168" s="5"/>
    </row>
    <row r="169" spans="1:18" ht="30.75" customHeight="1" thickBot="1" x14ac:dyDescent="0.35">
      <c r="A169" s="442">
        <f>A156+1</f>
        <v>13</v>
      </c>
      <c r="B169" s="443"/>
      <c r="C169" s="443"/>
      <c r="D169" s="444"/>
      <c r="E169" s="445" t="str">
        <f>VLOOKUP(A169,'LISTA DE OFERENTES'!$A$6:$B$38,2,FALSE)</f>
        <v>CONSORCIO VALHER</v>
      </c>
      <c r="F169" s="446"/>
      <c r="G169" s="446"/>
      <c r="H169" s="446"/>
      <c r="I169" s="446"/>
      <c r="J169" s="446"/>
      <c r="K169" s="446"/>
      <c r="L169" s="446"/>
      <c r="M169" s="446"/>
      <c r="N169" s="446"/>
      <c r="O169" s="446"/>
      <c r="P169" s="446"/>
      <c r="Q169" s="446"/>
      <c r="R169" s="447"/>
    </row>
    <row r="170" spans="1:18" ht="50.25" customHeight="1" x14ac:dyDescent="0.3">
      <c r="A170" s="28" t="s">
        <v>215</v>
      </c>
      <c r="B170" s="85"/>
      <c r="C170" s="29" t="s">
        <v>216</v>
      </c>
      <c r="D170" s="68">
        <f>+$E$508</f>
        <v>1649.6083550000001</v>
      </c>
      <c r="E170" s="448"/>
      <c r="F170" s="449"/>
      <c r="G170" s="449"/>
      <c r="H170" s="449"/>
      <c r="I170" s="449"/>
      <c r="J170" s="449"/>
      <c r="K170" s="449"/>
      <c r="L170" s="449"/>
      <c r="M170" s="449"/>
      <c r="N170" s="449"/>
      <c r="O170" s="449"/>
      <c r="P170" s="449"/>
      <c r="Q170" s="449"/>
      <c r="R170" s="450"/>
    </row>
    <row r="171" spans="1:18" ht="30" customHeight="1" x14ac:dyDescent="0.3">
      <c r="A171" s="454" t="s">
        <v>217</v>
      </c>
      <c r="B171" s="455"/>
      <c r="C171" s="70">
        <f>IF(B170&lt;3,0.75,IF(B170&lt;5,1.2,1.5))</f>
        <v>0.75</v>
      </c>
      <c r="D171" s="71">
        <f>+D170*C171</f>
        <v>1237.20626625</v>
      </c>
      <c r="E171" s="448"/>
      <c r="F171" s="449"/>
      <c r="G171" s="449"/>
      <c r="H171" s="449"/>
      <c r="I171" s="449"/>
      <c r="J171" s="449"/>
      <c r="K171" s="449"/>
      <c r="L171" s="449"/>
      <c r="M171" s="449"/>
      <c r="N171" s="449"/>
      <c r="O171" s="449"/>
      <c r="P171" s="449"/>
      <c r="Q171" s="449"/>
      <c r="R171" s="450"/>
    </row>
    <row r="172" spans="1:18" ht="30" customHeight="1" x14ac:dyDescent="0.3">
      <c r="A172" s="456" t="s">
        <v>218</v>
      </c>
      <c r="B172" s="455"/>
      <c r="C172" s="457">
        <v>44771</v>
      </c>
      <c r="D172" s="458"/>
      <c r="E172" s="448"/>
      <c r="F172" s="449"/>
      <c r="G172" s="449"/>
      <c r="H172" s="449"/>
      <c r="I172" s="449"/>
      <c r="J172" s="449"/>
      <c r="K172" s="449"/>
      <c r="L172" s="449"/>
      <c r="M172" s="449"/>
      <c r="N172" s="449"/>
      <c r="O172" s="449"/>
      <c r="P172" s="449"/>
      <c r="Q172" s="449"/>
      <c r="R172" s="450"/>
    </row>
    <row r="173" spans="1:18" ht="30" customHeight="1" x14ac:dyDescent="0.3">
      <c r="A173" s="459" t="s">
        <v>219</v>
      </c>
      <c r="B173" s="460"/>
      <c r="C173" s="472"/>
      <c r="D173" s="473"/>
      <c r="E173" s="451"/>
      <c r="F173" s="452"/>
      <c r="G173" s="452"/>
      <c r="H173" s="452"/>
      <c r="I173" s="452"/>
      <c r="J173" s="452"/>
      <c r="K173" s="452"/>
      <c r="L173" s="452"/>
      <c r="M173" s="452"/>
      <c r="N173" s="452"/>
      <c r="O173" s="452"/>
      <c r="P173" s="452"/>
      <c r="Q173" s="452"/>
      <c r="R173" s="453"/>
    </row>
    <row r="174" spans="1:18" ht="55.5" customHeight="1" x14ac:dyDescent="0.3">
      <c r="A174" s="474" t="s">
        <v>220</v>
      </c>
      <c r="B174" s="475"/>
      <c r="C174" s="475"/>
      <c r="D174" s="475"/>
      <c r="E174" s="475"/>
      <c r="F174" s="475"/>
      <c r="G174" s="475"/>
      <c r="H174" s="475"/>
      <c r="I174" s="476"/>
      <c r="J174" s="81" t="s">
        <v>221</v>
      </c>
      <c r="K174" s="103" t="s">
        <v>222</v>
      </c>
      <c r="L174" s="477" t="s">
        <v>223</v>
      </c>
      <c r="M174" s="476"/>
      <c r="N174" s="478" t="s">
        <v>224</v>
      </c>
      <c r="O174" s="480" t="s">
        <v>225</v>
      </c>
      <c r="P174" s="481"/>
      <c r="Q174" s="478" t="s">
        <v>226</v>
      </c>
      <c r="R174" s="461" t="s">
        <v>227</v>
      </c>
    </row>
    <row r="175" spans="1:18" ht="77.25" customHeight="1" x14ac:dyDescent="0.3">
      <c r="A175" s="82" t="s">
        <v>228</v>
      </c>
      <c r="B175" s="463" t="s">
        <v>229</v>
      </c>
      <c r="C175" s="464"/>
      <c r="D175" s="83" t="s">
        <v>230</v>
      </c>
      <c r="E175" s="83" t="s">
        <v>231</v>
      </c>
      <c r="F175" s="83" t="s">
        <v>232</v>
      </c>
      <c r="G175" s="83" t="s">
        <v>233</v>
      </c>
      <c r="H175" s="116" t="s">
        <v>234</v>
      </c>
      <c r="I175" s="116" t="s">
        <v>235</v>
      </c>
      <c r="J175" s="84" t="s">
        <v>236</v>
      </c>
      <c r="K175" s="84" t="s">
        <v>237</v>
      </c>
      <c r="L175" s="84" t="s">
        <v>238</v>
      </c>
      <c r="M175" s="84" t="s">
        <v>239</v>
      </c>
      <c r="N175" s="479"/>
      <c r="O175" s="482"/>
      <c r="P175" s="483"/>
      <c r="Q175" s="479"/>
      <c r="R175" s="462"/>
    </row>
    <row r="176" spans="1:18" ht="39.9" customHeight="1" x14ac:dyDescent="0.3">
      <c r="A176" s="86" t="str">
        <f>VLOOKUP(A169,'LISTA DE OFERENTES'!$A$6:$R$38,7,FALSE)</f>
        <v>CONSTRUCTORA VALHER SAS</v>
      </c>
      <c r="B176" s="87"/>
      <c r="C176" s="87"/>
      <c r="D176" s="87"/>
      <c r="E176" s="87"/>
      <c r="F176" s="87"/>
      <c r="G176" s="87"/>
      <c r="H176" s="87"/>
      <c r="I176" s="87"/>
      <c r="J176" s="87"/>
      <c r="K176" s="87"/>
      <c r="L176" s="491" t="s">
        <v>103</v>
      </c>
      <c r="M176" s="87"/>
      <c r="N176" s="87"/>
      <c r="O176" s="162" t="s">
        <v>241</v>
      </c>
      <c r="P176" s="87"/>
      <c r="Q176" s="87"/>
      <c r="R176" s="90"/>
    </row>
    <row r="177" spans="1:18" s="33" customFormat="1" ht="150" customHeight="1" x14ac:dyDescent="0.3">
      <c r="A177" s="119" t="s">
        <v>327</v>
      </c>
      <c r="B177" s="498" t="s">
        <v>328</v>
      </c>
      <c r="C177" s="467"/>
      <c r="D177" s="23">
        <v>5651411301</v>
      </c>
      <c r="E177" s="69">
        <v>2019</v>
      </c>
      <c r="F177" s="69">
        <v>15330.57</v>
      </c>
      <c r="G177" s="24">
        <f>D177/(VLOOKUP(E177,$D$535:$E$566,2,FALSE))</f>
        <v>6824.4198892425702</v>
      </c>
      <c r="H177" s="3">
        <v>0.52</v>
      </c>
      <c r="I177" s="24">
        <f>H177*G177</f>
        <v>3548.6983424061368</v>
      </c>
      <c r="J177" s="100">
        <v>43515</v>
      </c>
      <c r="K177" s="30" t="s">
        <v>257</v>
      </c>
      <c r="L177" s="492"/>
      <c r="M177" s="31">
        <f>I177</f>
        <v>3548.6983424061368</v>
      </c>
      <c r="N177" s="119" t="s">
        <v>213</v>
      </c>
      <c r="O177" s="186" t="str">
        <f>+CONCATENATE(FIXED(F177*H177,2)," ","m2")</f>
        <v>7.971,90 m2</v>
      </c>
      <c r="P177" s="119" t="s">
        <v>213</v>
      </c>
      <c r="Q177" s="142" t="s">
        <v>213</v>
      </c>
      <c r="R177" s="32"/>
    </row>
    <row r="178" spans="1:18" s="33" customFormat="1" ht="150" customHeight="1" x14ac:dyDescent="0.3">
      <c r="A178" s="119" t="s">
        <v>329</v>
      </c>
      <c r="B178" s="498" t="s">
        <v>330</v>
      </c>
      <c r="C178" s="467"/>
      <c r="D178" s="23">
        <v>6136688258</v>
      </c>
      <c r="E178" s="69">
        <v>2018</v>
      </c>
      <c r="F178" s="69">
        <v>15125</v>
      </c>
      <c r="G178" s="24">
        <f>D178/(VLOOKUP(E178,$D$535:$E$566,2,FALSE))</f>
        <v>7855.0414058639963</v>
      </c>
      <c r="H178" s="3">
        <v>0.75</v>
      </c>
      <c r="I178" s="24">
        <f>H178*G178</f>
        <v>5891.2810543979977</v>
      </c>
      <c r="J178" s="100">
        <v>43422</v>
      </c>
      <c r="K178" s="30" t="s">
        <v>331</v>
      </c>
      <c r="L178" s="492"/>
      <c r="M178" s="31">
        <f>I178</f>
        <v>5891.2810543979977</v>
      </c>
      <c r="N178" s="119" t="s">
        <v>213</v>
      </c>
      <c r="O178" s="186" t="str">
        <f>+CONCATENATE(FIXED(F178*H178,2)," ","m2")</f>
        <v>11.343,75 m2</v>
      </c>
      <c r="P178" s="119" t="s">
        <v>213</v>
      </c>
      <c r="Q178" s="142" t="s">
        <v>213</v>
      </c>
      <c r="R178" s="32"/>
    </row>
    <row r="179" spans="1:18" s="33" customFormat="1" ht="150" customHeight="1" x14ac:dyDescent="0.3">
      <c r="A179" s="119" t="s">
        <v>332</v>
      </c>
      <c r="B179" s="498" t="s">
        <v>333</v>
      </c>
      <c r="C179" s="467"/>
      <c r="D179" s="23">
        <v>1469580195</v>
      </c>
      <c r="E179" s="69">
        <v>2015</v>
      </c>
      <c r="F179" s="69">
        <v>11189</v>
      </c>
      <c r="G179" s="24">
        <f>D179/(VLOOKUP(E179,$D$535:$E$566,2,FALSE))</f>
        <v>2280.7173042601071</v>
      </c>
      <c r="H179" s="3">
        <v>0.9</v>
      </c>
      <c r="I179" s="24">
        <f>H179*G179</f>
        <v>2052.6455738340965</v>
      </c>
      <c r="J179" s="100">
        <v>42344</v>
      </c>
      <c r="K179" s="30" t="s">
        <v>247</v>
      </c>
      <c r="L179" s="492"/>
      <c r="M179" s="31">
        <f>I179</f>
        <v>2052.6455738340965</v>
      </c>
      <c r="N179" s="119" t="s">
        <v>213</v>
      </c>
      <c r="O179" s="186" t="str">
        <f>+CONCATENATE(FIXED(F179*H179,2)," ","m2")</f>
        <v>10.070,10 m2</v>
      </c>
      <c r="P179" s="119" t="s">
        <v>213</v>
      </c>
      <c r="Q179" s="142" t="s">
        <v>214</v>
      </c>
      <c r="R179" s="32" t="s">
        <v>334</v>
      </c>
    </row>
    <row r="180" spans="1:18" s="33" customFormat="1" ht="150" customHeight="1" x14ac:dyDescent="0.3">
      <c r="A180" s="119" t="s">
        <v>335</v>
      </c>
      <c r="B180" s="498" t="s">
        <v>19</v>
      </c>
      <c r="C180" s="467"/>
      <c r="D180" s="23">
        <f>906203740+453263600</f>
        <v>1359467340</v>
      </c>
      <c r="E180" s="69">
        <v>2018</v>
      </c>
      <c r="F180" s="69">
        <v>3529</v>
      </c>
      <c r="G180" s="24">
        <f>D180/(VLOOKUP(E180,$D$535:$E$566,2,FALSE))</f>
        <v>1740.1360141927853</v>
      </c>
      <c r="H180" s="3">
        <v>1</v>
      </c>
      <c r="I180" s="24">
        <f>H180*G180</f>
        <v>1740.1360141927853</v>
      </c>
      <c r="J180" s="100">
        <v>43214</v>
      </c>
      <c r="K180" s="30" t="s">
        <v>247</v>
      </c>
      <c r="L180" s="492"/>
      <c r="M180" s="31">
        <f>I180</f>
        <v>1740.1360141927853</v>
      </c>
      <c r="N180" s="119" t="s">
        <v>213</v>
      </c>
      <c r="O180" s="186" t="str">
        <f>+CONCATENATE(FIXED(F180*H180,2)," ","m2")</f>
        <v>3.529,00 m2</v>
      </c>
      <c r="P180" s="119" t="s">
        <v>213</v>
      </c>
      <c r="Q180" s="142" t="s">
        <v>213</v>
      </c>
      <c r="R180" s="32" t="s">
        <v>334</v>
      </c>
    </row>
    <row r="181" spans="1:18" ht="39.9" customHeight="1" x14ac:dyDescent="0.3">
      <c r="A181" s="86" t="str">
        <f>VLOOKUP(A169,'LISTA DE OFERENTES'!$A$6:$R$38,11,FALSE)</f>
        <v>MAGDA HEYNNER UMAÑA TORRES</v>
      </c>
      <c r="B181" s="87"/>
      <c r="C181" s="87"/>
      <c r="D181" s="87"/>
      <c r="E181" s="87"/>
      <c r="F181" s="87"/>
      <c r="G181" s="87"/>
      <c r="H181" s="87"/>
      <c r="I181" s="87"/>
      <c r="J181" s="87"/>
      <c r="K181" s="87"/>
      <c r="L181" s="492"/>
      <c r="M181" s="87"/>
      <c r="N181" s="87"/>
      <c r="O181" s="162" t="s">
        <v>241</v>
      </c>
      <c r="P181" s="87"/>
      <c r="Q181" s="87"/>
      <c r="R181" s="90"/>
    </row>
    <row r="182" spans="1:18" s="33" customFormat="1" ht="150" customHeight="1" x14ac:dyDescent="0.3">
      <c r="A182" s="119" t="s">
        <v>327</v>
      </c>
      <c r="B182" s="498" t="s">
        <v>328</v>
      </c>
      <c r="C182" s="467"/>
      <c r="D182" s="23">
        <v>5651411301</v>
      </c>
      <c r="E182" s="69">
        <v>2019</v>
      </c>
      <c r="F182" s="69">
        <v>15330.57</v>
      </c>
      <c r="G182" s="24">
        <f>D182/(VLOOKUP(E182,$D$535:$E$566,2,FALSE))</f>
        <v>6824.4198892425702</v>
      </c>
      <c r="H182" s="3">
        <v>0.38</v>
      </c>
      <c r="I182" s="24">
        <f>H182*G182</f>
        <v>2593.2795579121766</v>
      </c>
      <c r="J182" s="100">
        <v>43515</v>
      </c>
      <c r="K182" s="30" t="s">
        <v>257</v>
      </c>
      <c r="L182" s="492"/>
      <c r="M182" s="31">
        <f>I182</f>
        <v>2593.2795579121766</v>
      </c>
      <c r="N182" s="119" t="s">
        <v>213</v>
      </c>
      <c r="O182" s="186" t="str">
        <f>+CONCATENATE(FIXED(F182*H182,2)," ","m2")</f>
        <v>5.825,62 m2</v>
      </c>
      <c r="P182" s="119" t="s">
        <v>213</v>
      </c>
      <c r="Q182" s="142" t="s">
        <v>213</v>
      </c>
      <c r="R182" s="32"/>
    </row>
    <row r="183" spans="1:18" s="33" customFormat="1" ht="150" customHeight="1" x14ac:dyDescent="0.3">
      <c r="A183" s="119" t="s">
        <v>329</v>
      </c>
      <c r="B183" s="498" t="s">
        <v>330</v>
      </c>
      <c r="C183" s="467"/>
      <c r="D183" s="23">
        <v>6136688258</v>
      </c>
      <c r="E183" s="69">
        <v>2018</v>
      </c>
      <c r="F183" s="69">
        <v>15125</v>
      </c>
      <c r="G183" s="24">
        <f>D183/(VLOOKUP(E183,$D$535:$E$566,2,FALSE))</f>
        <v>7855.0414058639963</v>
      </c>
      <c r="H183" s="3">
        <v>0.05</v>
      </c>
      <c r="I183" s="24">
        <f>H183*G183</f>
        <v>392.75207029319984</v>
      </c>
      <c r="J183" s="100">
        <v>43422</v>
      </c>
      <c r="K183" s="30" t="s">
        <v>331</v>
      </c>
      <c r="L183" s="492"/>
      <c r="M183" s="31">
        <f>I183</f>
        <v>392.75207029319984</v>
      </c>
      <c r="N183" s="119" t="s">
        <v>213</v>
      </c>
      <c r="O183" s="186" t="str">
        <f>+CONCATENATE(FIXED(F183*H183,2)," ","m2")</f>
        <v>756,25 m2</v>
      </c>
      <c r="P183" s="119"/>
      <c r="Q183" s="142" t="s">
        <v>213</v>
      </c>
      <c r="R183" s="32"/>
    </row>
    <row r="184" spans="1:18" s="33" customFormat="1" ht="150" customHeight="1" x14ac:dyDescent="0.3">
      <c r="A184" s="119" t="s">
        <v>332</v>
      </c>
      <c r="B184" s="498" t="s">
        <v>333</v>
      </c>
      <c r="C184" s="467"/>
      <c r="D184" s="23">
        <v>1469580195</v>
      </c>
      <c r="E184" s="69">
        <v>2015</v>
      </c>
      <c r="F184" s="69">
        <v>11189</v>
      </c>
      <c r="G184" s="24">
        <f>D184/(VLOOKUP(E184,$D$535:$E$566,2,FALSE))</f>
        <v>2280.7173042601071</v>
      </c>
      <c r="H184" s="3">
        <v>0.1</v>
      </c>
      <c r="I184" s="24">
        <f>H184*G184</f>
        <v>228.07173042601073</v>
      </c>
      <c r="J184" s="100">
        <v>42344</v>
      </c>
      <c r="K184" s="30" t="s">
        <v>247</v>
      </c>
      <c r="L184" s="501"/>
      <c r="M184" s="31">
        <f>I184</f>
        <v>228.07173042601073</v>
      </c>
      <c r="N184" s="119" t="s">
        <v>213</v>
      </c>
      <c r="O184" s="186" t="str">
        <f>+CONCATENATE(FIXED(F184*H184,2)," ","m2")</f>
        <v>1.118,90 m2</v>
      </c>
      <c r="P184" s="119"/>
      <c r="Q184" s="142" t="s">
        <v>214</v>
      </c>
      <c r="R184" s="32" t="s">
        <v>334</v>
      </c>
    </row>
    <row r="185" spans="1:18" s="33" customFormat="1" ht="48" customHeight="1" x14ac:dyDescent="0.3">
      <c r="A185" s="495" t="s">
        <v>249</v>
      </c>
      <c r="B185" s="485"/>
      <c r="C185" s="485"/>
      <c r="D185" s="485"/>
      <c r="E185" s="485"/>
      <c r="F185" s="485"/>
      <c r="G185" s="485"/>
      <c r="H185" s="486"/>
      <c r="I185" s="72">
        <f>SUM(I177:I184)</f>
        <v>16446.864343462403</v>
      </c>
      <c r="J185" s="487" t="s">
        <v>250</v>
      </c>
      <c r="K185" s="488"/>
      <c r="L185" s="488"/>
      <c r="M185" s="488"/>
      <c r="N185" s="488"/>
      <c r="O185" s="488"/>
      <c r="P185" s="490"/>
      <c r="Q185" s="136"/>
      <c r="R185" s="92" t="s">
        <v>213</v>
      </c>
    </row>
    <row r="186" spans="1:18" ht="16.2" thickBot="1" x14ac:dyDescent="0.35">
      <c r="A186" s="4"/>
      <c r="B186" s="4"/>
      <c r="C186" s="4"/>
      <c r="D186" s="4"/>
      <c r="E186" s="4"/>
      <c r="F186" s="4"/>
      <c r="G186" s="4"/>
      <c r="H186" s="4"/>
      <c r="I186" s="4"/>
      <c r="J186" s="4"/>
      <c r="K186" s="4"/>
      <c r="L186" s="4"/>
      <c r="M186" s="4"/>
      <c r="N186" s="5"/>
      <c r="O186" s="5"/>
      <c r="P186" s="5"/>
      <c r="Q186" s="5"/>
      <c r="R186" s="5"/>
    </row>
    <row r="187" spans="1:18" ht="30.75" customHeight="1" thickBot="1" x14ac:dyDescent="0.35">
      <c r="A187" s="442">
        <f>A169+1</f>
        <v>14</v>
      </c>
      <c r="B187" s="443"/>
      <c r="C187" s="443"/>
      <c r="D187" s="444"/>
      <c r="E187" s="445" t="str">
        <f>VLOOKUP(A187,'LISTA DE OFERENTES'!$A$6:$B$38,2,FALSE)</f>
        <v>PAVIMENTOS TECNICOS SAS</v>
      </c>
      <c r="F187" s="446"/>
      <c r="G187" s="446"/>
      <c r="H187" s="446"/>
      <c r="I187" s="446"/>
      <c r="J187" s="446"/>
      <c r="K187" s="446"/>
      <c r="L187" s="446"/>
      <c r="M187" s="446"/>
      <c r="N187" s="446"/>
      <c r="O187" s="446"/>
      <c r="P187" s="446"/>
      <c r="Q187" s="446"/>
      <c r="R187" s="447"/>
    </row>
    <row r="188" spans="1:18" ht="50.25" customHeight="1" x14ac:dyDescent="0.3">
      <c r="A188" s="28" t="s">
        <v>215</v>
      </c>
      <c r="B188" s="85"/>
      <c r="C188" s="29" t="s">
        <v>216</v>
      </c>
      <c r="D188" s="68">
        <f>+$E$508</f>
        <v>1649.6083550000001</v>
      </c>
      <c r="E188" s="448"/>
      <c r="F188" s="449"/>
      <c r="G188" s="449"/>
      <c r="H188" s="449"/>
      <c r="I188" s="449"/>
      <c r="J188" s="449"/>
      <c r="K188" s="449"/>
      <c r="L188" s="449"/>
      <c r="M188" s="449"/>
      <c r="N188" s="449"/>
      <c r="O188" s="449"/>
      <c r="P188" s="449"/>
      <c r="Q188" s="449"/>
      <c r="R188" s="450"/>
    </row>
    <row r="189" spans="1:18" ht="30" customHeight="1" x14ac:dyDescent="0.3">
      <c r="A189" s="454" t="s">
        <v>217</v>
      </c>
      <c r="B189" s="455"/>
      <c r="C189" s="70">
        <f>IF(B188&lt;3,0.75,IF(B188&lt;5,1.2,1.5))</f>
        <v>0.75</v>
      </c>
      <c r="D189" s="71">
        <f>+D188*C189</f>
        <v>1237.20626625</v>
      </c>
      <c r="E189" s="448"/>
      <c r="F189" s="449"/>
      <c r="G189" s="449"/>
      <c r="H189" s="449"/>
      <c r="I189" s="449"/>
      <c r="J189" s="449"/>
      <c r="K189" s="449"/>
      <c r="L189" s="449"/>
      <c r="M189" s="449"/>
      <c r="N189" s="449"/>
      <c r="O189" s="449"/>
      <c r="P189" s="449"/>
      <c r="Q189" s="449"/>
      <c r="R189" s="450"/>
    </row>
    <row r="190" spans="1:18" ht="30" customHeight="1" x14ac:dyDescent="0.3">
      <c r="A190" s="456" t="s">
        <v>218</v>
      </c>
      <c r="B190" s="455"/>
      <c r="C190" s="457">
        <v>44771</v>
      </c>
      <c r="D190" s="458"/>
      <c r="E190" s="448"/>
      <c r="F190" s="449"/>
      <c r="G190" s="449"/>
      <c r="H190" s="449"/>
      <c r="I190" s="449"/>
      <c r="J190" s="449"/>
      <c r="K190" s="449"/>
      <c r="L190" s="449"/>
      <c r="M190" s="449"/>
      <c r="N190" s="449"/>
      <c r="O190" s="449"/>
      <c r="P190" s="449"/>
      <c r="Q190" s="449"/>
      <c r="R190" s="450"/>
    </row>
    <row r="191" spans="1:18" ht="30" customHeight="1" x14ac:dyDescent="0.3">
      <c r="A191" s="459" t="s">
        <v>219</v>
      </c>
      <c r="B191" s="460"/>
      <c r="C191" s="472"/>
      <c r="D191" s="473"/>
      <c r="E191" s="451"/>
      <c r="F191" s="452"/>
      <c r="G191" s="452"/>
      <c r="H191" s="452"/>
      <c r="I191" s="452"/>
      <c r="J191" s="452"/>
      <c r="K191" s="452"/>
      <c r="L191" s="452"/>
      <c r="M191" s="452"/>
      <c r="N191" s="452"/>
      <c r="O191" s="452"/>
      <c r="P191" s="452"/>
      <c r="Q191" s="452"/>
      <c r="R191" s="453"/>
    </row>
    <row r="192" spans="1:18" ht="55.5" customHeight="1" x14ac:dyDescent="0.3">
      <c r="A192" s="474" t="s">
        <v>220</v>
      </c>
      <c r="B192" s="475"/>
      <c r="C192" s="475"/>
      <c r="D192" s="475"/>
      <c r="E192" s="475"/>
      <c r="F192" s="475"/>
      <c r="G192" s="475"/>
      <c r="H192" s="475"/>
      <c r="I192" s="476"/>
      <c r="J192" s="81" t="s">
        <v>221</v>
      </c>
      <c r="K192" s="103" t="s">
        <v>222</v>
      </c>
      <c r="L192" s="477" t="s">
        <v>223</v>
      </c>
      <c r="M192" s="476"/>
      <c r="N192" s="478" t="s">
        <v>224</v>
      </c>
      <c r="O192" s="480" t="s">
        <v>225</v>
      </c>
      <c r="P192" s="481"/>
      <c r="Q192" s="478" t="s">
        <v>226</v>
      </c>
      <c r="R192" s="461" t="s">
        <v>227</v>
      </c>
    </row>
    <row r="193" spans="1:18" ht="77.25" customHeight="1" x14ac:dyDescent="0.3">
      <c r="A193" s="82" t="s">
        <v>228</v>
      </c>
      <c r="B193" s="463" t="s">
        <v>229</v>
      </c>
      <c r="C193" s="464"/>
      <c r="D193" s="83" t="s">
        <v>230</v>
      </c>
      <c r="E193" s="83" t="s">
        <v>231</v>
      </c>
      <c r="F193" s="83" t="s">
        <v>232</v>
      </c>
      <c r="G193" s="83" t="s">
        <v>233</v>
      </c>
      <c r="H193" s="116" t="s">
        <v>234</v>
      </c>
      <c r="I193" s="116" t="s">
        <v>235</v>
      </c>
      <c r="J193" s="84" t="s">
        <v>236</v>
      </c>
      <c r="K193" s="84" t="s">
        <v>237</v>
      </c>
      <c r="L193" s="84" t="s">
        <v>238</v>
      </c>
      <c r="M193" s="84" t="s">
        <v>239</v>
      </c>
      <c r="N193" s="479"/>
      <c r="O193" s="482"/>
      <c r="P193" s="483"/>
      <c r="Q193" s="479"/>
      <c r="R193" s="462"/>
    </row>
    <row r="194" spans="1:18" ht="39.9" customHeight="1" x14ac:dyDescent="0.3">
      <c r="A194" s="86" t="str">
        <f>VLOOKUP(A187,'LISTA DE OFERENTES'!$A$6:$R$38,7,FALSE)</f>
        <v>PAVIMENTOS TECNICOS SAS</v>
      </c>
      <c r="B194" s="87"/>
      <c r="C194" s="87"/>
      <c r="D194" s="87"/>
      <c r="E194" s="87"/>
      <c r="F194" s="87"/>
      <c r="G194" s="87"/>
      <c r="H194" s="87"/>
      <c r="I194" s="87"/>
      <c r="J194" s="87"/>
      <c r="K194" s="87"/>
      <c r="L194" s="491" t="s">
        <v>106</v>
      </c>
      <c r="M194" s="87"/>
      <c r="N194" s="87"/>
      <c r="O194" s="162" t="s">
        <v>241</v>
      </c>
      <c r="P194" s="87"/>
      <c r="Q194" s="87"/>
      <c r="R194" s="90"/>
    </row>
    <row r="195" spans="1:18" s="33" customFormat="1" ht="150" customHeight="1" x14ac:dyDescent="0.3">
      <c r="A195" s="119" t="s">
        <v>336</v>
      </c>
      <c r="B195" s="498" t="s">
        <v>333</v>
      </c>
      <c r="C195" s="467"/>
      <c r="D195" s="23">
        <v>1365286222</v>
      </c>
      <c r="E195" s="69">
        <v>2015</v>
      </c>
      <c r="F195" s="69">
        <v>6854.06</v>
      </c>
      <c r="G195" s="24">
        <f>D195/(VLOOKUP(E195,$D$535:$E$566,2,FALSE))</f>
        <v>2118.8581081710249</v>
      </c>
      <c r="H195" s="3">
        <v>0.49</v>
      </c>
      <c r="I195" s="24">
        <f>H195*G195</f>
        <v>1038.2404730038022</v>
      </c>
      <c r="J195" s="100">
        <v>42013</v>
      </c>
      <c r="K195" s="30" t="s">
        <v>257</v>
      </c>
      <c r="L195" s="492"/>
      <c r="M195" s="31">
        <f>I195</f>
        <v>1038.2404730038022</v>
      </c>
      <c r="N195" s="119" t="s">
        <v>213</v>
      </c>
      <c r="O195" s="186" t="str">
        <f>+CONCATENATE(FIXED(F195*H195,2)," ","m2")</f>
        <v>3.358,49 m2</v>
      </c>
      <c r="P195" s="119" t="s">
        <v>213</v>
      </c>
      <c r="Q195" s="142" t="s">
        <v>213</v>
      </c>
      <c r="R195" s="32"/>
    </row>
    <row r="196" spans="1:18" s="33" customFormat="1" ht="150" customHeight="1" x14ac:dyDescent="0.3">
      <c r="A196" s="119" t="s">
        <v>337</v>
      </c>
      <c r="B196" s="498" t="s">
        <v>338</v>
      </c>
      <c r="C196" s="467"/>
      <c r="D196" s="23">
        <v>838650863</v>
      </c>
      <c r="E196" s="69">
        <v>2022</v>
      </c>
      <c r="F196" s="69">
        <v>3712</v>
      </c>
      <c r="G196" s="24">
        <f>D196/(VLOOKUP(E196,$D$535:$E$566,2,FALSE))</f>
        <v>838.65086299999996</v>
      </c>
      <c r="H196" s="3">
        <v>1</v>
      </c>
      <c r="I196" s="24">
        <f>H196*G196</f>
        <v>838.65086299999996</v>
      </c>
      <c r="J196" s="100">
        <v>44576</v>
      </c>
      <c r="K196" s="30" t="s">
        <v>339</v>
      </c>
      <c r="L196" s="492"/>
      <c r="M196" s="31">
        <f>I196</f>
        <v>838.65086299999996</v>
      </c>
      <c r="N196" s="119" t="s">
        <v>213</v>
      </c>
      <c r="O196" s="186" t="str">
        <f>+CONCATENATE(FIXED(F196*H196,2)," ","m2")</f>
        <v>3.712,00 m2</v>
      </c>
      <c r="P196" s="119" t="s">
        <v>213</v>
      </c>
      <c r="Q196" s="142" t="s">
        <v>213</v>
      </c>
      <c r="R196" s="32"/>
    </row>
    <row r="197" spans="1:18" s="33" customFormat="1" ht="48" customHeight="1" x14ac:dyDescent="0.3">
      <c r="A197" s="495" t="s">
        <v>249</v>
      </c>
      <c r="B197" s="485"/>
      <c r="C197" s="485"/>
      <c r="D197" s="485"/>
      <c r="E197" s="485"/>
      <c r="F197" s="485"/>
      <c r="G197" s="485"/>
      <c r="H197" s="486"/>
      <c r="I197" s="72">
        <f>SUM(I195:I196)</f>
        <v>1876.8913360038023</v>
      </c>
      <c r="J197" s="487" t="s">
        <v>250</v>
      </c>
      <c r="K197" s="488"/>
      <c r="L197" s="488"/>
      <c r="M197" s="488"/>
      <c r="N197" s="488"/>
      <c r="O197" s="488"/>
      <c r="P197" s="490"/>
      <c r="Q197" s="136"/>
      <c r="R197" s="92" t="s">
        <v>213</v>
      </c>
    </row>
    <row r="198" spans="1:18" ht="16.2" thickBot="1" x14ac:dyDescent="0.35">
      <c r="A198" s="4"/>
      <c r="B198" s="4"/>
      <c r="C198" s="4"/>
      <c r="D198" s="4"/>
      <c r="E198" s="4"/>
      <c r="F198" s="4"/>
      <c r="G198" s="4"/>
      <c r="H198" s="4"/>
      <c r="I198" s="4"/>
      <c r="J198" s="4"/>
      <c r="K198" s="4"/>
      <c r="L198" s="4"/>
      <c r="M198" s="4"/>
      <c r="N198" s="5"/>
      <c r="O198" s="5"/>
      <c r="P198" s="5"/>
      <c r="Q198" s="5"/>
      <c r="R198" s="5"/>
    </row>
    <row r="199" spans="1:18" ht="30.75" customHeight="1" thickBot="1" x14ac:dyDescent="0.35">
      <c r="A199" s="442">
        <f>A187+1</f>
        <v>15</v>
      </c>
      <c r="B199" s="443"/>
      <c r="C199" s="443"/>
      <c r="D199" s="444"/>
      <c r="E199" s="445" t="str">
        <f>VLOOKUP(A199,'LISTA DE OFERENTES'!$A$6:$B$38,2,FALSE)</f>
        <v>GESTION RURAL Y URBANA SAS</v>
      </c>
      <c r="F199" s="446"/>
      <c r="G199" s="446"/>
      <c r="H199" s="446"/>
      <c r="I199" s="446"/>
      <c r="J199" s="446"/>
      <c r="K199" s="446"/>
      <c r="L199" s="446"/>
      <c r="M199" s="446"/>
      <c r="N199" s="446"/>
      <c r="O199" s="446"/>
      <c r="P199" s="446"/>
      <c r="Q199" s="446"/>
      <c r="R199" s="447"/>
    </row>
    <row r="200" spans="1:18" ht="50.25" customHeight="1" x14ac:dyDescent="0.3">
      <c r="A200" s="28" t="s">
        <v>215</v>
      </c>
      <c r="B200" s="85"/>
      <c r="C200" s="29" t="s">
        <v>216</v>
      </c>
      <c r="D200" s="68">
        <f>+$E$508</f>
        <v>1649.6083550000001</v>
      </c>
      <c r="E200" s="448"/>
      <c r="F200" s="449"/>
      <c r="G200" s="449"/>
      <c r="H200" s="449"/>
      <c r="I200" s="449"/>
      <c r="J200" s="449"/>
      <c r="K200" s="449"/>
      <c r="L200" s="449"/>
      <c r="M200" s="449"/>
      <c r="N200" s="449"/>
      <c r="O200" s="449"/>
      <c r="P200" s="449"/>
      <c r="Q200" s="449"/>
      <c r="R200" s="450"/>
    </row>
    <row r="201" spans="1:18" ht="30" customHeight="1" x14ac:dyDescent="0.3">
      <c r="A201" s="454" t="s">
        <v>217</v>
      </c>
      <c r="B201" s="455"/>
      <c r="C201" s="70">
        <f>IF(B200&lt;3,0.75,IF(B200&lt;5,1.2,1.5))</f>
        <v>0.75</v>
      </c>
      <c r="D201" s="71">
        <f>+D200*C201</f>
        <v>1237.20626625</v>
      </c>
      <c r="E201" s="448"/>
      <c r="F201" s="449"/>
      <c r="G201" s="449"/>
      <c r="H201" s="449"/>
      <c r="I201" s="449"/>
      <c r="J201" s="449"/>
      <c r="K201" s="449"/>
      <c r="L201" s="449"/>
      <c r="M201" s="449"/>
      <c r="N201" s="449"/>
      <c r="O201" s="449"/>
      <c r="P201" s="449"/>
      <c r="Q201" s="449"/>
      <c r="R201" s="450"/>
    </row>
    <row r="202" spans="1:18" ht="30" customHeight="1" x14ac:dyDescent="0.3">
      <c r="A202" s="456" t="s">
        <v>218</v>
      </c>
      <c r="B202" s="455"/>
      <c r="C202" s="457">
        <v>44771</v>
      </c>
      <c r="D202" s="458"/>
      <c r="E202" s="448"/>
      <c r="F202" s="449"/>
      <c r="G202" s="449"/>
      <c r="H202" s="449"/>
      <c r="I202" s="449"/>
      <c r="J202" s="449"/>
      <c r="K202" s="449"/>
      <c r="L202" s="449"/>
      <c r="M202" s="449"/>
      <c r="N202" s="449"/>
      <c r="O202" s="449"/>
      <c r="P202" s="449"/>
      <c r="Q202" s="449"/>
      <c r="R202" s="450"/>
    </row>
    <row r="203" spans="1:18" ht="30" customHeight="1" x14ac:dyDescent="0.3">
      <c r="A203" s="459" t="s">
        <v>219</v>
      </c>
      <c r="B203" s="460"/>
      <c r="C203" s="472"/>
      <c r="D203" s="473"/>
      <c r="E203" s="451"/>
      <c r="F203" s="452"/>
      <c r="G203" s="452"/>
      <c r="H203" s="452"/>
      <c r="I203" s="452"/>
      <c r="J203" s="452"/>
      <c r="K203" s="452"/>
      <c r="L203" s="452"/>
      <c r="M203" s="452"/>
      <c r="N203" s="452"/>
      <c r="O203" s="452"/>
      <c r="P203" s="452"/>
      <c r="Q203" s="452"/>
      <c r="R203" s="453"/>
    </row>
    <row r="204" spans="1:18" ht="55.5" customHeight="1" x14ac:dyDescent="0.3">
      <c r="A204" s="474" t="s">
        <v>220</v>
      </c>
      <c r="B204" s="475"/>
      <c r="C204" s="475"/>
      <c r="D204" s="475"/>
      <c r="E204" s="475"/>
      <c r="F204" s="475"/>
      <c r="G204" s="475"/>
      <c r="H204" s="475"/>
      <c r="I204" s="476"/>
      <c r="J204" s="81" t="s">
        <v>221</v>
      </c>
      <c r="K204" s="103" t="s">
        <v>222</v>
      </c>
      <c r="L204" s="477" t="s">
        <v>223</v>
      </c>
      <c r="M204" s="476"/>
      <c r="N204" s="478" t="s">
        <v>224</v>
      </c>
      <c r="O204" s="480" t="s">
        <v>225</v>
      </c>
      <c r="P204" s="481"/>
      <c r="Q204" s="478" t="s">
        <v>226</v>
      </c>
      <c r="R204" s="461" t="s">
        <v>227</v>
      </c>
    </row>
    <row r="205" spans="1:18" ht="77.25" customHeight="1" x14ac:dyDescent="0.3">
      <c r="A205" s="82" t="s">
        <v>228</v>
      </c>
      <c r="B205" s="463" t="s">
        <v>229</v>
      </c>
      <c r="C205" s="464"/>
      <c r="D205" s="83" t="s">
        <v>230</v>
      </c>
      <c r="E205" s="83" t="s">
        <v>231</v>
      </c>
      <c r="F205" s="83" t="s">
        <v>232</v>
      </c>
      <c r="G205" s="83" t="s">
        <v>233</v>
      </c>
      <c r="H205" s="116" t="s">
        <v>234</v>
      </c>
      <c r="I205" s="116" t="s">
        <v>235</v>
      </c>
      <c r="J205" s="84" t="s">
        <v>236</v>
      </c>
      <c r="K205" s="84" t="s">
        <v>237</v>
      </c>
      <c r="L205" s="84" t="s">
        <v>238</v>
      </c>
      <c r="M205" s="84" t="s">
        <v>239</v>
      </c>
      <c r="N205" s="479"/>
      <c r="O205" s="482"/>
      <c r="P205" s="483"/>
      <c r="Q205" s="479"/>
      <c r="R205" s="462"/>
    </row>
    <row r="206" spans="1:18" ht="39.9" customHeight="1" x14ac:dyDescent="0.3">
      <c r="A206" s="86" t="str">
        <f>VLOOKUP(A199,'LISTA DE OFERENTES'!$A$6:$R$38,7,FALSE)</f>
        <v>GESTION RURAL Y URBANA SAS</v>
      </c>
      <c r="B206" s="87"/>
      <c r="C206" s="87"/>
      <c r="D206" s="87"/>
      <c r="E206" s="87"/>
      <c r="F206" s="87"/>
      <c r="G206" s="87"/>
      <c r="H206" s="87"/>
      <c r="I206" s="87"/>
      <c r="J206" s="87"/>
      <c r="K206" s="87"/>
      <c r="L206" s="491" t="s">
        <v>109</v>
      </c>
      <c r="M206" s="87"/>
      <c r="N206" s="87"/>
      <c r="O206" s="162" t="s">
        <v>241</v>
      </c>
      <c r="P206" s="87"/>
      <c r="Q206" s="87"/>
      <c r="R206" s="90"/>
    </row>
    <row r="207" spans="1:18" s="33" customFormat="1" ht="150" customHeight="1" x14ac:dyDescent="0.3">
      <c r="A207" s="119" t="s">
        <v>340</v>
      </c>
      <c r="B207" s="498" t="s">
        <v>324</v>
      </c>
      <c r="C207" s="467"/>
      <c r="D207" s="23">
        <v>2231646336</v>
      </c>
      <c r="E207" s="69">
        <v>2018</v>
      </c>
      <c r="F207" s="69">
        <v>2410.34</v>
      </c>
      <c r="G207" s="24">
        <f>D207/(VLOOKUP(E207,$D$535:$E$566,2,FALSE))</f>
        <v>2856.5365610143849</v>
      </c>
      <c r="H207" s="3">
        <v>1</v>
      </c>
      <c r="I207" s="24">
        <f>H207*G207</f>
        <v>2856.5365610143849</v>
      </c>
      <c r="J207" s="100">
        <v>43342</v>
      </c>
      <c r="K207" s="30" t="s">
        <v>247</v>
      </c>
      <c r="L207" s="492"/>
      <c r="M207" s="31">
        <f>I207</f>
        <v>2856.5365610143849</v>
      </c>
      <c r="N207" s="119" t="s">
        <v>213</v>
      </c>
      <c r="O207" s="186" t="str">
        <f>+CONCATENATE(FIXED(F207*H207,2)," ","m2")</f>
        <v>2.410,34 m2</v>
      </c>
      <c r="P207" s="119" t="s">
        <v>213</v>
      </c>
      <c r="Q207" s="142" t="s">
        <v>213</v>
      </c>
      <c r="R207" s="32"/>
    </row>
    <row r="208" spans="1:18" s="33" customFormat="1" ht="150" customHeight="1" x14ac:dyDescent="0.3">
      <c r="A208" s="119" t="s">
        <v>341</v>
      </c>
      <c r="B208" s="498" t="s">
        <v>324</v>
      </c>
      <c r="C208" s="467"/>
      <c r="D208" s="23">
        <v>2682534649</v>
      </c>
      <c r="E208" s="69">
        <v>2010</v>
      </c>
      <c r="F208" s="69">
        <f>226.44+15.7+142+139.18</f>
        <v>523.31999999999994</v>
      </c>
      <c r="G208" s="24">
        <f>D208/(VLOOKUP(E208,$D$535:$E$566,2,FALSE))</f>
        <v>5208.8051436893202</v>
      </c>
      <c r="H208" s="3">
        <v>0.9</v>
      </c>
      <c r="I208" s="24">
        <f>H208*G208</f>
        <v>4687.9246293203887</v>
      </c>
      <c r="J208" s="100">
        <v>40380</v>
      </c>
      <c r="K208" s="30" t="s">
        <v>247</v>
      </c>
      <c r="L208" s="492"/>
      <c r="M208" s="31">
        <f>I208</f>
        <v>4687.9246293203887</v>
      </c>
      <c r="N208" s="119" t="s">
        <v>213</v>
      </c>
      <c r="O208" s="186" t="str">
        <f>+CONCATENATE(FIXED(F208*H208,2)," ","m2")</f>
        <v>470,99 m2</v>
      </c>
      <c r="P208" s="119" t="s">
        <v>213</v>
      </c>
      <c r="Q208" s="142" t="s">
        <v>213</v>
      </c>
      <c r="R208" s="32"/>
    </row>
    <row r="209" spans="1:18" s="33" customFormat="1" ht="48" customHeight="1" x14ac:dyDescent="0.3">
      <c r="A209" s="495" t="s">
        <v>249</v>
      </c>
      <c r="B209" s="485"/>
      <c r="C209" s="485"/>
      <c r="D209" s="485"/>
      <c r="E209" s="485"/>
      <c r="F209" s="485"/>
      <c r="G209" s="485"/>
      <c r="H209" s="486"/>
      <c r="I209" s="72">
        <f>SUM(I207:I208)</f>
        <v>7544.4611903347741</v>
      </c>
      <c r="J209" s="487" t="s">
        <v>250</v>
      </c>
      <c r="K209" s="488"/>
      <c r="L209" s="488"/>
      <c r="M209" s="488"/>
      <c r="N209" s="488"/>
      <c r="O209" s="488"/>
      <c r="P209" s="490"/>
      <c r="Q209" s="136"/>
      <c r="R209" s="92" t="s">
        <v>213</v>
      </c>
    </row>
    <row r="210" spans="1:18" ht="16.2" thickBot="1" x14ac:dyDescent="0.35">
      <c r="A210" s="4"/>
      <c r="B210" s="4"/>
      <c r="C210" s="4"/>
      <c r="D210" s="4"/>
      <c r="E210" s="4"/>
      <c r="F210" s="4"/>
      <c r="G210" s="4"/>
      <c r="H210" s="4"/>
      <c r="I210" s="4"/>
      <c r="J210" s="4"/>
      <c r="K210" s="4"/>
      <c r="L210" s="4"/>
      <c r="M210" s="4"/>
      <c r="N210" s="5"/>
      <c r="O210" s="5"/>
      <c r="P210" s="5"/>
      <c r="Q210" s="5"/>
      <c r="R210" s="5"/>
    </row>
    <row r="211" spans="1:18" ht="30.75" customHeight="1" thickBot="1" x14ac:dyDescent="0.35">
      <c r="A211" s="442">
        <f>A199+1</f>
        <v>16</v>
      </c>
      <c r="B211" s="443"/>
      <c r="C211" s="443"/>
      <c r="D211" s="444"/>
      <c r="E211" s="445" t="str">
        <f>VLOOKUP(A211,'LISTA DE OFERENTES'!$A$6:$B$38,2,FALSE)</f>
        <v>ESTUDIOS E INGENIERIA SAS</v>
      </c>
      <c r="F211" s="446"/>
      <c r="G211" s="446"/>
      <c r="H211" s="446"/>
      <c r="I211" s="446"/>
      <c r="J211" s="446"/>
      <c r="K211" s="446"/>
      <c r="L211" s="446"/>
      <c r="M211" s="446"/>
      <c r="N211" s="446"/>
      <c r="O211" s="446"/>
      <c r="P211" s="446"/>
      <c r="Q211" s="446"/>
      <c r="R211" s="447"/>
    </row>
    <row r="212" spans="1:18" ht="50.25" customHeight="1" x14ac:dyDescent="0.3">
      <c r="A212" s="28" t="s">
        <v>215</v>
      </c>
      <c r="B212" s="85"/>
      <c r="C212" s="29" t="s">
        <v>216</v>
      </c>
      <c r="D212" s="68">
        <f>+$E$508</f>
        <v>1649.6083550000001</v>
      </c>
      <c r="E212" s="448"/>
      <c r="F212" s="449"/>
      <c r="G212" s="449"/>
      <c r="H212" s="449"/>
      <c r="I212" s="449"/>
      <c r="J212" s="449"/>
      <c r="K212" s="449"/>
      <c r="L212" s="449"/>
      <c r="M212" s="449"/>
      <c r="N212" s="449"/>
      <c r="O212" s="449"/>
      <c r="P212" s="449"/>
      <c r="Q212" s="449"/>
      <c r="R212" s="450"/>
    </row>
    <row r="213" spans="1:18" ht="30" customHeight="1" x14ac:dyDescent="0.3">
      <c r="A213" s="454" t="s">
        <v>217</v>
      </c>
      <c r="B213" s="455"/>
      <c r="C213" s="70">
        <f>IF(B212&lt;3,0.75,IF(B212&lt;5,1.2,1.5))</f>
        <v>0.75</v>
      </c>
      <c r="D213" s="71">
        <f>+D212*C213</f>
        <v>1237.20626625</v>
      </c>
      <c r="E213" s="448"/>
      <c r="F213" s="449"/>
      <c r="G213" s="449"/>
      <c r="H213" s="449"/>
      <c r="I213" s="449"/>
      <c r="J213" s="449"/>
      <c r="K213" s="449"/>
      <c r="L213" s="449"/>
      <c r="M213" s="449"/>
      <c r="N213" s="449"/>
      <c r="O213" s="449"/>
      <c r="P213" s="449"/>
      <c r="Q213" s="449"/>
      <c r="R213" s="450"/>
    </row>
    <row r="214" spans="1:18" ht="30" customHeight="1" x14ac:dyDescent="0.3">
      <c r="A214" s="456" t="s">
        <v>218</v>
      </c>
      <c r="B214" s="455"/>
      <c r="C214" s="457">
        <v>44771</v>
      </c>
      <c r="D214" s="458"/>
      <c r="E214" s="448"/>
      <c r="F214" s="449"/>
      <c r="G214" s="449"/>
      <c r="H214" s="449"/>
      <c r="I214" s="449"/>
      <c r="J214" s="449"/>
      <c r="K214" s="449"/>
      <c r="L214" s="449"/>
      <c r="M214" s="449"/>
      <c r="N214" s="449"/>
      <c r="O214" s="449"/>
      <c r="P214" s="449"/>
      <c r="Q214" s="449"/>
      <c r="R214" s="450"/>
    </row>
    <row r="215" spans="1:18" ht="30" customHeight="1" x14ac:dyDescent="0.3">
      <c r="A215" s="459" t="s">
        <v>219</v>
      </c>
      <c r="B215" s="460"/>
      <c r="C215" s="472"/>
      <c r="D215" s="473"/>
      <c r="E215" s="451"/>
      <c r="F215" s="452"/>
      <c r="G215" s="452"/>
      <c r="H215" s="452"/>
      <c r="I215" s="452"/>
      <c r="J215" s="452"/>
      <c r="K215" s="452"/>
      <c r="L215" s="452"/>
      <c r="M215" s="452"/>
      <c r="N215" s="452"/>
      <c r="O215" s="452"/>
      <c r="P215" s="452"/>
      <c r="Q215" s="452"/>
      <c r="R215" s="453"/>
    </row>
    <row r="216" spans="1:18" ht="55.5" customHeight="1" x14ac:dyDescent="0.3">
      <c r="A216" s="474" t="s">
        <v>220</v>
      </c>
      <c r="B216" s="475"/>
      <c r="C216" s="475"/>
      <c r="D216" s="475"/>
      <c r="E216" s="475"/>
      <c r="F216" s="475"/>
      <c r="G216" s="475"/>
      <c r="H216" s="475"/>
      <c r="I216" s="476"/>
      <c r="J216" s="81" t="s">
        <v>221</v>
      </c>
      <c r="K216" s="103" t="s">
        <v>222</v>
      </c>
      <c r="L216" s="477" t="s">
        <v>223</v>
      </c>
      <c r="M216" s="476"/>
      <c r="N216" s="478" t="s">
        <v>224</v>
      </c>
      <c r="O216" s="480" t="s">
        <v>225</v>
      </c>
      <c r="P216" s="481"/>
      <c r="Q216" s="478" t="s">
        <v>226</v>
      </c>
      <c r="R216" s="461" t="s">
        <v>227</v>
      </c>
    </row>
    <row r="217" spans="1:18" ht="77.25" customHeight="1" x14ac:dyDescent="0.3">
      <c r="A217" s="82" t="s">
        <v>228</v>
      </c>
      <c r="B217" s="463" t="s">
        <v>229</v>
      </c>
      <c r="C217" s="464"/>
      <c r="D217" s="83" t="s">
        <v>230</v>
      </c>
      <c r="E217" s="83" t="s">
        <v>231</v>
      </c>
      <c r="F217" s="83" t="s">
        <v>232</v>
      </c>
      <c r="G217" s="83" t="s">
        <v>233</v>
      </c>
      <c r="H217" s="116" t="s">
        <v>234</v>
      </c>
      <c r="I217" s="116" t="s">
        <v>235</v>
      </c>
      <c r="J217" s="84" t="s">
        <v>236</v>
      </c>
      <c r="K217" s="84" t="s">
        <v>237</v>
      </c>
      <c r="L217" s="84" t="s">
        <v>238</v>
      </c>
      <c r="M217" s="84" t="s">
        <v>239</v>
      </c>
      <c r="N217" s="479"/>
      <c r="O217" s="482"/>
      <c r="P217" s="483"/>
      <c r="Q217" s="479"/>
      <c r="R217" s="462"/>
    </row>
    <row r="218" spans="1:18" ht="39.9" customHeight="1" x14ac:dyDescent="0.3">
      <c r="A218" s="86" t="str">
        <f>VLOOKUP(A211,'LISTA DE OFERENTES'!$A$6:$R$38,2,FALSE)</f>
        <v>ESTUDIOS E INGENIERIA SAS</v>
      </c>
      <c r="B218" s="87"/>
      <c r="C218" s="87"/>
      <c r="D218" s="87"/>
      <c r="E218" s="87"/>
      <c r="F218" s="87"/>
      <c r="G218" s="87"/>
      <c r="H218" s="87"/>
      <c r="I218" s="87"/>
      <c r="J218" s="87"/>
      <c r="K218" s="87"/>
      <c r="L218" s="491" t="s">
        <v>112</v>
      </c>
      <c r="M218" s="87"/>
      <c r="N218" s="87"/>
      <c r="O218" s="162" t="s">
        <v>241</v>
      </c>
      <c r="P218" s="87"/>
      <c r="Q218" s="159"/>
      <c r="R218" s="90"/>
    </row>
    <row r="219" spans="1:18" s="33" customFormat="1" ht="150" customHeight="1" x14ac:dyDescent="0.3">
      <c r="A219" s="119" t="s">
        <v>342</v>
      </c>
      <c r="B219" s="498" t="s">
        <v>343</v>
      </c>
      <c r="C219" s="467"/>
      <c r="D219" s="23">
        <v>7286682759.2799997</v>
      </c>
      <c r="E219" s="69">
        <v>2020</v>
      </c>
      <c r="F219" s="69">
        <v>22493.13</v>
      </c>
      <c r="G219" s="24">
        <f t="shared" ref="G219:G220" si="3">D219/(VLOOKUP(E219,$D$535:$E$566,2,FALSE))</f>
        <v>8301.0456324254992</v>
      </c>
      <c r="H219" s="3">
        <v>0.9</v>
      </c>
      <c r="I219" s="24">
        <f t="shared" ref="I219:I220" si="4">H219*G219</f>
        <v>7470.9410691829498</v>
      </c>
      <c r="J219" s="100">
        <v>43880</v>
      </c>
      <c r="K219" s="30" t="s">
        <v>344</v>
      </c>
      <c r="L219" s="492"/>
      <c r="M219" s="31">
        <f t="shared" ref="M219:M220" si="5">I219</f>
        <v>7470.9410691829498</v>
      </c>
      <c r="N219" s="119" t="s">
        <v>213</v>
      </c>
      <c r="O219" s="186" t="str">
        <f t="shared" ref="O219:O220" si="6">+CONCATENATE(FIXED(F219*H219,2)," ","m2")</f>
        <v>20.243,82 m2</v>
      </c>
      <c r="P219" s="150" t="s">
        <v>213</v>
      </c>
      <c r="Q219" s="158" t="s">
        <v>213</v>
      </c>
      <c r="R219" s="32"/>
    </row>
    <row r="220" spans="1:18" s="33" customFormat="1" ht="150" customHeight="1" x14ac:dyDescent="0.3">
      <c r="A220" s="119" t="s">
        <v>345</v>
      </c>
      <c r="B220" s="498" t="s">
        <v>19</v>
      </c>
      <c r="C220" s="467"/>
      <c r="D220" s="23">
        <v>1876842614</v>
      </c>
      <c r="E220" s="69">
        <v>2018</v>
      </c>
      <c r="F220" s="69">
        <v>11187.56</v>
      </c>
      <c r="G220" s="24">
        <f t="shared" si="3"/>
        <v>2402.3831463234183</v>
      </c>
      <c r="H220" s="3">
        <v>1</v>
      </c>
      <c r="I220" s="24">
        <f t="shared" si="4"/>
        <v>2402.3831463234183</v>
      </c>
      <c r="J220" s="100">
        <v>43341</v>
      </c>
      <c r="K220" s="30" t="s">
        <v>344</v>
      </c>
      <c r="L220" s="492"/>
      <c r="M220" s="31">
        <f t="shared" si="5"/>
        <v>2402.3831463234183</v>
      </c>
      <c r="N220" s="119" t="s">
        <v>213</v>
      </c>
      <c r="O220" s="186" t="str">
        <f t="shared" si="6"/>
        <v>11.187,56 m2</v>
      </c>
      <c r="P220" s="150" t="s">
        <v>213</v>
      </c>
      <c r="Q220" s="158" t="s">
        <v>213</v>
      </c>
      <c r="R220" s="32"/>
    </row>
    <row r="221" spans="1:18" s="33" customFormat="1" ht="150" customHeight="1" x14ac:dyDescent="0.3">
      <c r="A221" s="119" t="s">
        <v>346</v>
      </c>
      <c r="B221" s="498" t="s">
        <v>343</v>
      </c>
      <c r="C221" s="467"/>
      <c r="D221" s="23">
        <v>5803260486</v>
      </c>
      <c r="E221" s="69">
        <v>2021</v>
      </c>
      <c r="F221" s="69">
        <v>30427.23</v>
      </c>
      <c r="G221" s="24">
        <f>D221/(VLOOKUP(E221,$D$535:$E$566,2,FALSE))</f>
        <v>6387.5557617503518</v>
      </c>
      <c r="H221" s="3">
        <v>0.25</v>
      </c>
      <c r="I221" s="24">
        <f>H221*G221</f>
        <v>1596.888940437588</v>
      </c>
      <c r="J221" s="100">
        <v>44229</v>
      </c>
      <c r="K221" s="30" t="s">
        <v>344</v>
      </c>
      <c r="L221" s="492"/>
      <c r="M221" s="31">
        <f>I221</f>
        <v>1596.888940437588</v>
      </c>
      <c r="N221" s="119" t="s">
        <v>213</v>
      </c>
      <c r="O221" s="186" t="str">
        <f>+CONCATENATE(FIXED(F221*H221,2)," ","m2")</f>
        <v>7.606,81 m2</v>
      </c>
      <c r="P221" s="150" t="s">
        <v>213</v>
      </c>
      <c r="Q221" s="158" t="s">
        <v>213</v>
      </c>
      <c r="R221" s="32"/>
    </row>
    <row r="222" spans="1:18" s="33" customFormat="1" ht="48" customHeight="1" x14ac:dyDescent="0.3">
      <c r="A222" s="495" t="s">
        <v>249</v>
      </c>
      <c r="B222" s="485"/>
      <c r="C222" s="485"/>
      <c r="D222" s="485"/>
      <c r="E222" s="485"/>
      <c r="F222" s="485"/>
      <c r="G222" s="485"/>
      <c r="H222" s="486"/>
      <c r="I222" s="72">
        <f>SUM(I219:I221)</f>
        <v>11470.213155943955</v>
      </c>
      <c r="J222" s="487" t="s">
        <v>250</v>
      </c>
      <c r="K222" s="488"/>
      <c r="L222" s="488"/>
      <c r="M222" s="488"/>
      <c r="N222" s="488"/>
      <c r="O222" s="488"/>
      <c r="P222" s="490"/>
      <c r="Q222" s="161"/>
      <c r="R222" s="92" t="s">
        <v>213</v>
      </c>
    </row>
    <row r="223" spans="1:18" ht="16.2" thickBot="1" x14ac:dyDescent="0.35">
      <c r="A223" s="4"/>
      <c r="B223" s="4"/>
      <c r="C223" s="4"/>
      <c r="D223" s="4"/>
      <c r="E223" s="4"/>
      <c r="F223" s="4"/>
      <c r="G223" s="4"/>
      <c r="H223" s="4"/>
      <c r="I223" s="4"/>
      <c r="J223" s="4"/>
      <c r="K223" s="4"/>
      <c r="L223" s="4"/>
      <c r="M223" s="4"/>
      <c r="N223" s="5"/>
      <c r="O223" s="5"/>
      <c r="P223" s="5"/>
      <c r="Q223" s="5"/>
      <c r="R223" s="5"/>
    </row>
    <row r="224" spans="1:18" ht="30.75" customHeight="1" thickBot="1" x14ac:dyDescent="0.35">
      <c r="A224" s="442">
        <f>A211+1</f>
        <v>17</v>
      </c>
      <c r="B224" s="443"/>
      <c r="C224" s="443"/>
      <c r="D224" s="444"/>
      <c r="E224" s="445" t="str">
        <f>VLOOKUP(A224,'LISTA DE OFERENTES'!$A$6:$B$38,2,FALSE)</f>
        <v>UNIOBRAS SAS</v>
      </c>
      <c r="F224" s="446"/>
      <c r="G224" s="446"/>
      <c r="H224" s="446"/>
      <c r="I224" s="446"/>
      <c r="J224" s="446"/>
      <c r="K224" s="446"/>
      <c r="L224" s="446"/>
      <c r="M224" s="446"/>
      <c r="N224" s="446"/>
      <c r="O224" s="446"/>
      <c r="P224" s="446"/>
      <c r="Q224" s="446"/>
      <c r="R224" s="447"/>
    </row>
    <row r="225" spans="1:18" ht="50.25" customHeight="1" x14ac:dyDescent="0.3">
      <c r="A225" s="152" t="s">
        <v>215</v>
      </c>
      <c r="B225" s="153"/>
      <c r="C225" s="154" t="s">
        <v>216</v>
      </c>
      <c r="D225" s="155">
        <f>+$E$508</f>
        <v>1649.6083550000001</v>
      </c>
      <c r="E225" s="448"/>
      <c r="F225" s="449"/>
      <c r="G225" s="449"/>
      <c r="H225" s="449"/>
      <c r="I225" s="449"/>
      <c r="J225" s="449"/>
      <c r="K225" s="449"/>
      <c r="L225" s="449"/>
      <c r="M225" s="449"/>
      <c r="N225" s="449"/>
      <c r="O225" s="449"/>
      <c r="P225" s="449"/>
      <c r="Q225" s="449"/>
      <c r="R225" s="450"/>
    </row>
    <row r="226" spans="1:18" ht="30" customHeight="1" x14ac:dyDescent="0.3">
      <c r="A226" s="454" t="s">
        <v>217</v>
      </c>
      <c r="B226" s="455"/>
      <c r="C226" s="70">
        <f>IF(B225&lt;3,0.75,IF(B225&lt;5,1.2,1.5))</f>
        <v>0.75</v>
      </c>
      <c r="D226" s="71">
        <f>+D225*C226</f>
        <v>1237.20626625</v>
      </c>
      <c r="E226" s="448"/>
      <c r="F226" s="449"/>
      <c r="G226" s="449"/>
      <c r="H226" s="449"/>
      <c r="I226" s="449"/>
      <c r="J226" s="449"/>
      <c r="K226" s="449"/>
      <c r="L226" s="449"/>
      <c r="M226" s="449"/>
      <c r="N226" s="449"/>
      <c r="O226" s="449"/>
      <c r="P226" s="449"/>
      <c r="Q226" s="449"/>
      <c r="R226" s="450"/>
    </row>
    <row r="227" spans="1:18" ht="30" customHeight="1" x14ac:dyDescent="0.3">
      <c r="A227" s="456" t="s">
        <v>218</v>
      </c>
      <c r="B227" s="455"/>
      <c r="C227" s="457">
        <v>44771</v>
      </c>
      <c r="D227" s="458"/>
      <c r="E227" s="448"/>
      <c r="F227" s="449"/>
      <c r="G227" s="449"/>
      <c r="H227" s="449"/>
      <c r="I227" s="449"/>
      <c r="J227" s="449"/>
      <c r="K227" s="449"/>
      <c r="L227" s="449"/>
      <c r="M227" s="449"/>
      <c r="N227" s="449"/>
      <c r="O227" s="449"/>
      <c r="P227" s="449"/>
      <c r="Q227" s="449"/>
      <c r="R227" s="450"/>
    </row>
    <row r="228" spans="1:18" ht="30" customHeight="1" x14ac:dyDescent="0.3">
      <c r="A228" s="459" t="s">
        <v>219</v>
      </c>
      <c r="B228" s="460"/>
      <c r="C228" s="472"/>
      <c r="D228" s="473"/>
      <c r="E228" s="451"/>
      <c r="F228" s="452"/>
      <c r="G228" s="452"/>
      <c r="H228" s="452"/>
      <c r="I228" s="452"/>
      <c r="J228" s="452"/>
      <c r="K228" s="452"/>
      <c r="L228" s="452"/>
      <c r="M228" s="452"/>
      <c r="N228" s="452"/>
      <c r="O228" s="452"/>
      <c r="P228" s="452"/>
      <c r="Q228" s="452"/>
      <c r="R228" s="453"/>
    </row>
    <row r="229" spans="1:18" ht="55.5" customHeight="1" x14ac:dyDescent="0.3">
      <c r="A229" s="474" t="s">
        <v>220</v>
      </c>
      <c r="B229" s="475"/>
      <c r="C229" s="475"/>
      <c r="D229" s="475"/>
      <c r="E229" s="475"/>
      <c r="F229" s="475"/>
      <c r="G229" s="475"/>
      <c r="H229" s="475"/>
      <c r="I229" s="476"/>
      <c r="J229" s="81" t="s">
        <v>221</v>
      </c>
      <c r="K229" s="103" t="s">
        <v>222</v>
      </c>
      <c r="L229" s="477" t="s">
        <v>223</v>
      </c>
      <c r="M229" s="476"/>
      <c r="N229" s="478" t="s">
        <v>224</v>
      </c>
      <c r="O229" s="480" t="s">
        <v>225</v>
      </c>
      <c r="P229" s="481"/>
      <c r="Q229" s="478" t="s">
        <v>226</v>
      </c>
      <c r="R229" s="461" t="s">
        <v>227</v>
      </c>
    </row>
    <row r="230" spans="1:18" ht="77.25" customHeight="1" x14ac:dyDescent="0.3">
      <c r="A230" s="82" t="s">
        <v>228</v>
      </c>
      <c r="B230" s="463" t="s">
        <v>229</v>
      </c>
      <c r="C230" s="464"/>
      <c r="D230" s="83" t="s">
        <v>230</v>
      </c>
      <c r="E230" s="83" t="s">
        <v>231</v>
      </c>
      <c r="F230" s="83" t="s">
        <v>232</v>
      </c>
      <c r="G230" s="83" t="s">
        <v>233</v>
      </c>
      <c r="H230" s="116" t="s">
        <v>234</v>
      </c>
      <c r="I230" s="116" t="s">
        <v>235</v>
      </c>
      <c r="J230" s="84" t="s">
        <v>236</v>
      </c>
      <c r="K230" s="84" t="s">
        <v>237</v>
      </c>
      <c r="L230" s="84" t="s">
        <v>238</v>
      </c>
      <c r="M230" s="84" t="s">
        <v>239</v>
      </c>
      <c r="N230" s="479"/>
      <c r="O230" s="482"/>
      <c r="P230" s="483"/>
      <c r="Q230" s="479"/>
      <c r="R230" s="462"/>
    </row>
    <row r="231" spans="1:18" s="276" customFormat="1" ht="15.6" x14ac:dyDescent="0.3">
      <c r="A231" s="277" t="str">
        <f>VLOOKUP(A224,'LISTA DE OFERENTES'!$A$6:$R$38,7,FALSE)</f>
        <v>UNIOBRAS SAS</v>
      </c>
      <c r="B231" s="274"/>
      <c r="C231" s="274"/>
      <c r="D231" s="274"/>
      <c r="E231" s="274"/>
      <c r="F231" s="274"/>
      <c r="G231" s="274"/>
      <c r="H231" s="274"/>
      <c r="I231" s="274"/>
      <c r="J231" s="274"/>
      <c r="K231" s="274"/>
      <c r="L231" s="505" t="s">
        <v>115</v>
      </c>
      <c r="M231" s="274"/>
      <c r="N231" s="274"/>
      <c r="O231" s="287" t="s">
        <v>241</v>
      </c>
      <c r="P231" s="274"/>
      <c r="Q231" s="322"/>
      <c r="R231" s="275"/>
    </row>
    <row r="232" spans="1:18" s="33" customFormat="1" ht="150" customHeight="1" x14ac:dyDescent="0.3">
      <c r="A232" s="278" t="s">
        <v>347</v>
      </c>
      <c r="B232" s="507" t="s">
        <v>324</v>
      </c>
      <c r="C232" s="508"/>
      <c r="D232" s="279">
        <v>5053595591</v>
      </c>
      <c r="E232" s="280">
        <v>2017</v>
      </c>
      <c r="F232" s="280">
        <v>15348.53</v>
      </c>
      <c r="G232" s="281">
        <f>D232/(VLOOKUP(E232,$D$535:$E$566,2,FALSE))</f>
        <v>6850.3173859352573</v>
      </c>
      <c r="H232" s="3">
        <v>0.74</v>
      </c>
      <c r="I232" s="281">
        <f>H232*G232</f>
        <v>5069.2348655920905</v>
      </c>
      <c r="J232" s="282">
        <v>42855</v>
      </c>
      <c r="K232" s="283" t="s">
        <v>247</v>
      </c>
      <c r="L232" s="506"/>
      <c r="M232" s="284">
        <f>I232</f>
        <v>5069.2348655920905</v>
      </c>
      <c r="N232" s="278" t="s">
        <v>213</v>
      </c>
      <c r="O232" s="285" t="str">
        <f>+CONCATENATE(FIXED(F232*H232,2)," ","m2")</f>
        <v>11.357,91 m2</v>
      </c>
      <c r="P232" s="314" t="s">
        <v>213</v>
      </c>
      <c r="Q232" s="321" t="s">
        <v>213</v>
      </c>
      <c r="R232" s="286"/>
    </row>
    <row r="233" spans="1:18" s="33" customFormat="1" ht="150" customHeight="1" x14ac:dyDescent="0.3">
      <c r="A233" s="278" t="s">
        <v>348</v>
      </c>
      <c r="B233" s="507" t="s">
        <v>328</v>
      </c>
      <c r="C233" s="508"/>
      <c r="D233" s="279">
        <v>5964178060</v>
      </c>
      <c r="E233" s="280">
        <v>2019</v>
      </c>
      <c r="F233" s="280">
        <v>19394.189999999999</v>
      </c>
      <c r="G233" s="281">
        <f>D233/(VLOOKUP(E233,$D$535:$E$566,2,FALSE))</f>
        <v>7202.1046085331045</v>
      </c>
      <c r="H233" s="3">
        <v>0.74</v>
      </c>
      <c r="I233" s="281">
        <f>H233*G233</f>
        <v>5329.5574103144972</v>
      </c>
      <c r="J233" s="282">
        <v>43636</v>
      </c>
      <c r="K233" s="283" t="s">
        <v>247</v>
      </c>
      <c r="L233" s="506"/>
      <c r="M233" s="284">
        <f>I233</f>
        <v>5329.5574103144972</v>
      </c>
      <c r="N233" s="278" t="s">
        <v>213</v>
      </c>
      <c r="O233" s="285" t="str">
        <f>+CONCATENATE(FIXED(F233*H233,2)," ","m2")</f>
        <v>14.351,70 m2</v>
      </c>
      <c r="P233" s="314" t="s">
        <v>213</v>
      </c>
      <c r="Q233" s="321" t="s">
        <v>213</v>
      </c>
      <c r="R233" s="286"/>
    </row>
    <row r="234" spans="1:18" s="33" customFormat="1" ht="48" customHeight="1" x14ac:dyDescent="0.3">
      <c r="A234" s="495" t="s">
        <v>249</v>
      </c>
      <c r="B234" s="485"/>
      <c r="C234" s="485"/>
      <c r="D234" s="485"/>
      <c r="E234" s="485"/>
      <c r="F234" s="485"/>
      <c r="G234" s="485"/>
      <c r="H234" s="486"/>
      <c r="I234" s="72">
        <f>SUM(I232:I233)</f>
        <v>10398.792275906588</v>
      </c>
      <c r="J234" s="487" t="s">
        <v>250</v>
      </c>
      <c r="K234" s="488"/>
      <c r="L234" s="488"/>
      <c r="M234" s="488"/>
      <c r="N234" s="488"/>
      <c r="O234" s="488"/>
      <c r="P234" s="490"/>
      <c r="Q234" s="161"/>
      <c r="R234" s="92" t="s">
        <v>213</v>
      </c>
    </row>
    <row r="235" spans="1:18" ht="16.2" thickBot="1" x14ac:dyDescent="0.35">
      <c r="A235" s="4"/>
      <c r="B235" s="4"/>
      <c r="C235" s="4"/>
      <c r="D235" s="4"/>
      <c r="E235" s="4"/>
      <c r="F235" s="4"/>
      <c r="G235" s="4"/>
      <c r="H235" s="4"/>
      <c r="I235" s="4"/>
      <c r="J235" s="4"/>
      <c r="K235" s="4"/>
      <c r="L235" s="4"/>
      <c r="M235" s="4"/>
      <c r="N235" s="5"/>
      <c r="O235" s="5"/>
      <c r="P235" s="5"/>
      <c r="Q235" s="5"/>
      <c r="R235" s="5"/>
    </row>
    <row r="236" spans="1:18" ht="30.75" customHeight="1" thickBot="1" x14ac:dyDescent="0.35">
      <c r="A236" s="442">
        <f>A224+1</f>
        <v>18</v>
      </c>
      <c r="B236" s="443"/>
      <c r="C236" s="443"/>
      <c r="D236" s="444"/>
      <c r="E236" s="445" t="str">
        <f>VLOOKUP(A236,'LISTA DE OFERENTES'!$A$6:$B$38,2,FALSE)</f>
        <v>CONSORCIO MRTITANIUM</v>
      </c>
      <c r="F236" s="446"/>
      <c r="G236" s="446"/>
      <c r="H236" s="446"/>
      <c r="I236" s="446"/>
      <c r="J236" s="446"/>
      <c r="K236" s="446"/>
      <c r="L236" s="446"/>
      <c r="M236" s="446"/>
      <c r="N236" s="446"/>
      <c r="O236" s="446"/>
      <c r="P236" s="446"/>
      <c r="Q236" s="446"/>
      <c r="R236" s="447"/>
    </row>
    <row r="237" spans="1:18" ht="50.25" customHeight="1" x14ac:dyDescent="0.3">
      <c r="A237" s="28" t="s">
        <v>215</v>
      </c>
      <c r="B237" s="85"/>
      <c r="C237" s="29" t="s">
        <v>216</v>
      </c>
      <c r="D237" s="68">
        <f>+$E$508</f>
        <v>1649.6083550000001</v>
      </c>
      <c r="E237" s="448"/>
      <c r="F237" s="449"/>
      <c r="G237" s="449"/>
      <c r="H237" s="449"/>
      <c r="I237" s="449"/>
      <c r="J237" s="449"/>
      <c r="K237" s="449"/>
      <c r="L237" s="449"/>
      <c r="M237" s="449"/>
      <c r="N237" s="449"/>
      <c r="O237" s="449"/>
      <c r="P237" s="449"/>
      <c r="Q237" s="449"/>
      <c r="R237" s="450"/>
    </row>
    <row r="238" spans="1:18" ht="30" customHeight="1" x14ac:dyDescent="0.3">
      <c r="A238" s="454" t="s">
        <v>217</v>
      </c>
      <c r="B238" s="455"/>
      <c r="C238" s="70">
        <f>IF(B237&lt;3,0.75,IF(B237&lt;5,1.2,1.5))</f>
        <v>0.75</v>
      </c>
      <c r="D238" s="71">
        <f>+D237*C238</f>
        <v>1237.20626625</v>
      </c>
      <c r="E238" s="448"/>
      <c r="F238" s="449"/>
      <c r="G238" s="449"/>
      <c r="H238" s="449"/>
      <c r="I238" s="449"/>
      <c r="J238" s="449"/>
      <c r="K238" s="449"/>
      <c r="L238" s="449"/>
      <c r="M238" s="449"/>
      <c r="N238" s="449"/>
      <c r="O238" s="449"/>
      <c r="P238" s="449"/>
      <c r="Q238" s="449"/>
      <c r="R238" s="450"/>
    </row>
    <row r="239" spans="1:18" ht="30" customHeight="1" x14ac:dyDescent="0.3">
      <c r="A239" s="456" t="s">
        <v>218</v>
      </c>
      <c r="B239" s="455"/>
      <c r="C239" s="457">
        <v>44771</v>
      </c>
      <c r="D239" s="458"/>
      <c r="E239" s="448"/>
      <c r="F239" s="449"/>
      <c r="G239" s="449"/>
      <c r="H239" s="449"/>
      <c r="I239" s="449"/>
      <c r="J239" s="449"/>
      <c r="K239" s="449"/>
      <c r="L239" s="449"/>
      <c r="M239" s="449"/>
      <c r="N239" s="449"/>
      <c r="O239" s="449"/>
      <c r="P239" s="449"/>
      <c r="Q239" s="449"/>
      <c r="R239" s="450"/>
    </row>
    <row r="240" spans="1:18" ht="30" customHeight="1" x14ac:dyDescent="0.3">
      <c r="A240" s="459" t="s">
        <v>219</v>
      </c>
      <c r="B240" s="460"/>
      <c r="C240" s="472"/>
      <c r="D240" s="473"/>
      <c r="E240" s="451"/>
      <c r="F240" s="452"/>
      <c r="G240" s="452"/>
      <c r="H240" s="452"/>
      <c r="I240" s="452"/>
      <c r="J240" s="452"/>
      <c r="K240" s="452"/>
      <c r="L240" s="452"/>
      <c r="M240" s="452"/>
      <c r="N240" s="452"/>
      <c r="O240" s="452"/>
      <c r="P240" s="452"/>
      <c r="Q240" s="452"/>
      <c r="R240" s="453"/>
    </row>
    <row r="241" spans="1:18" ht="55.5" customHeight="1" x14ac:dyDescent="0.3">
      <c r="A241" s="474" t="s">
        <v>220</v>
      </c>
      <c r="B241" s="475"/>
      <c r="C241" s="475"/>
      <c r="D241" s="475"/>
      <c r="E241" s="475"/>
      <c r="F241" s="475"/>
      <c r="G241" s="475"/>
      <c r="H241" s="475"/>
      <c r="I241" s="476"/>
      <c r="J241" s="81" t="s">
        <v>221</v>
      </c>
      <c r="K241" s="103" t="s">
        <v>222</v>
      </c>
      <c r="L241" s="477" t="s">
        <v>223</v>
      </c>
      <c r="M241" s="476"/>
      <c r="N241" s="478" t="s">
        <v>224</v>
      </c>
      <c r="O241" s="480" t="s">
        <v>225</v>
      </c>
      <c r="P241" s="481"/>
      <c r="Q241" s="478" t="s">
        <v>226</v>
      </c>
      <c r="R241" s="461" t="s">
        <v>227</v>
      </c>
    </row>
    <row r="242" spans="1:18" ht="77.25" customHeight="1" x14ac:dyDescent="0.3">
      <c r="A242" s="82" t="s">
        <v>228</v>
      </c>
      <c r="B242" s="463" t="s">
        <v>229</v>
      </c>
      <c r="C242" s="464"/>
      <c r="D242" s="83" t="s">
        <v>230</v>
      </c>
      <c r="E242" s="83" t="s">
        <v>231</v>
      </c>
      <c r="F242" s="83" t="s">
        <v>232</v>
      </c>
      <c r="G242" s="83" t="s">
        <v>233</v>
      </c>
      <c r="H242" s="116" t="s">
        <v>234</v>
      </c>
      <c r="I242" s="116" t="s">
        <v>235</v>
      </c>
      <c r="J242" s="84" t="s">
        <v>236</v>
      </c>
      <c r="K242" s="84" t="s">
        <v>237</v>
      </c>
      <c r="L242" s="84" t="s">
        <v>238</v>
      </c>
      <c r="M242" s="84" t="s">
        <v>239</v>
      </c>
      <c r="N242" s="479"/>
      <c r="O242" s="482"/>
      <c r="P242" s="483"/>
      <c r="Q242" s="479"/>
      <c r="R242" s="462"/>
    </row>
    <row r="243" spans="1:18" ht="39.9" customHeight="1" x14ac:dyDescent="0.3">
      <c r="A243" s="86" t="str">
        <f>VLOOKUP(A236,'LISTA DE OFERENTES'!$A$6:$R$38,11,FALSE)</f>
        <v>MR GROUP COL SAS</v>
      </c>
      <c r="B243" s="87"/>
      <c r="C243" s="87"/>
      <c r="D243" s="87"/>
      <c r="E243" s="87"/>
      <c r="F243" s="87"/>
      <c r="G243" s="87"/>
      <c r="H243" s="87"/>
      <c r="I243" s="87"/>
      <c r="J243" s="87"/>
      <c r="K243" s="87"/>
      <c r="L243" s="496"/>
      <c r="M243" s="87"/>
      <c r="N243" s="87"/>
      <c r="O243" s="162" t="s">
        <v>241</v>
      </c>
      <c r="P243" s="87"/>
      <c r="Q243" s="159"/>
      <c r="R243" s="90"/>
    </row>
    <row r="244" spans="1:18" s="33" customFormat="1" ht="150" customHeight="1" x14ac:dyDescent="0.3">
      <c r="A244" s="119" t="s">
        <v>349</v>
      </c>
      <c r="B244" s="498" t="s">
        <v>324</v>
      </c>
      <c r="C244" s="467"/>
      <c r="D244" s="23">
        <v>3576072273</v>
      </c>
      <c r="E244" s="69">
        <v>2019</v>
      </c>
      <c r="F244" s="69">
        <v>5829</v>
      </c>
      <c r="G244" s="24">
        <f>D244/(VLOOKUP(E244,$D$535:$E$566,2,FALSE))</f>
        <v>4318.322883509074</v>
      </c>
      <c r="H244" s="3">
        <v>0.6</v>
      </c>
      <c r="I244" s="24">
        <f>H244*G244</f>
        <v>2590.9937301054442</v>
      </c>
      <c r="J244" s="100">
        <v>43799</v>
      </c>
      <c r="K244" s="30" t="s">
        <v>247</v>
      </c>
      <c r="L244" s="497"/>
      <c r="M244" s="31">
        <f>I244</f>
        <v>2590.9937301054442</v>
      </c>
      <c r="N244" s="119" t="s">
        <v>213</v>
      </c>
      <c r="O244" s="186" t="str">
        <f>+CONCATENATE(FIXED(F244*H244,2)," ","m2")</f>
        <v>3.497,40 m2</v>
      </c>
      <c r="P244" s="150" t="s">
        <v>213</v>
      </c>
      <c r="Q244" s="158" t="s">
        <v>213</v>
      </c>
      <c r="R244" s="32"/>
    </row>
    <row r="245" spans="1:18" ht="39.9" customHeight="1" x14ac:dyDescent="0.3">
      <c r="A245" s="86" t="str">
        <f>VLOOKUP(A236,'LISTA DE OFERENTES'!$A$6:$R$38,7,FALSE)</f>
        <v>GRUPO TITANIUM SAS</v>
      </c>
      <c r="B245" s="87"/>
      <c r="C245" s="87"/>
      <c r="D245" s="87"/>
      <c r="E245" s="87"/>
      <c r="F245" s="87"/>
      <c r="G245" s="87"/>
      <c r="H245" s="87"/>
      <c r="I245" s="87"/>
      <c r="J245" s="87"/>
      <c r="K245" s="87"/>
      <c r="L245" s="497"/>
      <c r="M245" s="87"/>
      <c r="N245" s="87"/>
      <c r="O245" s="162" t="s">
        <v>241</v>
      </c>
      <c r="P245" s="87"/>
      <c r="Q245" s="323"/>
      <c r="R245" s="90"/>
    </row>
    <row r="246" spans="1:18" s="33" customFormat="1" ht="150" customHeight="1" x14ac:dyDescent="0.3">
      <c r="A246" s="119" t="s">
        <v>349</v>
      </c>
      <c r="B246" s="498" t="s">
        <v>324</v>
      </c>
      <c r="C246" s="467"/>
      <c r="D246" s="23">
        <v>3576072273</v>
      </c>
      <c r="E246" s="69">
        <v>2019</v>
      </c>
      <c r="F246" s="69">
        <v>5829</v>
      </c>
      <c r="G246" s="24">
        <f>D246/(VLOOKUP(E246,$D$535:$E$566,2,FALSE))</f>
        <v>4318.322883509074</v>
      </c>
      <c r="H246" s="3">
        <v>0.2</v>
      </c>
      <c r="I246" s="24">
        <f>H246*G246</f>
        <v>863.66457670181489</v>
      </c>
      <c r="J246" s="100">
        <v>43799</v>
      </c>
      <c r="K246" s="167">
        <v>72101500</v>
      </c>
      <c r="L246" s="497"/>
      <c r="M246" s="31">
        <f>I246</f>
        <v>863.66457670181489</v>
      </c>
      <c r="N246" s="119" t="s">
        <v>213</v>
      </c>
      <c r="O246" s="186" t="str">
        <f>+CONCATENATE(FIXED(F246*H246,2)," ","m2")</f>
        <v>1.165,80 m2</v>
      </c>
      <c r="P246" s="150"/>
      <c r="Q246" s="158" t="s">
        <v>213</v>
      </c>
      <c r="R246" s="32" t="s">
        <v>350</v>
      </c>
    </row>
    <row r="247" spans="1:18" s="33" customFormat="1" ht="150" customHeight="1" x14ac:dyDescent="0.3">
      <c r="A247" s="119" t="s">
        <v>351</v>
      </c>
      <c r="B247" s="498" t="s">
        <v>352</v>
      </c>
      <c r="C247" s="467"/>
      <c r="D247" s="23">
        <v>629715619</v>
      </c>
      <c r="E247" s="69">
        <v>2019</v>
      </c>
      <c r="F247" s="69">
        <v>1072.3900000000001</v>
      </c>
      <c r="G247" s="24">
        <f>D247/(VLOOKUP(E247,$D$535:$E$566,2,FALSE))</f>
        <v>760.41957769201417</v>
      </c>
      <c r="H247" s="3">
        <v>1</v>
      </c>
      <c r="I247" s="24">
        <f>H247*G247</f>
        <v>760.41957769201417</v>
      </c>
      <c r="J247" s="100">
        <v>43517</v>
      </c>
      <c r="K247" s="30" t="s">
        <v>247</v>
      </c>
      <c r="L247" s="497"/>
      <c r="M247" s="31">
        <f>I247</f>
        <v>760.41957769201417</v>
      </c>
      <c r="N247" s="119" t="s">
        <v>213</v>
      </c>
      <c r="O247" s="186" t="str">
        <f>+CONCATENATE(FIXED(F247*H247,2)," ","m2")</f>
        <v>1.072,39 m2</v>
      </c>
      <c r="P247" s="150"/>
      <c r="Q247" s="158" t="s">
        <v>214</v>
      </c>
      <c r="R247" s="32" t="s">
        <v>353</v>
      </c>
    </row>
    <row r="248" spans="1:18" s="33" customFormat="1" ht="48" customHeight="1" x14ac:dyDescent="0.3">
      <c r="A248" s="495" t="s">
        <v>249</v>
      </c>
      <c r="B248" s="485"/>
      <c r="C248" s="485"/>
      <c r="D248" s="485"/>
      <c r="E248" s="485"/>
      <c r="F248" s="485"/>
      <c r="G248" s="485"/>
      <c r="H248" s="486"/>
      <c r="I248" s="72">
        <f>SUM(I244:I247)</f>
        <v>4215.0778844992728</v>
      </c>
      <c r="J248" s="487" t="s">
        <v>250</v>
      </c>
      <c r="K248" s="488"/>
      <c r="L248" s="488"/>
      <c r="M248" s="488"/>
      <c r="N248" s="488"/>
      <c r="O248" s="488"/>
      <c r="P248" s="490"/>
      <c r="Q248" s="161"/>
      <c r="R248" s="92" t="s">
        <v>213</v>
      </c>
    </row>
    <row r="249" spans="1:18" ht="15.75" customHeight="1" thickBot="1" x14ac:dyDescent="0.35">
      <c r="A249" s="4"/>
      <c r="B249" s="4"/>
      <c r="C249" s="120"/>
      <c r="D249" s="120"/>
      <c r="E249" s="120"/>
      <c r="F249" s="120"/>
      <c r="G249" s="120"/>
      <c r="H249" s="120"/>
      <c r="I249" s="120"/>
      <c r="J249" s="120"/>
      <c r="K249" s="120"/>
      <c r="L249" s="120"/>
      <c r="M249" s="120"/>
      <c r="N249" s="120"/>
      <c r="O249" s="120"/>
      <c r="P249" s="120"/>
      <c r="Q249" s="120"/>
      <c r="R249" s="5"/>
    </row>
    <row r="250" spans="1:18" ht="30.75" customHeight="1" thickBot="1" x14ac:dyDescent="0.35">
      <c r="A250" s="442">
        <f>A236+1</f>
        <v>19</v>
      </c>
      <c r="B250" s="443"/>
      <c r="C250" s="443"/>
      <c r="D250" s="444"/>
      <c r="E250" s="445" t="str">
        <f>VLOOKUP(A250,'LISTA DE OFERENTES'!$A$6:$B$38,2,FALSE)</f>
        <v>MAMUT ACERO Y CONCRETO SAS</v>
      </c>
      <c r="F250" s="446"/>
      <c r="G250" s="446"/>
      <c r="H250" s="446"/>
      <c r="I250" s="446"/>
      <c r="J250" s="446"/>
      <c r="K250" s="446"/>
      <c r="L250" s="446"/>
      <c r="M250" s="446"/>
      <c r="N250" s="446"/>
      <c r="O250" s="446"/>
      <c r="P250" s="446"/>
      <c r="Q250" s="446"/>
      <c r="R250" s="447"/>
    </row>
    <row r="251" spans="1:18" ht="50.25" customHeight="1" x14ac:dyDescent="0.3">
      <c r="A251" s="28" t="s">
        <v>215</v>
      </c>
      <c r="B251" s="85"/>
      <c r="C251" s="29" t="s">
        <v>216</v>
      </c>
      <c r="D251" s="68">
        <f>+$E$508</f>
        <v>1649.6083550000001</v>
      </c>
      <c r="E251" s="448"/>
      <c r="F251" s="449"/>
      <c r="G251" s="449"/>
      <c r="H251" s="449"/>
      <c r="I251" s="449"/>
      <c r="J251" s="449"/>
      <c r="K251" s="449"/>
      <c r="L251" s="449"/>
      <c r="M251" s="449"/>
      <c r="N251" s="449"/>
      <c r="O251" s="449"/>
      <c r="P251" s="449"/>
      <c r="Q251" s="449"/>
      <c r="R251" s="450"/>
    </row>
    <row r="252" spans="1:18" ht="30" customHeight="1" x14ac:dyDescent="0.3">
      <c r="A252" s="454" t="s">
        <v>217</v>
      </c>
      <c r="B252" s="455"/>
      <c r="C252" s="70">
        <f>IF(B251&lt;3,0.75,IF(B251&lt;5,1.2,1.5))</f>
        <v>0.75</v>
      </c>
      <c r="D252" s="71">
        <f>+D251*C252</f>
        <v>1237.20626625</v>
      </c>
      <c r="E252" s="448"/>
      <c r="F252" s="449"/>
      <c r="G252" s="449"/>
      <c r="H252" s="449"/>
      <c r="I252" s="449"/>
      <c r="J252" s="449"/>
      <c r="K252" s="449"/>
      <c r="L252" s="449"/>
      <c r="M252" s="449"/>
      <c r="N252" s="449"/>
      <c r="O252" s="449"/>
      <c r="P252" s="449"/>
      <c r="Q252" s="449"/>
      <c r="R252" s="450"/>
    </row>
    <row r="253" spans="1:18" ht="30" customHeight="1" x14ac:dyDescent="0.3">
      <c r="A253" s="456" t="s">
        <v>218</v>
      </c>
      <c r="B253" s="455"/>
      <c r="C253" s="457">
        <v>44771</v>
      </c>
      <c r="D253" s="458"/>
      <c r="E253" s="448"/>
      <c r="F253" s="449"/>
      <c r="G253" s="449"/>
      <c r="H253" s="449"/>
      <c r="I253" s="449"/>
      <c r="J253" s="449"/>
      <c r="K253" s="449"/>
      <c r="L253" s="449"/>
      <c r="M253" s="449"/>
      <c r="N253" s="449"/>
      <c r="O253" s="449"/>
      <c r="P253" s="449"/>
      <c r="Q253" s="449"/>
      <c r="R253" s="450"/>
    </row>
    <row r="254" spans="1:18" ht="30" customHeight="1" x14ac:dyDescent="0.3">
      <c r="A254" s="459" t="s">
        <v>219</v>
      </c>
      <c r="B254" s="460"/>
      <c r="C254" s="472"/>
      <c r="D254" s="473"/>
      <c r="E254" s="451"/>
      <c r="F254" s="452"/>
      <c r="G254" s="452"/>
      <c r="H254" s="452"/>
      <c r="I254" s="452"/>
      <c r="J254" s="452"/>
      <c r="K254" s="452"/>
      <c r="L254" s="452"/>
      <c r="M254" s="452"/>
      <c r="N254" s="452"/>
      <c r="O254" s="452"/>
      <c r="P254" s="452"/>
      <c r="Q254" s="452"/>
      <c r="R254" s="453"/>
    </row>
    <row r="255" spans="1:18" ht="55.5" customHeight="1" x14ac:dyDescent="0.3">
      <c r="A255" s="474" t="s">
        <v>220</v>
      </c>
      <c r="B255" s="475"/>
      <c r="C255" s="475"/>
      <c r="D255" s="475"/>
      <c r="E255" s="475"/>
      <c r="F255" s="475"/>
      <c r="G255" s="475"/>
      <c r="H255" s="475"/>
      <c r="I255" s="476"/>
      <c r="J255" s="81" t="s">
        <v>221</v>
      </c>
      <c r="K255" s="103" t="s">
        <v>222</v>
      </c>
      <c r="L255" s="477" t="s">
        <v>223</v>
      </c>
      <c r="M255" s="476"/>
      <c r="N255" s="478" t="s">
        <v>224</v>
      </c>
      <c r="O255" s="480" t="s">
        <v>225</v>
      </c>
      <c r="P255" s="481"/>
      <c r="Q255" s="478" t="s">
        <v>226</v>
      </c>
      <c r="R255" s="461" t="s">
        <v>227</v>
      </c>
    </row>
    <row r="256" spans="1:18" ht="77.25" customHeight="1" x14ac:dyDescent="0.3">
      <c r="A256" s="82" t="s">
        <v>228</v>
      </c>
      <c r="B256" s="463" t="s">
        <v>229</v>
      </c>
      <c r="C256" s="464"/>
      <c r="D256" s="83" t="s">
        <v>230</v>
      </c>
      <c r="E256" s="83" t="s">
        <v>231</v>
      </c>
      <c r="F256" s="83" t="s">
        <v>232</v>
      </c>
      <c r="G256" s="83" t="s">
        <v>233</v>
      </c>
      <c r="H256" s="116" t="s">
        <v>234</v>
      </c>
      <c r="I256" s="116" t="s">
        <v>235</v>
      </c>
      <c r="J256" s="84" t="s">
        <v>236</v>
      </c>
      <c r="K256" s="84" t="s">
        <v>237</v>
      </c>
      <c r="L256" s="84" t="s">
        <v>238</v>
      </c>
      <c r="M256" s="84" t="s">
        <v>239</v>
      </c>
      <c r="N256" s="479"/>
      <c r="O256" s="482"/>
      <c r="P256" s="483"/>
      <c r="Q256" s="479"/>
      <c r="R256" s="462"/>
    </row>
    <row r="257" spans="1:18" ht="39.9" customHeight="1" x14ac:dyDescent="0.3">
      <c r="A257" s="86" t="str">
        <f>VLOOKUP(A250,'LISTA DE OFERENTES'!$A$6:$R$38,2,FALSE)</f>
        <v>MAMUT ACERO Y CONCRETO SAS</v>
      </c>
      <c r="B257" s="87"/>
      <c r="C257" s="87"/>
      <c r="D257" s="87"/>
      <c r="E257" s="87"/>
      <c r="F257" s="87"/>
      <c r="G257" s="87"/>
      <c r="H257" s="87"/>
      <c r="I257" s="87"/>
      <c r="J257" s="87"/>
      <c r="K257" s="87"/>
      <c r="L257" s="491" t="s">
        <v>124</v>
      </c>
      <c r="M257" s="87"/>
      <c r="N257" s="87"/>
      <c r="O257" s="162" t="s">
        <v>241</v>
      </c>
      <c r="P257" s="87"/>
      <c r="Q257" s="159"/>
      <c r="R257" s="90"/>
    </row>
    <row r="258" spans="1:18" s="33" customFormat="1" ht="150" customHeight="1" x14ac:dyDescent="0.3">
      <c r="A258" s="119" t="s">
        <v>354</v>
      </c>
      <c r="B258" s="498" t="s">
        <v>355</v>
      </c>
      <c r="C258" s="467"/>
      <c r="D258" s="23">
        <v>3901956180</v>
      </c>
      <c r="E258" s="69">
        <v>2012</v>
      </c>
      <c r="F258" s="69">
        <v>4245.71</v>
      </c>
      <c r="G258" s="24">
        <f>D258/(VLOOKUP(E258,$D$535:$E$566,2,FALSE))</f>
        <v>6885.4</v>
      </c>
      <c r="H258" s="3">
        <v>1</v>
      </c>
      <c r="I258" s="328">
        <f>H258*G258</f>
        <v>6885.4</v>
      </c>
      <c r="J258" s="100">
        <v>41195</v>
      </c>
      <c r="K258" s="30" t="s">
        <v>247</v>
      </c>
      <c r="L258" s="492"/>
      <c r="M258" s="329">
        <f>I258</f>
        <v>6885.4</v>
      </c>
      <c r="N258" s="119" t="s">
        <v>213</v>
      </c>
      <c r="O258" s="330" t="str">
        <f>+CONCATENATE(FIXED(F258*H258,2)," ","m2")</f>
        <v>4.245,71 m2</v>
      </c>
      <c r="P258" s="327" t="s">
        <v>213</v>
      </c>
      <c r="Q258" s="158" t="s">
        <v>213</v>
      </c>
      <c r="R258" s="331"/>
    </row>
    <row r="259" spans="1:18" s="33" customFormat="1" ht="48" customHeight="1" x14ac:dyDescent="0.3">
      <c r="A259" s="495" t="s">
        <v>249</v>
      </c>
      <c r="B259" s="485"/>
      <c r="C259" s="485"/>
      <c r="D259" s="485"/>
      <c r="E259" s="485"/>
      <c r="F259" s="485"/>
      <c r="G259" s="485"/>
      <c r="H259" s="486"/>
      <c r="I259" s="72">
        <f>SUM(I258:I258)</f>
        <v>6885.4</v>
      </c>
      <c r="J259" s="487" t="s">
        <v>250</v>
      </c>
      <c r="K259" s="488"/>
      <c r="L259" s="488"/>
      <c r="M259" s="488"/>
      <c r="N259" s="488"/>
      <c r="O259" s="488"/>
      <c r="P259" s="490"/>
      <c r="Q259" s="161"/>
      <c r="R259" s="92" t="s">
        <v>213</v>
      </c>
    </row>
    <row r="260" spans="1:18" ht="16.2" thickBot="1" x14ac:dyDescent="0.35">
      <c r="A260" s="4"/>
      <c r="B260" s="4"/>
      <c r="C260" s="4"/>
      <c r="D260" s="4"/>
      <c r="E260" s="4"/>
      <c r="F260" s="4"/>
      <c r="G260" s="4"/>
      <c r="H260" s="4"/>
      <c r="I260" s="4"/>
      <c r="J260" s="4"/>
      <c r="K260" s="4"/>
      <c r="L260" s="4"/>
      <c r="M260" s="4"/>
      <c r="N260" s="5"/>
      <c r="O260" s="5"/>
      <c r="P260" s="5"/>
      <c r="Q260" s="5"/>
      <c r="R260" s="5"/>
    </row>
    <row r="261" spans="1:18" ht="30.75" customHeight="1" thickBot="1" x14ac:dyDescent="0.35">
      <c r="A261" s="442">
        <f>A250+1</f>
        <v>20</v>
      </c>
      <c r="B261" s="443"/>
      <c r="C261" s="443"/>
      <c r="D261" s="444"/>
      <c r="E261" s="445" t="str">
        <f>VLOOKUP(A261,'LISTA DE OFERENTES'!$A$6:$B$38,2,FALSE)</f>
        <v>PROYECTOS E INGENIERIA DE VIAS SAS-PROINVIAS SAS</v>
      </c>
      <c r="F261" s="446"/>
      <c r="G261" s="446"/>
      <c r="H261" s="446"/>
      <c r="I261" s="446"/>
      <c r="J261" s="446"/>
      <c r="K261" s="446"/>
      <c r="L261" s="446"/>
      <c r="M261" s="446"/>
      <c r="N261" s="446"/>
      <c r="O261" s="446"/>
      <c r="P261" s="446"/>
      <c r="Q261" s="446"/>
      <c r="R261" s="447"/>
    </row>
    <row r="262" spans="1:18" ht="50.25" customHeight="1" x14ac:dyDescent="0.3">
      <c r="A262" s="28" t="s">
        <v>215</v>
      </c>
      <c r="B262" s="85"/>
      <c r="C262" s="29" t="s">
        <v>216</v>
      </c>
      <c r="D262" s="68">
        <f>+$E$508</f>
        <v>1649.6083550000001</v>
      </c>
      <c r="E262" s="448"/>
      <c r="F262" s="449"/>
      <c r="G262" s="449"/>
      <c r="H262" s="449"/>
      <c r="I262" s="449"/>
      <c r="J262" s="449"/>
      <c r="K262" s="449"/>
      <c r="L262" s="449"/>
      <c r="M262" s="449"/>
      <c r="N262" s="449"/>
      <c r="O262" s="449"/>
      <c r="P262" s="449"/>
      <c r="Q262" s="449"/>
      <c r="R262" s="450"/>
    </row>
    <row r="263" spans="1:18" ht="30" customHeight="1" x14ac:dyDescent="0.3">
      <c r="A263" s="454" t="s">
        <v>217</v>
      </c>
      <c r="B263" s="455"/>
      <c r="C263" s="70">
        <f>IF(B262&lt;3,0.75,IF(B262&lt;5,1.2,1.5))</f>
        <v>0.75</v>
      </c>
      <c r="D263" s="71">
        <f>+D262*C263</f>
        <v>1237.20626625</v>
      </c>
      <c r="E263" s="448"/>
      <c r="F263" s="449"/>
      <c r="G263" s="449"/>
      <c r="H263" s="449"/>
      <c r="I263" s="449"/>
      <c r="J263" s="449"/>
      <c r="K263" s="449"/>
      <c r="L263" s="449"/>
      <c r="M263" s="449"/>
      <c r="N263" s="449"/>
      <c r="O263" s="449"/>
      <c r="P263" s="449"/>
      <c r="Q263" s="449"/>
      <c r="R263" s="450"/>
    </row>
    <row r="264" spans="1:18" ht="30" customHeight="1" x14ac:dyDescent="0.3">
      <c r="A264" s="456" t="s">
        <v>218</v>
      </c>
      <c r="B264" s="455"/>
      <c r="C264" s="457">
        <v>44771</v>
      </c>
      <c r="D264" s="458"/>
      <c r="E264" s="448"/>
      <c r="F264" s="449"/>
      <c r="G264" s="449"/>
      <c r="H264" s="449"/>
      <c r="I264" s="449"/>
      <c r="J264" s="449"/>
      <c r="K264" s="449"/>
      <c r="L264" s="449"/>
      <c r="M264" s="449"/>
      <c r="N264" s="449"/>
      <c r="O264" s="449"/>
      <c r="P264" s="449"/>
      <c r="Q264" s="449"/>
      <c r="R264" s="450"/>
    </row>
    <row r="265" spans="1:18" ht="30" customHeight="1" x14ac:dyDescent="0.3">
      <c r="A265" s="459" t="s">
        <v>219</v>
      </c>
      <c r="B265" s="460"/>
      <c r="C265" s="472"/>
      <c r="D265" s="473"/>
      <c r="E265" s="451"/>
      <c r="F265" s="452"/>
      <c r="G265" s="452"/>
      <c r="H265" s="452"/>
      <c r="I265" s="452"/>
      <c r="J265" s="452"/>
      <c r="K265" s="452"/>
      <c r="L265" s="452"/>
      <c r="M265" s="452"/>
      <c r="N265" s="452"/>
      <c r="O265" s="452"/>
      <c r="P265" s="452"/>
      <c r="Q265" s="452"/>
      <c r="R265" s="453"/>
    </row>
    <row r="266" spans="1:18" ht="55.5" customHeight="1" x14ac:dyDescent="0.3">
      <c r="A266" s="474" t="s">
        <v>220</v>
      </c>
      <c r="B266" s="475"/>
      <c r="C266" s="475"/>
      <c r="D266" s="475"/>
      <c r="E266" s="475"/>
      <c r="F266" s="475"/>
      <c r="G266" s="475"/>
      <c r="H266" s="475"/>
      <c r="I266" s="476"/>
      <c r="J266" s="81" t="s">
        <v>221</v>
      </c>
      <c r="K266" s="103" t="s">
        <v>222</v>
      </c>
      <c r="L266" s="477" t="s">
        <v>223</v>
      </c>
      <c r="M266" s="476"/>
      <c r="N266" s="478" t="s">
        <v>224</v>
      </c>
      <c r="O266" s="480" t="s">
        <v>225</v>
      </c>
      <c r="P266" s="481"/>
      <c r="Q266" s="478" t="s">
        <v>226</v>
      </c>
      <c r="R266" s="461" t="s">
        <v>227</v>
      </c>
    </row>
    <row r="267" spans="1:18" ht="77.25" customHeight="1" x14ac:dyDescent="0.3">
      <c r="A267" s="82" t="s">
        <v>228</v>
      </c>
      <c r="B267" s="463" t="s">
        <v>229</v>
      </c>
      <c r="C267" s="464"/>
      <c r="D267" s="83" t="s">
        <v>230</v>
      </c>
      <c r="E267" s="83" t="s">
        <v>231</v>
      </c>
      <c r="F267" s="83" t="s">
        <v>232</v>
      </c>
      <c r="G267" s="83" t="s">
        <v>233</v>
      </c>
      <c r="H267" s="116" t="s">
        <v>234</v>
      </c>
      <c r="I267" s="116" t="s">
        <v>235</v>
      </c>
      <c r="J267" s="84" t="s">
        <v>236</v>
      </c>
      <c r="K267" s="84" t="s">
        <v>237</v>
      </c>
      <c r="L267" s="84" t="s">
        <v>238</v>
      </c>
      <c r="M267" s="84" t="s">
        <v>239</v>
      </c>
      <c r="N267" s="479"/>
      <c r="O267" s="482"/>
      <c r="P267" s="483"/>
      <c r="Q267" s="479"/>
      <c r="R267" s="462"/>
    </row>
    <row r="268" spans="1:18" ht="39.9" customHeight="1" x14ac:dyDescent="0.3">
      <c r="A268" s="86" t="str">
        <f>VLOOKUP(A261,'LISTA DE OFERENTES'!$A$6:$R$38,7,FALSE)</f>
        <v>PROYECTOS E INGENIERIA DE VIAS SAS-PROINVIAS SAS</v>
      </c>
      <c r="B268" s="87"/>
      <c r="C268" s="87"/>
      <c r="D268" s="87"/>
      <c r="E268" s="87"/>
      <c r="F268" s="87"/>
      <c r="G268" s="87"/>
      <c r="H268" s="87"/>
      <c r="I268" s="87"/>
      <c r="J268" s="87"/>
      <c r="K268" s="87"/>
      <c r="L268" s="496" t="s">
        <v>356</v>
      </c>
      <c r="M268" s="87"/>
      <c r="N268" s="87"/>
      <c r="O268" s="162" t="s">
        <v>241</v>
      </c>
      <c r="P268" s="87"/>
      <c r="Q268" s="87"/>
      <c r="R268" s="90"/>
    </row>
    <row r="269" spans="1:18" s="33" customFormat="1" ht="150" customHeight="1" x14ac:dyDescent="0.3">
      <c r="A269" s="119" t="s">
        <v>357</v>
      </c>
      <c r="B269" s="498" t="s">
        <v>358</v>
      </c>
      <c r="C269" s="467"/>
      <c r="D269" s="23">
        <v>4562411650</v>
      </c>
      <c r="E269" s="69">
        <v>2020</v>
      </c>
      <c r="F269" s="69">
        <v>3693.13</v>
      </c>
      <c r="G269" s="24">
        <f>D269/(VLOOKUP(E269,$D$535:$E$566,2,FALSE))</f>
        <v>5197.5348113414966</v>
      </c>
      <c r="H269" s="3">
        <v>0.4</v>
      </c>
      <c r="I269" s="24">
        <f>H269*G269</f>
        <v>2079.0139245365986</v>
      </c>
      <c r="J269" s="100">
        <v>44195</v>
      </c>
      <c r="K269" s="30" t="s">
        <v>247</v>
      </c>
      <c r="L269" s="497"/>
      <c r="M269" s="31">
        <f>I269</f>
        <v>2079.0139245365986</v>
      </c>
      <c r="N269" s="119" t="s">
        <v>213</v>
      </c>
      <c r="O269" s="186" t="str">
        <f>+CONCATENATE(FIXED(F269*H269,2)," ","m2")</f>
        <v>1.477,25 m2</v>
      </c>
      <c r="P269" s="119"/>
      <c r="Q269" s="142" t="s">
        <v>213</v>
      </c>
      <c r="R269" s="32"/>
    </row>
    <row r="270" spans="1:18" s="33" customFormat="1" ht="150" customHeight="1" x14ac:dyDescent="0.3">
      <c r="A270" s="119" t="s">
        <v>359</v>
      </c>
      <c r="B270" s="498" t="s">
        <v>360</v>
      </c>
      <c r="C270" s="467"/>
      <c r="D270" s="23">
        <v>2257718344.8000002</v>
      </c>
      <c r="E270" s="69">
        <v>2020</v>
      </c>
      <c r="F270" s="69">
        <v>3529.4</v>
      </c>
      <c r="G270" s="24">
        <f>D270/(VLOOKUP(E270,$D$535:$E$566,2,FALSE))</f>
        <v>2572.0102856791332</v>
      </c>
      <c r="H270" s="3">
        <v>1</v>
      </c>
      <c r="I270" s="24">
        <f>H270*G270</f>
        <v>2572.0102856791332</v>
      </c>
      <c r="J270" s="100">
        <v>44120</v>
      </c>
      <c r="K270" s="30" t="s">
        <v>257</v>
      </c>
      <c r="L270" s="497"/>
      <c r="M270" s="31">
        <f>I270</f>
        <v>2572.0102856791332</v>
      </c>
      <c r="N270" s="119" t="s">
        <v>213</v>
      </c>
      <c r="O270" s="186" t="str">
        <f>+CONCATENATE(FIXED(F270*H270,2)," ","m2")</f>
        <v>3.529,40 m2</v>
      </c>
      <c r="P270" s="119" t="s">
        <v>213</v>
      </c>
      <c r="Q270" s="142" t="s">
        <v>213</v>
      </c>
      <c r="R270" s="32"/>
    </row>
    <row r="271" spans="1:18" s="33" customFormat="1" ht="48" customHeight="1" x14ac:dyDescent="0.3">
      <c r="A271" s="495" t="s">
        <v>249</v>
      </c>
      <c r="B271" s="485"/>
      <c r="C271" s="485"/>
      <c r="D271" s="485"/>
      <c r="E271" s="485"/>
      <c r="F271" s="485"/>
      <c r="G271" s="485"/>
      <c r="H271" s="486"/>
      <c r="I271" s="72">
        <f>SUM(I269:I270)</f>
        <v>4651.0242102157317</v>
      </c>
      <c r="J271" s="487" t="s">
        <v>250</v>
      </c>
      <c r="K271" s="488"/>
      <c r="L271" s="488"/>
      <c r="M271" s="488"/>
      <c r="N271" s="488"/>
      <c r="O271" s="488"/>
      <c r="P271" s="490"/>
      <c r="Q271" s="136"/>
      <c r="R271" s="92" t="s">
        <v>213</v>
      </c>
    </row>
    <row r="272" spans="1:18" ht="16.2" thickBot="1" x14ac:dyDescent="0.35">
      <c r="A272" s="4"/>
      <c r="B272" s="4"/>
      <c r="C272" s="4"/>
      <c r="D272" s="4"/>
      <c r="E272" s="4"/>
      <c r="F272" s="4"/>
      <c r="G272" s="4"/>
      <c r="H272" s="4"/>
      <c r="I272" s="4"/>
      <c r="J272" s="4"/>
      <c r="K272" s="4"/>
      <c r="L272" s="4"/>
      <c r="M272" s="4"/>
      <c r="N272" s="5"/>
      <c r="O272" s="5"/>
      <c r="P272" s="5"/>
      <c r="Q272" s="5"/>
      <c r="R272" s="5"/>
    </row>
    <row r="273" spans="1:18" ht="30.75" customHeight="1" thickBot="1" x14ac:dyDescent="0.35">
      <c r="A273" s="442">
        <f>A261+1</f>
        <v>21</v>
      </c>
      <c r="B273" s="443"/>
      <c r="C273" s="443"/>
      <c r="D273" s="444"/>
      <c r="E273" s="445" t="str">
        <f>VLOOKUP(A273,'LISTA DE OFERENTES'!$A$6:$B$38,2,FALSE)</f>
        <v>CARLOS ARTURO VERGARA NEGRETE</v>
      </c>
      <c r="F273" s="446"/>
      <c r="G273" s="446"/>
      <c r="H273" s="446"/>
      <c r="I273" s="446"/>
      <c r="J273" s="446"/>
      <c r="K273" s="446"/>
      <c r="L273" s="446"/>
      <c r="M273" s="446"/>
      <c r="N273" s="446"/>
      <c r="O273" s="446"/>
      <c r="P273" s="446"/>
      <c r="Q273" s="446"/>
      <c r="R273" s="447"/>
    </row>
    <row r="274" spans="1:18" ht="50.25" customHeight="1" x14ac:dyDescent="0.3">
      <c r="A274" s="28" t="s">
        <v>215</v>
      </c>
      <c r="B274" s="85">
        <v>1</v>
      </c>
      <c r="C274" s="29" t="s">
        <v>216</v>
      </c>
      <c r="D274" s="68">
        <f>+$E$508</f>
        <v>1649.6083550000001</v>
      </c>
      <c r="E274" s="448"/>
      <c r="F274" s="449"/>
      <c r="G274" s="449"/>
      <c r="H274" s="449"/>
      <c r="I274" s="449"/>
      <c r="J274" s="449"/>
      <c r="K274" s="449"/>
      <c r="L274" s="449"/>
      <c r="M274" s="449"/>
      <c r="N274" s="449"/>
      <c r="O274" s="449"/>
      <c r="P274" s="449"/>
      <c r="Q274" s="449"/>
      <c r="R274" s="450"/>
    </row>
    <row r="275" spans="1:18" ht="30" customHeight="1" x14ac:dyDescent="0.3">
      <c r="A275" s="454" t="s">
        <v>217</v>
      </c>
      <c r="B275" s="455"/>
      <c r="C275" s="70">
        <f>IF(B274&lt;3,0.75,IF(B274&lt;5,1.2,1.5))</f>
        <v>0.75</v>
      </c>
      <c r="D275" s="71">
        <f>+D274*C275</f>
        <v>1237.20626625</v>
      </c>
      <c r="E275" s="448"/>
      <c r="F275" s="449"/>
      <c r="G275" s="449"/>
      <c r="H275" s="449"/>
      <c r="I275" s="449"/>
      <c r="J275" s="449"/>
      <c r="K275" s="449"/>
      <c r="L275" s="449"/>
      <c r="M275" s="449"/>
      <c r="N275" s="449"/>
      <c r="O275" s="449"/>
      <c r="P275" s="449"/>
      <c r="Q275" s="449"/>
      <c r="R275" s="450"/>
    </row>
    <row r="276" spans="1:18" ht="30" customHeight="1" x14ac:dyDescent="0.3">
      <c r="A276" s="456" t="s">
        <v>218</v>
      </c>
      <c r="B276" s="455"/>
      <c r="C276" s="457">
        <v>44832</v>
      </c>
      <c r="D276" s="458"/>
      <c r="E276" s="448"/>
      <c r="F276" s="449"/>
      <c r="G276" s="449"/>
      <c r="H276" s="449"/>
      <c r="I276" s="449"/>
      <c r="J276" s="449"/>
      <c r="K276" s="449"/>
      <c r="L276" s="449"/>
      <c r="M276" s="449"/>
      <c r="N276" s="449"/>
      <c r="O276" s="449"/>
      <c r="P276" s="449"/>
      <c r="Q276" s="449"/>
      <c r="R276" s="450"/>
    </row>
    <row r="277" spans="1:18" ht="30" customHeight="1" x14ac:dyDescent="0.3">
      <c r="A277" s="459" t="s">
        <v>219</v>
      </c>
      <c r="B277" s="460"/>
      <c r="C277" s="472" t="str">
        <f>+IF(I282&gt;D275,"CUMPLE","NO CUMPLE")</f>
        <v>CUMPLE</v>
      </c>
      <c r="D277" s="473"/>
      <c r="E277" s="451"/>
      <c r="F277" s="452"/>
      <c r="G277" s="452"/>
      <c r="H277" s="452"/>
      <c r="I277" s="452"/>
      <c r="J277" s="452"/>
      <c r="K277" s="452"/>
      <c r="L277" s="452"/>
      <c r="M277" s="452"/>
      <c r="N277" s="452"/>
      <c r="O277" s="452"/>
      <c r="P277" s="452"/>
      <c r="Q277" s="452"/>
      <c r="R277" s="453"/>
    </row>
    <row r="278" spans="1:18" ht="55.5" customHeight="1" x14ac:dyDescent="0.3">
      <c r="A278" s="474" t="s">
        <v>220</v>
      </c>
      <c r="B278" s="475"/>
      <c r="C278" s="475"/>
      <c r="D278" s="475"/>
      <c r="E278" s="475"/>
      <c r="F278" s="475"/>
      <c r="G278" s="475"/>
      <c r="H278" s="475"/>
      <c r="I278" s="476"/>
      <c r="J278" s="81" t="s">
        <v>221</v>
      </c>
      <c r="K278" s="103" t="s">
        <v>222</v>
      </c>
      <c r="L278" s="477" t="s">
        <v>223</v>
      </c>
      <c r="M278" s="476"/>
      <c r="N278" s="478" t="s">
        <v>224</v>
      </c>
      <c r="O278" s="480" t="s">
        <v>225</v>
      </c>
      <c r="P278" s="481"/>
      <c r="Q278" s="478" t="s">
        <v>226</v>
      </c>
      <c r="R278" s="461" t="s">
        <v>227</v>
      </c>
    </row>
    <row r="279" spans="1:18" ht="77.25" customHeight="1" x14ac:dyDescent="0.3">
      <c r="A279" s="82" t="s">
        <v>228</v>
      </c>
      <c r="B279" s="463" t="s">
        <v>229</v>
      </c>
      <c r="C279" s="464"/>
      <c r="D279" s="83" t="s">
        <v>230</v>
      </c>
      <c r="E279" s="83" t="s">
        <v>231</v>
      </c>
      <c r="F279" s="83" t="s">
        <v>232</v>
      </c>
      <c r="G279" s="83" t="s">
        <v>233</v>
      </c>
      <c r="H279" s="116" t="s">
        <v>234</v>
      </c>
      <c r="I279" s="116" t="s">
        <v>235</v>
      </c>
      <c r="J279" s="84" t="s">
        <v>236</v>
      </c>
      <c r="K279" s="84" t="s">
        <v>237</v>
      </c>
      <c r="L279" s="191" t="s">
        <v>238</v>
      </c>
      <c r="M279" s="84" t="s">
        <v>239</v>
      </c>
      <c r="N279" s="479"/>
      <c r="O279" s="482"/>
      <c r="P279" s="483"/>
      <c r="Q279" s="479"/>
      <c r="R279" s="462"/>
    </row>
    <row r="280" spans="1:18" ht="39.9" customHeight="1" x14ac:dyDescent="0.3">
      <c r="A280" s="86" t="str">
        <f>+'LISTA DE OFERENTES'!B26</f>
        <v>CARLOS ARTURO VERGARA NEGRETE</v>
      </c>
      <c r="B280" s="87"/>
      <c r="C280" s="87"/>
      <c r="D280" s="87"/>
      <c r="E280" s="87"/>
      <c r="F280" s="87"/>
      <c r="G280" s="87"/>
      <c r="H280" s="87"/>
      <c r="I280" s="87"/>
      <c r="J280" s="87"/>
      <c r="K280" s="87"/>
      <c r="L280" s="504" t="str">
        <f>+A280</f>
        <v>CARLOS ARTURO VERGARA NEGRETE</v>
      </c>
      <c r="M280" s="87"/>
      <c r="N280" s="87"/>
      <c r="O280" s="162" t="s">
        <v>241</v>
      </c>
      <c r="P280" s="87"/>
      <c r="Q280" s="159"/>
      <c r="R280" s="188"/>
    </row>
    <row r="281" spans="1:18" s="33" customFormat="1" ht="150" customHeight="1" x14ac:dyDescent="0.3">
      <c r="A281" s="119" t="s">
        <v>361</v>
      </c>
      <c r="B281" s="498" t="s">
        <v>362</v>
      </c>
      <c r="C281" s="467"/>
      <c r="D281" s="23">
        <v>3197850356</v>
      </c>
      <c r="E281" s="69">
        <v>2017</v>
      </c>
      <c r="F281" s="69">
        <f>6400+2249.85</f>
        <v>8649.85</v>
      </c>
      <c r="G281" s="24">
        <f>D281/(VLOOKUP(E281,$D$535:$E$566,2,FALSE))</f>
        <v>4334.7928216375658</v>
      </c>
      <c r="H281" s="3">
        <v>0.7</v>
      </c>
      <c r="I281" s="24">
        <f>H281*G281</f>
        <v>3034.3549751462961</v>
      </c>
      <c r="J281" s="100">
        <v>43010</v>
      </c>
      <c r="K281" s="30" t="s">
        <v>363</v>
      </c>
      <c r="L281" s="504"/>
      <c r="M281" s="31">
        <f>I281</f>
        <v>3034.3549751462961</v>
      </c>
      <c r="N281" s="119" t="s">
        <v>213</v>
      </c>
      <c r="O281" s="186" t="str">
        <f>+CONCATENATE(FIXED(F281*H281,2)," ","m2")</f>
        <v>6.054,90 m2</v>
      </c>
      <c r="P281" s="150" t="s">
        <v>213</v>
      </c>
      <c r="Q281" s="158" t="s">
        <v>213</v>
      </c>
      <c r="R281" s="158" t="s">
        <v>364</v>
      </c>
    </row>
    <row r="282" spans="1:18" s="33" customFormat="1" ht="48" customHeight="1" x14ac:dyDescent="0.3">
      <c r="A282" s="495" t="s">
        <v>249</v>
      </c>
      <c r="B282" s="485"/>
      <c r="C282" s="485"/>
      <c r="D282" s="485"/>
      <c r="E282" s="485"/>
      <c r="F282" s="485"/>
      <c r="G282" s="485"/>
      <c r="H282" s="486"/>
      <c r="I282" s="72">
        <f>SUM(I281:I281)</f>
        <v>3034.3549751462961</v>
      </c>
      <c r="J282" s="487" t="s">
        <v>250</v>
      </c>
      <c r="K282" s="488"/>
      <c r="L282" s="489"/>
      <c r="M282" s="488"/>
      <c r="N282" s="488"/>
      <c r="O282" s="488"/>
      <c r="P282" s="490"/>
      <c r="Q282" s="161"/>
      <c r="R282" s="190" t="s">
        <v>213</v>
      </c>
    </row>
    <row r="283" spans="1:18" ht="15.75" customHeight="1" thickBot="1" x14ac:dyDescent="0.35">
      <c r="A283" s="4"/>
      <c r="B283" s="4"/>
      <c r="C283" s="120"/>
      <c r="D283" s="120"/>
      <c r="E283" s="120"/>
      <c r="F283" s="120"/>
      <c r="G283" s="120"/>
      <c r="H283" s="120"/>
      <c r="I283" s="120"/>
      <c r="J283" s="120"/>
      <c r="K283" s="120"/>
      <c r="L283" s="120"/>
      <c r="M283" s="120"/>
      <c r="N283" s="120"/>
      <c r="O283" s="120"/>
      <c r="P283" s="120"/>
      <c r="Q283" s="120"/>
      <c r="R283" s="5"/>
    </row>
    <row r="284" spans="1:18" ht="30.75" customHeight="1" thickBot="1" x14ac:dyDescent="0.35">
      <c r="A284" s="442">
        <f>A273+1</f>
        <v>22</v>
      </c>
      <c r="B284" s="443"/>
      <c r="C284" s="443"/>
      <c r="D284" s="444"/>
      <c r="E284" s="445" t="str">
        <f>VLOOKUP(A284,'LISTA DE OFERENTES'!$A$6:$B$38,2,FALSE)</f>
        <v>CJS INGENIERIA SAS</v>
      </c>
      <c r="F284" s="446"/>
      <c r="G284" s="446"/>
      <c r="H284" s="446"/>
      <c r="I284" s="446"/>
      <c r="J284" s="446"/>
      <c r="K284" s="446"/>
      <c r="L284" s="446"/>
      <c r="M284" s="446"/>
      <c r="N284" s="446"/>
      <c r="O284" s="446"/>
      <c r="P284" s="446"/>
      <c r="Q284" s="446"/>
      <c r="R284" s="447"/>
    </row>
    <row r="285" spans="1:18" ht="50.25" customHeight="1" x14ac:dyDescent="0.3">
      <c r="A285" s="28" t="s">
        <v>215</v>
      </c>
      <c r="B285" s="85">
        <v>3</v>
      </c>
      <c r="C285" s="29" t="s">
        <v>216</v>
      </c>
      <c r="D285" s="68">
        <f>+$E$508</f>
        <v>1649.6083550000001</v>
      </c>
      <c r="E285" s="448"/>
      <c r="F285" s="449"/>
      <c r="G285" s="449"/>
      <c r="H285" s="449"/>
      <c r="I285" s="449"/>
      <c r="J285" s="449"/>
      <c r="K285" s="449"/>
      <c r="L285" s="449"/>
      <c r="M285" s="449"/>
      <c r="N285" s="449"/>
      <c r="O285" s="449"/>
      <c r="P285" s="449"/>
      <c r="Q285" s="449"/>
      <c r="R285" s="450"/>
    </row>
    <row r="286" spans="1:18" ht="30" customHeight="1" x14ac:dyDescent="0.3">
      <c r="A286" s="454" t="s">
        <v>217</v>
      </c>
      <c r="B286" s="455"/>
      <c r="C286" s="70">
        <f>IF(B285&lt;3,0.75,IF(B285&lt;5,1.2,1.5))</f>
        <v>1.2</v>
      </c>
      <c r="D286" s="71">
        <f>+D285*C286</f>
        <v>1979.5300259999999</v>
      </c>
      <c r="E286" s="448"/>
      <c r="F286" s="449"/>
      <c r="G286" s="449"/>
      <c r="H286" s="449"/>
      <c r="I286" s="449"/>
      <c r="J286" s="449"/>
      <c r="K286" s="449"/>
      <c r="L286" s="449"/>
      <c r="M286" s="449"/>
      <c r="N286" s="449"/>
      <c r="O286" s="449"/>
      <c r="P286" s="449"/>
      <c r="Q286" s="449"/>
      <c r="R286" s="450"/>
    </row>
    <row r="287" spans="1:18" ht="30" customHeight="1" x14ac:dyDescent="0.3">
      <c r="A287" s="456" t="s">
        <v>218</v>
      </c>
      <c r="B287" s="455"/>
      <c r="C287" s="457">
        <v>44832</v>
      </c>
      <c r="D287" s="458"/>
      <c r="E287" s="448"/>
      <c r="F287" s="449"/>
      <c r="G287" s="449"/>
      <c r="H287" s="449"/>
      <c r="I287" s="449"/>
      <c r="J287" s="449"/>
      <c r="K287" s="449"/>
      <c r="L287" s="449"/>
      <c r="M287" s="449"/>
      <c r="N287" s="449"/>
      <c r="O287" s="449"/>
      <c r="P287" s="449"/>
      <c r="Q287" s="449"/>
      <c r="R287" s="450"/>
    </row>
    <row r="288" spans="1:18" ht="30" customHeight="1" x14ac:dyDescent="0.3">
      <c r="A288" s="459" t="s">
        <v>219</v>
      </c>
      <c r="B288" s="460"/>
      <c r="C288" s="472" t="str">
        <f>+IF(I295&gt;D286,"CUMPLE","NO CUMPLE")</f>
        <v>CUMPLE</v>
      </c>
      <c r="D288" s="473"/>
      <c r="E288" s="451"/>
      <c r="F288" s="452"/>
      <c r="G288" s="452"/>
      <c r="H288" s="452"/>
      <c r="I288" s="452"/>
      <c r="J288" s="452"/>
      <c r="K288" s="452"/>
      <c r="L288" s="452"/>
      <c r="M288" s="452"/>
      <c r="N288" s="452"/>
      <c r="O288" s="452"/>
      <c r="P288" s="452"/>
      <c r="Q288" s="452"/>
      <c r="R288" s="453"/>
    </row>
    <row r="289" spans="1:18" ht="55.5" customHeight="1" x14ac:dyDescent="0.3">
      <c r="A289" s="474" t="s">
        <v>220</v>
      </c>
      <c r="B289" s="475"/>
      <c r="C289" s="475"/>
      <c r="D289" s="475"/>
      <c r="E289" s="475"/>
      <c r="F289" s="475"/>
      <c r="G289" s="475"/>
      <c r="H289" s="475"/>
      <c r="I289" s="476"/>
      <c r="J289" s="81" t="s">
        <v>221</v>
      </c>
      <c r="K289" s="103" t="s">
        <v>222</v>
      </c>
      <c r="L289" s="477" t="s">
        <v>223</v>
      </c>
      <c r="M289" s="476"/>
      <c r="N289" s="478" t="s">
        <v>224</v>
      </c>
      <c r="O289" s="480" t="s">
        <v>225</v>
      </c>
      <c r="P289" s="481"/>
      <c r="Q289" s="478" t="s">
        <v>226</v>
      </c>
      <c r="R289" s="461" t="s">
        <v>227</v>
      </c>
    </row>
    <row r="290" spans="1:18" ht="77.25" customHeight="1" x14ac:dyDescent="0.3">
      <c r="A290" s="82" t="s">
        <v>228</v>
      </c>
      <c r="B290" s="463" t="s">
        <v>229</v>
      </c>
      <c r="C290" s="464"/>
      <c r="D290" s="83" t="s">
        <v>230</v>
      </c>
      <c r="E290" s="83" t="s">
        <v>231</v>
      </c>
      <c r="F290" s="83" t="s">
        <v>232</v>
      </c>
      <c r="G290" s="83" t="s">
        <v>233</v>
      </c>
      <c r="H290" s="116" t="s">
        <v>234</v>
      </c>
      <c r="I290" s="116" t="s">
        <v>235</v>
      </c>
      <c r="J290" s="84" t="s">
        <v>236</v>
      </c>
      <c r="K290" s="84" t="s">
        <v>237</v>
      </c>
      <c r="L290" s="84" t="s">
        <v>238</v>
      </c>
      <c r="M290" s="84" t="s">
        <v>239</v>
      </c>
      <c r="N290" s="479"/>
      <c r="O290" s="482"/>
      <c r="P290" s="483"/>
      <c r="Q290" s="479"/>
      <c r="R290" s="462"/>
    </row>
    <row r="291" spans="1:18" ht="39.9" customHeight="1" x14ac:dyDescent="0.3">
      <c r="A291" s="86">
        <f>VLOOKUP(A284,'LISTA DE OFERENTES'!$A$6:$R$38,7,FALSE)</f>
        <v>0</v>
      </c>
      <c r="B291" s="87"/>
      <c r="C291" s="87"/>
      <c r="D291" s="87"/>
      <c r="E291" s="87"/>
      <c r="F291" s="87"/>
      <c r="G291" s="87"/>
      <c r="H291" s="87"/>
      <c r="I291" s="87"/>
      <c r="J291" s="87"/>
      <c r="K291" s="87"/>
      <c r="L291" s="491"/>
      <c r="M291" s="87"/>
      <c r="N291" s="87"/>
      <c r="O291" s="162" t="s">
        <v>241</v>
      </c>
      <c r="P291" s="87"/>
      <c r="Q291" s="159"/>
      <c r="R291" s="188"/>
    </row>
    <row r="292" spans="1:18" s="33" customFormat="1" ht="150" customHeight="1" x14ac:dyDescent="0.3">
      <c r="A292" s="119" t="s">
        <v>365</v>
      </c>
      <c r="B292" s="498" t="s">
        <v>243</v>
      </c>
      <c r="C292" s="467"/>
      <c r="D292" s="23">
        <v>10297930442</v>
      </c>
      <c r="E292" s="69">
        <v>2019</v>
      </c>
      <c r="F292" s="69">
        <f>4203.73+970+309+818+4653+705+287+491+2672</f>
        <v>15108.73</v>
      </c>
      <c r="G292" s="24">
        <f>D292/(VLOOKUP(E292,$D$535:$E$566,2,FALSE))</f>
        <v>12435.371906834309</v>
      </c>
      <c r="H292" s="3">
        <v>0.4</v>
      </c>
      <c r="I292" s="24">
        <f>H292*G292</f>
        <v>4974.1487627337237</v>
      </c>
      <c r="J292" s="100">
        <v>43822</v>
      </c>
      <c r="K292" s="209" t="s">
        <v>366</v>
      </c>
      <c r="L292" s="492"/>
      <c r="M292" s="31">
        <f>I292</f>
        <v>4974.1487627337237</v>
      </c>
      <c r="N292" s="119" t="s">
        <v>213</v>
      </c>
      <c r="O292" s="186" t="str">
        <f>+CONCATENATE(FIXED(F292*H292,2)," ","m2")</f>
        <v>6.043,49 m2</v>
      </c>
      <c r="P292" s="215" t="s">
        <v>213</v>
      </c>
      <c r="Q292" s="216" t="s">
        <v>213</v>
      </c>
      <c r="R292" s="216" t="s">
        <v>367</v>
      </c>
    </row>
    <row r="293" spans="1:18" s="33" customFormat="1" ht="150" customHeight="1" x14ac:dyDescent="0.3">
      <c r="A293" s="119" t="s">
        <v>368</v>
      </c>
      <c r="B293" s="498" t="s">
        <v>243</v>
      </c>
      <c r="C293" s="467"/>
      <c r="D293" s="23">
        <v>13905050471</v>
      </c>
      <c r="E293" s="69">
        <v>2020</v>
      </c>
      <c r="F293" s="69">
        <v>30823.94</v>
      </c>
      <c r="G293" s="24">
        <f>D293/(VLOOKUP(E293,$D$535:$E$566,2,FALSE))</f>
        <v>15840.741568438476</v>
      </c>
      <c r="H293" s="3">
        <v>0.35</v>
      </c>
      <c r="I293" s="24">
        <f>H293*G293</f>
        <v>5544.259548953466</v>
      </c>
      <c r="J293" s="100">
        <v>43840</v>
      </c>
      <c r="K293" s="209" t="s">
        <v>366</v>
      </c>
      <c r="L293" s="492"/>
      <c r="M293" s="31">
        <f>I293</f>
        <v>5544.259548953466</v>
      </c>
      <c r="N293" s="119" t="s">
        <v>213</v>
      </c>
      <c r="O293" s="214" t="str">
        <f>+CONCATENATE(FIXED(F293*H293,2)," ","m2")</f>
        <v>10.788,38 m2</v>
      </c>
      <c r="P293" s="216" t="s">
        <v>213</v>
      </c>
      <c r="Q293" s="216" t="s">
        <v>213</v>
      </c>
      <c r="R293" s="216"/>
    </row>
    <row r="294" spans="1:18" s="33" customFormat="1" ht="150" customHeight="1" x14ac:dyDescent="0.3">
      <c r="A294" s="119" t="s">
        <v>369</v>
      </c>
      <c r="B294" s="498"/>
      <c r="C294" s="467"/>
      <c r="D294" s="23"/>
      <c r="E294" s="69"/>
      <c r="F294" s="69"/>
      <c r="G294" s="24"/>
      <c r="H294" s="3"/>
      <c r="I294" s="24"/>
      <c r="J294" s="100"/>
      <c r="K294" s="30"/>
      <c r="L294" s="492"/>
      <c r="M294" s="31"/>
      <c r="N294" s="119"/>
      <c r="O294" s="214"/>
      <c r="P294" s="158"/>
      <c r="Q294" s="158"/>
      <c r="R294" s="158" t="s">
        <v>370</v>
      </c>
    </row>
    <row r="295" spans="1:18" s="33" customFormat="1" ht="48" customHeight="1" x14ac:dyDescent="0.3">
      <c r="A295" s="495" t="s">
        <v>249</v>
      </c>
      <c r="B295" s="485"/>
      <c r="C295" s="485"/>
      <c r="D295" s="485"/>
      <c r="E295" s="485"/>
      <c r="F295" s="485"/>
      <c r="G295" s="485"/>
      <c r="H295" s="486"/>
      <c r="I295" s="72">
        <f>SUM(I292:I294)</f>
        <v>10518.40831168719</v>
      </c>
      <c r="J295" s="487" t="s">
        <v>250</v>
      </c>
      <c r="K295" s="488"/>
      <c r="L295" s="488"/>
      <c r="M295" s="488"/>
      <c r="N295" s="489"/>
      <c r="O295" s="489"/>
      <c r="P295" s="509"/>
      <c r="Q295" s="161"/>
      <c r="R295" s="190" t="s">
        <v>213</v>
      </c>
    </row>
    <row r="296" spans="1:18" ht="15.6" x14ac:dyDescent="0.3">
      <c r="A296" s="4"/>
      <c r="B296" s="4"/>
      <c r="C296" s="4"/>
      <c r="D296" s="4"/>
      <c r="E296" s="4"/>
      <c r="F296" s="4"/>
      <c r="G296" s="4"/>
      <c r="H296" s="4"/>
      <c r="I296" s="4"/>
      <c r="J296" s="4"/>
      <c r="K296" s="4"/>
      <c r="L296" s="4"/>
      <c r="M296" s="4"/>
      <c r="N296" s="5"/>
      <c r="O296" s="5"/>
      <c r="P296" s="5"/>
      <c r="Q296" s="5"/>
      <c r="R296" s="5"/>
    </row>
    <row r="297" spans="1:18" ht="30.75" customHeight="1" thickBot="1" x14ac:dyDescent="0.35">
      <c r="A297" s="442">
        <f>A284+1</f>
        <v>23</v>
      </c>
      <c r="B297" s="443"/>
      <c r="C297" s="443"/>
      <c r="D297" s="444"/>
      <c r="E297" s="445" t="s">
        <v>134</v>
      </c>
      <c r="F297" s="446"/>
      <c r="G297" s="446"/>
      <c r="H297" s="446"/>
      <c r="I297" s="446"/>
      <c r="J297" s="446"/>
      <c r="K297" s="446"/>
      <c r="L297" s="446"/>
      <c r="M297" s="446"/>
      <c r="N297" s="446"/>
      <c r="O297" s="446"/>
      <c r="P297" s="446"/>
      <c r="Q297" s="446"/>
      <c r="R297" s="447"/>
    </row>
    <row r="298" spans="1:18" ht="50.25" customHeight="1" x14ac:dyDescent="0.3">
      <c r="A298" s="28" t="s">
        <v>215</v>
      </c>
      <c r="B298" s="85">
        <v>4</v>
      </c>
      <c r="C298" s="29" t="s">
        <v>216</v>
      </c>
      <c r="D298" s="68">
        <f>+$E$508</f>
        <v>1649.6083550000001</v>
      </c>
      <c r="E298" s="448"/>
      <c r="F298" s="449"/>
      <c r="G298" s="449"/>
      <c r="H298" s="449"/>
      <c r="I298" s="449"/>
      <c r="J298" s="449"/>
      <c r="K298" s="449"/>
      <c r="L298" s="449"/>
      <c r="M298" s="449"/>
      <c r="N298" s="449"/>
      <c r="O298" s="449"/>
      <c r="P298" s="449"/>
      <c r="Q298" s="449"/>
      <c r="R298" s="450"/>
    </row>
    <row r="299" spans="1:18" ht="30" customHeight="1" x14ac:dyDescent="0.3">
      <c r="A299" s="454" t="s">
        <v>217</v>
      </c>
      <c r="B299" s="455"/>
      <c r="C299" s="70">
        <f>IF(B298&lt;3,0.75,IF(B298&lt;5,1.2,1.5))</f>
        <v>1.2</v>
      </c>
      <c r="D299" s="71">
        <f>+D298*C299</f>
        <v>1979.5300259999999</v>
      </c>
      <c r="E299" s="448"/>
      <c r="F299" s="449"/>
      <c r="G299" s="449"/>
      <c r="H299" s="449"/>
      <c r="I299" s="449"/>
      <c r="J299" s="449"/>
      <c r="K299" s="449"/>
      <c r="L299" s="449"/>
      <c r="M299" s="449"/>
      <c r="N299" s="449"/>
      <c r="O299" s="449"/>
      <c r="P299" s="449"/>
      <c r="Q299" s="449"/>
      <c r="R299" s="450"/>
    </row>
    <row r="300" spans="1:18" ht="30" customHeight="1" x14ac:dyDescent="0.3">
      <c r="A300" s="456" t="s">
        <v>218</v>
      </c>
      <c r="B300" s="455"/>
      <c r="C300" s="457">
        <v>44832</v>
      </c>
      <c r="D300" s="458"/>
      <c r="E300" s="448"/>
      <c r="F300" s="449"/>
      <c r="G300" s="449"/>
      <c r="H300" s="449"/>
      <c r="I300" s="449"/>
      <c r="J300" s="449"/>
      <c r="K300" s="449"/>
      <c r="L300" s="449"/>
      <c r="M300" s="449"/>
      <c r="N300" s="449"/>
      <c r="O300" s="449"/>
      <c r="P300" s="449"/>
      <c r="Q300" s="449"/>
      <c r="R300" s="450"/>
    </row>
    <row r="301" spans="1:18" ht="30" customHeight="1" x14ac:dyDescent="0.3">
      <c r="A301" s="459" t="s">
        <v>219</v>
      </c>
      <c r="B301" s="460"/>
      <c r="C301" s="472" t="str">
        <f>+IF(I310&gt;D299,"CUMPLE","NO CUMPLE")</f>
        <v>CUMPLE</v>
      </c>
      <c r="D301" s="473"/>
      <c r="E301" s="451"/>
      <c r="F301" s="452"/>
      <c r="G301" s="452"/>
      <c r="H301" s="452"/>
      <c r="I301" s="452"/>
      <c r="J301" s="452"/>
      <c r="K301" s="452"/>
      <c r="L301" s="452"/>
      <c r="M301" s="452"/>
      <c r="N301" s="452"/>
      <c r="O301" s="452"/>
      <c r="P301" s="452"/>
      <c r="Q301" s="452"/>
      <c r="R301" s="453"/>
    </row>
    <row r="302" spans="1:18" ht="55.5" customHeight="1" x14ac:dyDescent="0.3">
      <c r="A302" s="474" t="s">
        <v>220</v>
      </c>
      <c r="B302" s="475"/>
      <c r="C302" s="475"/>
      <c r="D302" s="475"/>
      <c r="E302" s="475"/>
      <c r="F302" s="475"/>
      <c r="G302" s="475"/>
      <c r="H302" s="475"/>
      <c r="I302" s="476"/>
      <c r="J302" s="81" t="s">
        <v>221</v>
      </c>
      <c r="K302" s="103" t="s">
        <v>222</v>
      </c>
      <c r="L302" s="477" t="s">
        <v>223</v>
      </c>
      <c r="M302" s="476"/>
      <c r="N302" s="478" t="s">
        <v>224</v>
      </c>
      <c r="O302" s="480" t="s">
        <v>225</v>
      </c>
      <c r="P302" s="481"/>
      <c r="Q302" s="478" t="s">
        <v>226</v>
      </c>
      <c r="R302" s="461" t="s">
        <v>227</v>
      </c>
    </row>
    <row r="303" spans="1:18" ht="77.25" customHeight="1" x14ac:dyDescent="0.3">
      <c r="A303" s="82" t="s">
        <v>228</v>
      </c>
      <c r="B303" s="463" t="s">
        <v>229</v>
      </c>
      <c r="C303" s="464"/>
      <c r="D303" s="83" t="s">
        <v>230</v>
      </c>
      <c r="E303" s="83" t="s">
        <v>231</v>
      </c>
      <c r="F303" s="83" t="s">
        <v>232</v>
      </c>
      <c r="G303" s="83" t="s">
        <v>233</v>
      </c>
      <c r="H303" s="116" t="s">
        <v>234</v>
      </c>
      <c r="I303" s="116" t="s">
        <v>235</v>
      </c>
      <c r="J303" s="84" t="s">
        <v>236</v>
      </c>
      <c r="K303" s="84" t="s">
        <v>237</v>
      </c>
      <c r="L303" s="191" t="s">
        <v>238</v>
      </c>
      <c r="M303" s="84" t="s">
        <v>239</v>
      </c>
      <c r="N303" s="479"/>
      <c r="O303" s="482"/>
      <c r="P303" s="483"/>
      <c r="Q303" s="479"/>
      <c r="R303" s="462"/>
    </row>
    <row r="304" spans="1:18" ht="39.9" customHeight="1" x14ac:dyDescent="0.3">
      <c r="A304" s="213" t="s">
        <v>138</v>
      </c>
      <c r="B304" s="159"/>
      <c r="C304" s="159"/>
      <c r="D304" s="159"/>
      <c r="E304" s="159"/>
      <c r="F304" s="159"/>
      <c r="G304" s="159"/>
      <c r="H304" s="159"/>
      <c r="I304" s="159"/>
      <c r="J304" s="159"/>
      <c r="K304" s="159"/>
      <c r="L304" s="510" t="s">
        <v>138</v>
      </c>
      <c r="M304" s="159"/>
      <c r="N304" s="159"/>
      <c r="O304" s="202" t="s">
        <v>241</v>
      </c>
      <c r="P304" s="159"/>
      <c r="Q304" s="159"/>
      <c r="R304" s="188"/>
    </row>
    <row r="305" spans="1:18" s="33" customFormat="1" ht="246" customHeight="1" x14ac:dyDescent="0.3">
      <c r="A305" s="150" t="s">
        <v>371</v>
      </c>
      <c r="B305" s="514" t="s">
        <v>243</v>
      </c>
      <c r="C305" s="514"/>
      <c r="D305" s="204">
        <v>7873213783</v>
      </c>
      <c r="E305" s="205">
        <v>2001</v>
      </c>
      <c r="F305" s="205">
        <v>12029</v>
      </c>
      <c r="G305" s="206">
        <f>D305/(VLOOKUP(E305,$D$535:$E$566,2,FALSE))</f>
        <v>27528.719520979022</v>
      </c>
      <c r="H305" s="207">
        <v>0.54</v>
      </c>
      <c r="I305" s="206">
        <f>H305*G305</f>
        <v>14865.508541328672</v>
      </c>
      <c r="J305" s="208">
        <v>37163</v>
      </c>
      <c r="K305" s="209" t="s">
        <v>372</v>
      </c>
      <c r="L305" s="511"/>
      <c r="M305" s="200">
        <f>I305</f>
        <v>14865.508541328672</v>
      </c>
      <c r="N305" s="158" t="s">
        <v>213</v>
      </c>
      <c r="O305" s="201" t="str">
        <f>+CONCATENATE(FIXED(F305*H305,2)," ","m2")</f>
        <v>6.495,66 m2</v>
      </c>
      <c r="P305" s="158" t="s">
        <v>213</v>
      </c>
      <c r="Q305" s="158" t="s">
        <v>213</v>
      </c>
      <c r="R305" s="158"/>
    </row>
    <row r="306" spans="1:18" s="33" customFormat="1" ht="150" customHeight="1" x14ac:dyDescent="0.3">
      <c r="A306" s="203" t="s">
        <v>373</v>
      </c>
      <c r="B306" s="514" t="s">
        <v>243</v>
      </c>
      <c r="C306" s="514"/>
      <c r="D306" s="204">
        <v>860303344.26999998</v>
      </c>
      <c r="E306" s="205">
        <v>2000</v>
      </c>
      <c r="F306" s="205"/>
      <c r="G306" s="206">
        <f>D306/(VLOOKUP(E306,$D$535:$E$566,2,FALSE))</f>
        <v>3307.5868676278355</v>
      </c>
      <c r="H306" s="210">
        <v>1</v>
      </c>
      <c r="I306" s="206"/>
      <c r="J306" s="208">
        <v>36696</v>
      </c>
      <c r="K306" s="209" t="s">
        <v>374</v>
      </c>
      <c r="L306" s="511"/>
      <c r="M306" s="200">
        <f t="shared" ref="M306:M308" si="7">I306</f>
        <v>0</v>
      </c>
      <c r="N306" s="158" t="s">
        <v>213</v>
      </c>
      <c r="O306" s="201"/>
      <c r="P306" s="158"/>
      <c r="Q306" s="158"/>
      <c r="R306" s="158" t="s">
        <v>375</v>
      </c>
    </row>
    <row r="307" spans="1:18" ht="39.9" customHeight="1" x14ac:dyDescent="0.3">
      <c r="A307" s="515" t="s">
        <v>136</v>
      </c>
      <c r="B307" s="516"/>
      <c r="C307" s="516"/>
      <c r="D307" s="516"/>
      <c r="E307" s="516"/>
      <c r="F307" s="516"/>
      <c r="G307" s="516"/>
      <c r="H307" s="516"/>
      <c r="I307" s="516"/>
      <c r="J307" s="516"/>
      <c r="K307" s="517"/>
      <c r="L307" s="512"/>
      <c r="M307" s="212"/>
      <c r="N307" s="211"/>
      <c r="O307" s="211"/>
      <c r="P307" s="211"/>
      <c r="Q307" s="160"/>
      <c r="R307" s="189"/>
    </row>
    <row r="308" spans="1:18" s="33" customFormat="1" ht="150" customHeight="1" x14ac:dyDescent="0.3">
      <c r="A308" s="150" t="s">
        <v>376</v>
      </c>
      <c r="B308" s="498" t="s">
        <v>377</v>
      </c>
      <c r="C308" s="467"/>
      <c r="D308" s="23">
        <v>2870206082</v>
      </c>
      <c r="E308" s="69">
        <v>2016</v>
      </c>
      <c r="F308" s="69"/>
      <c r="G308" s="24">
        <f t="shared" ref="G308" si="8">D308/(VLOOKUP(E308,$D$535:$E$566,2,FALSE))</f>
        <v>4163.0071317199818</v>
      </c>
      <c r="H308" s="3">
        <v>0.25</v>
      </c>
      <c r="I308" s="24"/>
      <c r="J308" s="100">
        <v>42417</v>
      </c>
      <c r="K308" s="30" t="s">
        <v>378</v>
      </c>
      <c r="L308" s="512"/>
      <c r="M308" s="31">
        <f t="shared" si="7"/>
        <v>0</v>
      </c>
      <c r="N308" s="119" t="s">
        <v>213</v>
      </c>
      <c r="O308" s="186"/>
      <c r="P308" s="150"/>
      <c r="Q308" s="158" t="s">
        <v>213</v>
      </c>
      <c r="R308" s="158" t="s">
        <v>379</v>
      </c>
    </row>
    <row r="309" spans="1:18" s="33" customFormat="1" ht="150" customHeight="1" x14ac:dyDescent="0.3">
      <c r="A309" s="119" t="s">
        <v>380</v>
      </c>
      <c r="B309" s="498" t="s">
        <v>377</v>
      </c>
      <c r="C309" s="467"/>
      <c r="D309" s="23">
        <v>3304254990</v>
      </c>
      <c r="E309" s="69">
        <v>2016</v>
      </c>
      <c r="F309" s="69">
        <f>1474.7+5857.31+852.65</f>
        <v>8184.66</v>
      </c>
      <c r="G309" s="24">
        <f>D309/(VLOOKUP(E309,$D$535:$E$566,2,FALSE))</f>
        <v>4792.5607762653108</v>
      </c>
      <c r="H309" s="3">
        <v>0.33</v>
      </c>
      <c r="I309" s="24">
        <f>H309*G309</f>
        <v>1581.5450561675527</v>
      </c>
      <c r="J309" s="100">
        <v>42486</v>
      </c>
      <c r="K309" s="30"/>
      <c r="L309" s="513"/>
      <c r="M309" s="31">
        <f>I309</f>
        <v>1581.5450561675527</v>
      </c>
      <c r="N309" s="119" t="s">
        <v>213</v>
      </c>
      <c r="O309" s="186" t="str">
        <f>+CONCATENATE(FIXED(F309*H309,2)," ","m2")</f>
        <v>2.700,94 m2</v>
      </c>
      <c r="P309" s="150" t="s">
        <v>213</v>
      </c>
      <c r="Q309" s="158" t="s">
        <v>213</v>
      </c>
      <c r="R309" s="158" t="s">
        <v>381</v>
      </c>
    </row>
    <row r="310" spans="1:18" s="33" customFormat="1" ht="48" customHeight="1" x14ac:dyDescent="0.3">
      <c r="A310" s="495" t="s">
        <v>249</v>
      </c>
      <c r="B310" s="485"/>
      <c r="C310" s="485"/>
      <c r="D310" s="485"/>
      <c r="E310" s="485"/>
      <c r="F310" s="485"/>
      <c r="G310" s="485"/>
      <c r="H310" s="486"/>
      <c r="I310" s="72">
        <f>SUM(I305:I309)</f>
        <v>16447.053597496226</v>
      </c>
      <c r="J310" s="487" t="s">
        <v>250</v>
      </c>
      <c r="K310" s="488"/>
      <c r="L310" s="489"/>
      <c r="M310" s="488"/>
      <c r="N310" s="488"/>
      <c r="O310" s="488"/>
      <c r="P310" s="490"/>
      <c r="Q310" s="161"/>
      <c r="R310" s="190" t="s">
        <v>213</v>
      </c>
    </row>
    <row r="311" spans="1:18" ht="16.2" thickBot="1" x14ac:dyDescent="0.35">
      <c r="A311" s="4"/>
      <c r="B311" s="4"/>
      <c r="C311" s="4"/>
      <c r="D311" s="4"/>
      <c r="E311" s="4"/>
      <c r="F311" s="4"/>
      <c r="G311" s="4"/>
      <c r="H311" s="4"/>
      <c r="I311" s="4"/>
      <c r="J311" s="4"/>
      <c r="K311" s="4"/>
      <c r="L311" s="4"/>
      <c r="M311" s="4"/>
      <c r="N311" s="5"/>
      <c r="O311" s="5"/>
      <c r="P311" s="5"/>
      <c r="Q311" s="5"/>
      <c r="R311" s="5"/>
    </row>
    <row r="312" spans="1:18" ht="30.75" customHeight="1" thickBot="1" x14ac:dyDescent="0.35">
      <c r="A312" s="442">
        <f>A297+1</f>
        <v>24</v>
      </c>
      <c r="B312" s="443"/>
      <c r="C312" s="443"/>
      <c r="D312" s="444"/>
      <c r="E312" s="445" t="str">
        <f>VLOOKUP(A312,'LISTA DE OFERENTES'!$A$6:$B$38,2,FALSE)</f>
        <v>BYR CONSTRUCCIONES SAS</v>
      </c>
      <c r="F312" s="446"/>
      <c r="G312" s="446"/>
      <c r="H312" s="446"/>
      <c r="I312" s="446"/>
      <c r="J312" s="446"/>
      <c r="K312" s="446"/>
      <c r="L312" s="446"/>
      <c r="M312" s="446"/>
      <c r="N312" s="446"/>
      <c r="O312" s="446"/>
      <c r="P312" s="446"/>
      <c r="Q312" s="446"/>
      <c r="R312" s="447"/>
    </row>
    <row r="313" spans="1:18" ht="50.25" customHeight="1" x14ac:dyDescent="0.3">
      <c r="A313" s="28" t="s">
        <v>215</v>
      </c>
      <c r="B313" s="85">
        <v>2</v>
      </c>
      <c r="C313" s="29" t="s">
        <v>216</v>
      </c>
      <c r="D313" s="68">
        <f>+$E$508</f>
        <v>1649.6083550000001</v>
      </c>
      <c r="E313" s="448"/>
      <c r="F313" s="449"/>
      <c r="G313" s="449"/>
      <c r="H313" s="449"/>
      <c r="I313" s="449"/>
      <c r="J313" s="449"/>
      <c r="K313" s="449"/>
      <c r="L313" s="449"/>
      <c r="M313" s="449"/>
      <c r="N313" s="449"/>
      <c r="O313" s="449"/>
      <c r="P313" s="449"/>
      <c r="Q313" s="449"/>
      <c r="R313" s="450"/>
    </row>
    <row r="314" spans="1:18" ht="30" customHeight="1" x14ac:dyDescent="0.3">
      <c r="A314" s="454" t="s">
        <v>217</v>
      </c>
      <c r="B314" s="455"/>
      <c r="C314" s="70">
        <f>IF(B313&lt;3,0.75,IF(B313&lt;5,1.2,1.5))</f>
        <v>0.75</v>
      </c>
      <c r="D314" s="71">
        <f>+D313*C314</f>
        <v>1237.20626625</v>
      </c>
      <c r="E314" s="448"/>
      <c r="F314" s="449"/>
      <c r="G314" s="449"/>
      <c r="H314" s="449"/>
      <c r="I314" s="449"/>
      <c r="J314" s="449"/>
      <c r="K314" s="449"/>
      <c r="L314" s="449"/>
      <c r="M314" s="449"/>
      <c r="N314" s="449"/>
      <c r="O314" s="449"/>
      <c r="P314" s="449"/>
      <c r="Q314" s="449"/>
      <c r="R314" s="450"/>
    </row>
    <row r="315" spans="1:18" ht="30" customHeight="1" x14ac:dyDescent="0.3">
      <c r="A315" s="456" t="s">
        <v>218</v>
      </c>
      <c r="B315" s="455"/>
      <c r="C315" s="457">
        <v>44832</v>
      </c>
      <c r="D315" s="458"/>
      <c r="E315" s="448"/>
      <c r="F315" s="449"/>
      <c r="G315" s="449"/>
      <c r="H315" s="449"/>
      <c r="I315" s="449"/>
      <c r="J315" s="449"/>
      <c r="K315" s="449"/>
      <c r="L315" s="449"/>
      <c r="M315" s="449"/>
      <c r="N315" s="449"/>
      <c r="O315" s="449"/>
      <c r="P315" s="449"/>
      <c r="Q315" s="449"/>
      <c r="R315" s="450"/>
    </row>
    <row r="316" spans="1:18" ht="30" customHeight="1" x14ac:dyDescent="0.3">
      <c r="A316" s="459" t="s">
        <v>219</v>
      </c>
      <c r="B316" s="460"/>
      <c r="C316" s="472" t="str">
        <f>+IF(I322&gt;D314,"CUMPLE","NO CUMPLE")</f>
        <v>CUMPLE</v>
      </c>
      <c r="D316" s="473"/>
      <c r="E316" s="451"/>
      <c r="F316" s="452"/>
      <c r="G316" s="452"/>
      <c r="H316" s="452"/>
      <c r="I316" s="452"/>
      <c r="J316" s="452"/>
      <c r="K316" s="452"/>
      <c r="L316" s="452"/>
      <c r="M316" s="452"/>
      <c r="N316" s="452"/>
      <c r="O316" s="452"/>
      <c r="P316" s="452"/>
      <c r="Q316" s="452"/>
      <c r="R316" s="453"/>
    </row>
    <row r="317" spans="1:18" ht="55.5" customHeight="1" x14ac:dyDescent="0.3">
      <c r="A317" s="474" t="s">
        <v>220</v>
      </c>
      <c r="B317" s="475"/>
      <c r="C317" s="475"/>
      <c r="D317" s="475"/>
      <c r="E317" s="475"/>
      <c r="F317" s="475"/>
      <c r="G317" s="475"/>
      <c r="H317" s="475"/>
      <c r="I317" s="476"/>
      <c r="J317" s="81" t="s">
        <v>221</v>
      </c>
      <c r="K317" s="103" t="s">
        <v>222</v>
      </c>
      <c r="L317" s="477" t="s">
        <v>223</v>
      </c>
      <c r="M317" s="476"/>
      <c r="N317" s="478" t="s">
        <v>224</v>
      </c>
      <c r="O317" s="480" t="s">
        <v>225</v>
      </c>
      <c r="P317" s="481"/>
      <c r="Q317" s="478" t="s">
        <v>226</v>
      </c>
      <c r="R317" s="461" t="s">
        <v>227</v>
      </c>
    </row>
    <row r="318" spans="1:18" ht="77.25" customHeight="1" x14ac:dyDescent="0.3">
      <c r="A318" s="82" t="s">
        <v>228</v>
      </c>
      <c r="B318" s="463" t="s">
        <v>229</v>
      </c>
      <c r="C318" s="464"/>
      <c r="D318" s="83" t="s">
        <v>230</v>
      </c>
      <c r="E318" s="83" t="s">
        <v>231</v>
      </c>
      <c r="F318" s="83" t="s">
        <v>232</v>
      </c>
      <c r="G318" s="83" t="s">
        <v>233</v>
      </c>
      <c r="H318" s="116" t="s">
        <v>234</v>
      </c>
      <c r="I318" s="116" t="s">
        <v>235</v>
      </c>
      <c r="J318" s="84" t="s">
        <v>236</v>
      </c>
      <c r="K318" s="84" t="s">
        <v>237</v>
      </c>
      <c r="L318" s="191" t="s">
        <v>238</v>
      </c>
      <c r="M318" s="84" t="s">
        <v>239</v>
      </c>
      <c r="N318" s="479"/>
      <c r="O318" s="482"/>
      <c r="P318" s="483"/>
      <c r="Q318" s="479"/>
      <c r="R318" s="462"/>
    </row>
    <row r="319" spans="1:18" ht="39.9" customHeight="1" x14ac:dyDescent="0.3">
      <c r="A319" s="86" t="str">
        <f>+'LISTA DE OFERENTES'!B29</f>
        <v>BYR CONSTRUCCIONES SAS</v>
      </c>
      <c r="B319" s="87"/>
      <c r="C319" s="87"/>
      <c r="D319" s="87"/>
      <c r="E319" s="87"/>
      <c r="F319" s="87"/>
      <c r="G319" s="87"/>
      <c r="H319" s="87"/>
      <c r="I319" s="87"/>
      <c r="J319" s="87"/>
      <c r="K319" s="87"/>
      <c r="L319" s="504" t="str">
        <f>+A319</f>
        <v>BYR CONSTRUCCIONES SAS</v>
      </c>
      <c r="M319" s="87"/>
      <c r="N319" s="87"/>
      <c r="O319" s="162" t="s">
        <v>241</v>
      </c>
      <c r="P319" s="87"/>
      <c r="Q319" s="159"/>
      <c r="R319" s="188"/>
    </row>
    <row r="320" spans="1:18" s="33" customFormat="1" ht="150" customHeight="1" x14ac:dyDescent="0.3">
      <c r="A320" s="219" t="s">
        <v>382</v>
      </c>
      <c r="B320" s="518" t="s">
        <v>383</v>
      </c>
      <c r="C320" s="519"/>
      <c r="D320" s="220">
        <v>24701374844</v>
      </c>
      <c r="E320" s="221">
        <v>2016</v>
      </c>
      <c r="F320" s="221">
        <f>2486.84+782.71+1202.33+1457.3+65.76+725.42+4746.71+731.96+976.44</f>
        <v>13175.47</v>
      </c>
      <c r="G320" s="218">
        <f>D320/(VLOOKUP(E320,$D$535:$E$566,2,FALSE))</f>
        <v>35827.392424451195</v>
      </c>
      <c r="H320" s="222">
        <v>0.25</v>
      </c>
      <c r="I320" s="218">
        <f>H320*G320</f>
        <v>8956.8481061127986</v>
      </c>
      <c r="J320" s="223">
        <v>42666</v>
      </c>
      <c r="K320" s="224" t="s">
        <v>384</v>
      </c>
      <c r="L320" s="504"/>
      <c r="M320" s="225">
        <f>I320</f>
        <v>8956.8481061127986</v>
      </c>
      <c r="N320" s="219" t="s">
        <v>213</v>
      </c>
      <c r="O320" s="226" t="str">
        <f>+CONCATENATE(FIXED(F320*H320,2)," ","m2")</f>
        <v>3.293,87 m2</v>
      </c>
      <c r="P320" s="215" t="s">
        <v>213</v>
      </c>
      <c r="Q320" s="216" t="s">
        <v>213</v>
      </c>
      <c r="R320" s="216" t="s">
        <v>385</v>
      </c>
    </row>
    <row r="321" spans="1:18" s="33" customFormat="1" ht="150" customHeight="1" x14ac:dyDescent="0.3">
      <c r="A321" s="158" t="s">
        <v>386</v>
      </c>
      <c r="B321" s="520" t="s">
        <v>387</v>
      </c>
      <c r="C321" s="521"/>
      <c r="D321" s="204">
        <v>1407023420</v>
      </c>
      <c r="E321" s="205">
        <v>2016</v>
      </c>
      <c r="F321" s="228">
        <f>184.58+241.2+9171.03+142.74+45.09+5.3+24.47+24.65+15.8+288.01</f>
        <v>10142.869999999999</v>
      </c>
      <c r="G321" s="206">
        <f>D321/(VLOOKUP(E321,$D$535:$E$566,2,FALSE))</f>
        <v>2040.7762943194261</v>
      </c>
      <c r="H321" s="229">
        <v>0.5</v>
      </c>
      <c r="I321" s="206">
        <f>H321*G321</f>
        <v>1020.3881471597131</v>
      </c>
      <c r="J321" s="230">
        <v>42477</v>
      </c>
      <c r="K321" s="224" t="s">
        <v>384</v>
      </c>
      <c r="L321" s="504"/>
      <c r="M321" s="225">
        <f>I321</f>
        <v>1020.3881471597131</v>
      </c>
      <c r="N321" s="158" t="s">
        <v>213</v>
      </c>
      <c r="O321" s="226" t="str">
        <f>+CONCATENATE(FIXED(F321*H321,2)," ","m2")</f>
        <v>5.071,44 m2</v>
      </c>
      <c r="P321" s="158" t="s">
        <v>213</v>
      </c>
      <c r="Q321" s="158" t="s">
        <v>213</v>
      </c>
      <c r="R321" s="216" t="s">
        <v>388</v>
      </c>
    </row>
    <row r="322" spans="1:18" s="33" customFormat="1" ht="48" customHeight="1" x14ac:dyDescent="0.3">
      <c r="A322" s="484" t="s">
        <v>249</v>
      </c>
      <c r="B322" s="522"/>
      <c r="C322" s="522"/>
      <c r="D322" s="522"/>
      <c r="E322" s="522"/>
      <c r="F322" s="522"/>
      <c r="G322" s="522"/>
      <c r="H322" s="523"/>
      <c r="I322" s="227">
        <f>+I320+I321</f>
        <v>9977.236253272511</v>
      </c>
      <c r="J322" s="524" t="s">
        <v>250</v>
      </c>
      <c r="K322" s="525"/>
      <c r="L322" s="489"/>
      <c r="M322" s="525"/>
      <c r="N322" s="525"/>
      <c r="O322" s="525"/>
      <c r="P322" s="526"/>
      <c r="Q322" s="161"/>
      <c r="R322" s="190" t="s">
        <v>213</v>
      </c>
    </row>
    <row r="323" spans="1:18" ht="15.75" customHeight="1" x14ac:dyDescent="0.3">
      <c r="A323" s="4"/>
      <c r="B323" s="4"/>
      <c r="C323" s="120"/>
      <c r="D323" s="120"/>
      <c r="E323" s="120"/>
      <c r="F323" s="120"/>
      <c r="G323" s="120"/>
      <c r="H323" s="120"/>
      <c r="I323" s="120"/>
      <c r="J323" s="120"/>
      <c r="K323" s="120"/>
      <c r="L323" s="120"/>
      <c r="M323" s="120"/>
      <c r="N323" s="120"/>
      <c r="O323" s="120"/>
      <c r="P323" s="120"/>
      <c r="Q323" s="120"/>
      <c r="R323" s="5"/>
    </row>
    <row r="324" spans="1:18" ht="30.75" customHeight="1" x14ac:dyDescent="0.3">
      <c r="A324" s="442">
        <f>A312+1</f>
        <v>25</v>
      </c>
      <c r="B324" s="443"/>
      <c r="C324" s="443"/>
      <c r="D324" s="444"/>
      <c r="E324" s="445" t="str">
        <f>VLOOKUP(A324,'LISTA DE OFERENTES'!$A$6:$B$38,2,FALSE)</f>
        <v>CONSORCIO PANORAMA</v>
      </c>
      <c r="F324" s="446"/>
      <c r="G324" s="446"/>
      <c r="H324" s="446"/>
      <c r="I324" s="446"/>
      <c r="J324" s="446"/>
      <c r="K324" s="446"/>
      <c r="L324" s="446"/>
      <c r="M324" s="446"/>
      <c r="N324" s="446"/>
      <c r="O324" s="446"/>
      <c r="P324" s="446"/>
      <c r="Q324" s="446"/>
      <c r="R324" s="447"/>
    </row>
    <row r="325" spans="1:18" ht="50.25" customHeight="1" x14ac:dyDescent="0.3">
      <c r="A325" s="28" t="s">
        <v>215</v>
      </c>
      <c r="B325" s="85">
        <v>6</v>
      </c>
      <c r="C325" s="29" t="s">
        <v>216</v>
      </c>
      <c r="D325" s="68">
        <f>+$E$508</f>
        <v>1649.6083550000001</v>
      </c>
      <c r="E325" s="448"/>
      <c r="F325" s="449"/>
      <c r="G325" s="449"/>
      <c r="H325" s="449"/>
      <c r="I325" s="449"/>
      <c r="J325" s="449"/>
      <c r="K325" s="449"/>
      <c r="L325" s="449"/>
      <c r="M325" s="449"/>
      <c r="N325" s="449"/>
      <c r="O325" s="449"/>
      <c r="P325" s="449"/>
      <c r="Q325" s="449"/>
      <c r="R325" s="450"/>
    </row>
    <row r="326" spans="1:18" ht="30" customHeight="1" x14ac:dyDescent="0.3">
      <c r="A326" s="454" t="s">
        <v>217</v>
      </c>
      <c r="B326" s="455"/>
      <c r="C326" s="70">
        <f>IF(B325&lt;3,0.75,IF(B325&lt;5,1.2,1.5))</f>
        <v>1.5</v>
      </c>
      <c r="D326" s="71">
        <f>+D325*C326</f>
        <v>2474.4125325</v>
      </c>
      <c r="E326" s="448"/>
      <c r="F326" s="449"/>
      <c r="G326" s="449"/>
      <c r="H326" s="449"/>
      <c r="I326" s="449"/>
      <c r="J326" s="449"/>
      <c r="K326" s="449"/>
      <c r="L326" s="449"/>
      <c r="M326" s="449"/>
      <c r="N326" s="449"/>
      <c r="O326" s="449"/>
      <c r="P326" s="449"/>
      <c r="Q326" s="449"/>
      <c r="R326" s="450"/>
    </row>
    <row r="327" spans="1:18" ht="30" customHeight="1" x14ac:dyDescent="0.3">
      <c r="A327" s="456" t="s">
        <v>218</v>
      </c>
      <c r="B327" s="455"/>
      <c r="C327" s="457">
        <v>44832</v>
      </c>
      <c r="D327" s="458"/>
      <c r="E327" s="448"/>
      <c r="F327" s="449"/>
      <c r="G327" s="449"/>
      <c r="H327" s="449"/>
      <c r="I327" s="449"/>
      <c r="J327" s="449"/>
      <c r="K327" s="449"/>
      <c r="L327" s="449"/>
      <c r="M327" s="449"/>
      <c r="N327" s="449"/>
      <c r="O327" s="449"/>
      <c r="P327" s="449"/>
      <c r="Q327" s="449"/>
      <c r="R327" s="450"/>
    </row>
    <row r="328" spans="1:18" ht="30" customHeight="1" x14ac:dyDescent="0.3">
      <c r="A328" s="459" t="s">
        <v>219</v>
      </c>
      <c r="B328" s="460"/>
      <c r="C328" s="472" t="str">
        <f>+IF(I339&gt;D326,"CUMPLE","NO CUMPLE")</f>
        <v>CUMPLE</v>
      </c>
      <c r="D328" s="473"/>
      <c r="E328" s="451"/>
      <c r="F328" s="452"/>
      <c r="G328" s="452"/>
      <c r="H328" s="452"/>
      <c r="I328" s="452"/>
      <c r="J328" s="452"/>
      <c r="K328" s="452"/>
      <c r="L328" s="452"/>
      <c r="M328" s="452"/>
      <c r="N328" s="452"/>
      <c r="O328" s="452"/>
      <c r="P328" s="452"/>
      <c r="Q328" s="452"/>
      <c r="R328" s="453"/>
    </row>
    <row r="329" spans="1:18" ht="55.5" customHeight="1" x14ac:dyDescent="0.3">
      <c r="A329" s="474" t="s">
        <v>220</v>
      </c>
      <c r="B329" s="475"/>
      <c r="C329" s="475"/>
      <c r="D329" s="475"/>
      <c r="E329" s="475"/>
      <c r="F329" s="475"/>
      <c r="G329" s="475"/>
      <c r="H329" s="475"/>
      <c r="I329" s="476"/>
      <c r="J329" s="81" t="s">
        <v>221</v>
      </c>
      <c r="K329" s="103" t="s">
        <v>222</v>
      </c>
      <c r="L329" s="477" t="s">
        <v>223</v>
      </c>
      <c r="M329" s="476"/>
      <c r="N329" s="478" t="s">
        <v>224</v>
      </c>
      <c r="O329" s="480" t="s">
        <v>225</v>
      </c>
      <c r="P329" s="481"/>
      <c r="Q329" s="478" t="s">
        <v>226</v>
      </c>
      <c r="R329" s="461" t="s">
        <v>227</v>
      </c>
    </row>
    <row r="330" spans="1:18" ht="77.25" customHeight="1" x14ac:dyDescent="0.3">
      <c r="A330" s="82" t="s">
        <v>228</v>
      </c>
      <c r="B330" s="463" t="s">
        <v>229</v>
      </c>
      <c r="C330" s="464"/>
      <c r="D330" s="83" t="s">
        <v>230</v>
      </c>
      <c r="E330" s="83" t="s">
        <v>231</v>
      </c>
      <c r="F330" s="83" t="s">
        <v>232</v>
      </c>
      <c r="G330" s="83" t="s">
        <v>233</v>
      </c>
      <c r="H330" s="116" t="s">
        <v>234</v>
      </c>
      <c r="I330" s="116" t="s">
        <v>235</v>
      </c>
      <c r="J330" s="84" t="s">
        <v>236</v>
      </c>
      <c r="K330" s="84" t="s">
        <v>237</v>
      </c>
      <c r="L330" s="84" t="s">
        <v>238</v>
      </c>
      <c r="M330" s="84" t="s">
        <v>239</v>
      </c>
      <c r="N330" s="479"/>
      <c r="O330" s="482"/>
      <c r="P330" s="483"/>
      <c r="Q330" s="479"/>
      <c r="R330" s="462"/>
    </row>
    <row r="331" spans="1:18" ht="39.9" customHeight="1" x14ac:dyDescent="0.3">
      <c r="A331" s="86" t="str">
        <f>+'LISTA DE OFERENTES'!G30</f>
        <v>INCIVIAS SAS</v>
      </c>
      <c r="B331" s="87"/>
      <c r="C331" s="87"/>
      <c r="D331" s="87"/>
      <c r="E331" s="87"/>
      <c r="F331" s="87"/>
      <c r="G331" s="87"/>
      <c r="H331" s="87"/>
      <c r="I331" s="87"/>
      <c r="J331" s="87"/>
      <c r="K331" s="87"/>
      <c r="L331" s="491" t="str">
        <f>A331</f>
        <v>INCIVIAS SAS</v>
      </c>
      <c r="M331" s="87"/>
      <c r="N331" s="87"/>
      <c r="O331" s="162" t="s">
        <v>241</v>
      </c>
      <c r="P331" s="87"/>
      <c r="Q331" s="159"/>
      <c r="R331" s="188"/>
    </row>
    <row r="332" spans="1:18" s="33" customFormat="1" ht="150" customHeight="1" x14ac:dyDescent="0.3">
      <c r="A332" s="158" t="s">
        <v>389</v>
      </c>
      <c r="B332" s="498" t="s">
        <v>243</v>
      </c>
      <c r="C332" s="467"/>
      <c r="D332" s="23">
        <v>1544811565</v>
      </c>
      <c r="E332" s="69">
        <v>2019</v>
      </c>
      <c r="F332" s="69"/>
      <c r="G332" s="24">
        <f>D332/(VLOOKUP(E332,$D$535:$E$566,2,FALSE))</f>
        <v>1865.453106811123</v>
      </c>
      <c r="H332" s="3">
        <v>0.22</v>
      </c>
      <c r="I332" s="24">
        <f>H332*G332</f>
        <v>410.39968349844708</v>
      </c>
      <c r="J332" s="100">
        <v>43700</v>
      </c>
      <c r="K332" s="30" t="s">
        <v>390</v>
      </c>
      <c r="L332" s="492"/>
      <c r="M332" s="31">
        <f>I332</f>
        <v>410.39968349844708</v>
      </c>
      <c r="N332" s="119" t="s">
        <v>213</v>
      </c>
      <c r="O332" s="186"/>
      <c r="P332" s="150"/>
      <c r="Q332" s="216" t="s">
        <v>213</v>
      </c>
      <c r="R332" s="216" t="s">
        <v>391</v>
      </c>
    </row>
    <row r="333" spans="1:18" s="33" customFormat="1" ht="150" customHeight="1" x14ac:dyDescent="0.3">
      <c r="A333" s="263" t="s">
        <v>392</v>
      </c>
      <c r="B333" s="498" t="s">
        <v>243</v>
      </c>
      <c r="C333" s="467"/>
      <c r="D333" s="23">
        <v>3087313076</v>
      </c>
      <c r="E333" s="69">
        <v>2019</v>
      </c>
      <c r="F333" s="69">
        <v>2426.58</v>
      </c>
      <c r="G333" s="24">
        <f>D333/(VLOOKUP(E333,$D$535:$E$566,2,FALSE))</f>
        <v>3728.1166841360391</v>
      </c>
      <c r="H333" s="3">
        <v>0.72</v>
      </c>
      <c r="I333" s="24">
        <f>H333*G333</f>
        <v>2684.2440125779481</v>
      </c>
      <c r="J333" s="100">
        <v>43819</v>
      </c>
      <c r="K333" s="30" t="s">
        <v>393</v>
      </c>
      <c r="L333" s="492"/>
      <c r="M333" s="31">
        <f>I333</f>
        <v>2684.2440125779481</v>
      </c>
      <c r="N333" s="119" t="s">
        <v>213</v>
      </c>
      <c r="O333" s="226" t="str">
        <f>+CONCATENATE(FIXED(F333*H333,2)," ","m2")</f>
        <v>1.747,14 m2</v>
      </c>
      <c r="P333" s="150" t="s">
        <v>214</v>
      </c>
      <c r="Q333" s="216" t="s">
        <v>213</v>
      </c>
      <c r="R333" s="216" t="s">
        <v>394</v>
      </c>
    </row>
    <row r="334" spans="1:18" s="33" customFormat="1" ht="150" customHeight="1" x14ac:dyDescent="0.3">
      <c r="A334" s="158" t="s">
        <v>395</v>
      </c>
      <c r="B334" s="498" t="s">
        <v>243</v>
      </c>
      <c r="C334" s="467"/>
      <c r="D334" s="23">
        <v>1186327337</v>
      </c>
      <c r="E334" s="69">
        <v>2010</v>
      </c>
      <c r="F334" s="69">
        <f>508.94+856.56+33.35+280.565+345.68+120359+306.235+657.24+606.14+9</f>
        <v>123962.71</v>
      </c>
      <c r="G334" s="24">
        <f>D334/(VLOOKUP(E334,$D$535:$E$566,2,FALSE))</f>
        <v>2303.5482271844662</v>
      </c>
      <c r="H334" s="3">
        <v>1</v>
      </c>
      <c r="I334" s="24">
        <f>H334*G334</f>
        <v>2303.5482271844662</v>
      </c>
      <c r="J334" s="100">
        <v>40452</v>
      </c>
      <c r="K334" s="30" t="s">
        <v>396</v>
      </c>
      <c r="L334" s="492"/>
      <c r="M334" s="31">
        <f>+I334</f>
        <v>2303.5482271844662</v>
      </c>
      <c r="N334" s="119" t="s">
        <v>213</v>
      </c>
      <c r="O334" s="226" t="str">
        <f>+CONCATENATE(FIXED(F334*H334,2)," ","m2")</f>
        <v>123.962,71 m2</v>
      </c>
      <c r="P334" s="150" t="s">
        <v>213</v>
      </c>
      <c r="Q334" s="158" t="s">
        <v>214</v>
      </c>
      <c r="R334" s="216" t="s">
        <v>397</v>
      </c>
    </row>
    <row r="335" spans="1:18" s="33" customFormat="1" ht="150" customHeight="1" x14ac:dyDescent="0.3">
      <c r="A335" s="158" t="s">
        <v>398</v>
      </c>
      <c r="B335" s="498" t="s">
        <v>243</v>
      </c>
      <c r="C335" s="467"/>
      <c r="D335" s="23">
        <v>2039328893</v>
      </c>
      <c r="E335" s="69">
        <v>2006</v>
      </c>
      <c r="F335" s="69">
        <f>75.76+129.52+694.44+233.17+214.57+210.97+432.76+721.48+374.43+74+195.4+507.9+555.94+1601.59+590.41+149.15+394.44+599.44+480.24+343.16+553.57+239.62+86.33+2193.17+257.29+202.89+201.93</f>
        <v>12313.57</v>
      </c>
      <c r="G335" s="24">
        <f>D335/(VLOOKUP(E335,$D$535:$E$566,2,FALSE))</f>
        <v>4998.3551299019609</v>
      </c>
      <c r="H335" s="3">
        <v>0.5</v>
      </c>
      <c r="I335" s="24">
        <f t="shared" ref="I335" si="9">H335*G335</f>
        <v>2499.1775649509805</v>
      </c>
      <c r="J335" s="100">
        <v>39020</v>
      </c>
      <c r="K335" s="30" t="s">
        <v>399</v>
      </c>
      <c r="L335" s="492"/>
      <c r="M335" s="31">
        <f t="shared" ref="M335" si="10">+I335</f>
        <v>2499.1775649509805</v>
      </c>
      <c r="N335" s="119" t="s">
        <v>213</v>
      </c>
      <c r="O335" s="226" t="str">
        <f t="shared" ref="O335" si="11">+CONCATENATE(FIXED(F335*H335,2)," ","m2")</f>
        <v>6.156,79 m2</v>
      </c>
      <c r="P335" s="150" t="s">
        <v>213</v>
      </c>
      <c r="Q335" s="158" t="s">
        <v>214</v>
      </c>
      <c r="R335" s="216" t="s">
        <v>400</v>
      </c>
    </row>
    <row r="336" spans="1:18" s="33" customFormat="1" ht="150" customHeight="1" x14ac:dyDescent="0.3">
      <c r="A336" s="216" t="s">
        <v>401</v>
      </c>
      <c r="B336" s="518" t="s">
        <v>387</v>
      </c>
      <c r="C336" s="519"/>
      <c r="D336" s="220">
        <v>7059100635</v>
      </c>
      <c r="E336" s="221">
        <v>2007</v>
      </c>
      <c r="F336" s="221">
        <f>254.45+3103+10502</f>
        <v>13859.45</v>
      </c>
      <c r="G336" s="218">
        <f>D336/(VLOOKUP(E336,$D$535:$E$566,2,FALSE))</f>
        <v>16276.459845515334</v>
      </c>
      <c r="H336" s="222">
        <v>0.45</v>
      </c>
      <c r="I336" s="218">
        <f>H336*G336</f>
        <v>7324.4069304819004</v>
      </c>
      <c r="J336" s="223">
        <v>39306</v>
      </c>
      <c r="K336" s="224" t="s">
        <v>399</v>
      </c>
      <c r="L336" s="492"/>
      <c r="M336" s="31">
        <f>I336</f>
        <v>7324.4069304819004</v>
      </c>
      <c r="N336" s="119" t="s">
        <v>213</v>
      </c>
      <c r="O336" s="226" t="str">
        <f>+CONCATENATE(FIXED(F336*H336,2)," ","m2")</f>
        <v>6.236,75 m2</v>
      </c>
      <c r="P336" s="150" t="s">
        <v>213</v>
      </c>
      <c r="Q336" s="158" t="s">
        <v>213</v>
      </c>
      <c r="R336" s="216" t="s">
        <v>402</v>
      </c>
    </row>
    <row r="337" spans="1:18" s="33" customFormat="1" ht="50.25" customHeight="1" x14ac:dyDescent="0.3">
      <c r="A337" s="530" t="str">
        <f>+'LISTA DE OFERENTES'!K30</f>
        <v>ID SAS</v>
      </c>
      <c r="B337" s="530"/>
      <c r="C337" s="530"/>
      <c r="D337" s="530"/>
      <c r="E337" s="530"/>
      <c r="F337" s="530"/>
      <c r="G337" s="530"/>
      <c r="H337" s="530"/>
      <c r="I337" s="530"/>
      <c r="J337" s="530"/>
      <c r="K337" s="530"/>
      <c r="L337" s="529"/>
      <c r="M337" s="159"/>
      <c r="N337" s="159"/>
      <c r="O337" s="202" t="s">
        <v>241</v>
      </c>
      <c r="P337" s="159"/>
      <c r="Q337" s="159"/>
      <c r="R337" s="188"/>
    </row>
    <row r="338" spans="1:18" s="33" customFormat="1" ht="244.5" customHeight="1" x14ac:dyDescent="0.3">
      <c r="A338" s="158" t="s">
        <v>403</v>
      </c>
      <c r="B338" s="527" t="s">
        <v>404</v>
      </c>
      <c r="C338" s="527"/>
      <c r="D338" s="233">
        <v>1743610865</v>
      </c>
      <c r="E338" s="205">
        <v>2015</v>
      </c>
      <c r="F338" s="234"/>
      <c r="G338" s="231"/>
      <c r="H338" s="231"/>
      <c r="I338" s="235"/>
      <c r="J338" s="208"/>
      <c r="K338" s="234"/>
      <c r="L338" s="511"/>
      <c r="M338" s="231"/>
      <c r="N338" s="231"/>
      <c r="O338" s="231"/>
      <c r="P338" s="231"/>
      <c r="Q338" s="231"/>
      <c r="R338" s="158" t="s">
        <v>405</v>
      </c>
    </row>
    <row r="339" spans="1:18" s="33" customFormat="1" ht="48" customHeight="1" x14ac:dyDescent="0.3">
      <c r="A339" s="484" t="s">
        <v>249</v>
      </c>
      <c r="B339" s="522"/>
      <c r="C339" s="522"/>
      <c r="D339" s="522"/>
      <c r="E339" s="522"/>
      <c r="F339" s="522"/>
      <c r="G339" s="522"/>
      <c r="H339" s="523"/>
      <c r="I339" s="227">
        <f>SUM(I332:I337)</f>
        <v>15221.776418693742</v>
      </c>
      <c r="J339" s="528" t="s">
        <v>250</v>
      </c>
      <c r="K339" s="489"/>
      <c r="L339" s="488"/>
      <c r="M339" s="489"/>
      <c r="N339" s="489"/>
      <c r="O339" s="489"/>
      <c r="P339" s="509"/>
      <c r="Q339" s="161"/>
      <c r="R339" s="190" t="s">
        <v>213</v>
      </c>
    </row>
    <row r="340" spans="1:18" ht="15.6" x14ac:dyDescent="0.3">
      <c r="A340" s="4"/>
      <c r="B340" s="4" t="s">
        <v>406</v>
      </c>
      <c r="C340" s="4"/>
      <c r="D340" s="4"/>
      <c r="E340" s="4"/>
      <c r="F340" s="4"/>
      <c r="G340" s="4"/>
      <c r="H340" s="4"/>
      <c r="I340" s="4"/>
      <c r="J340" s="4"/>
      <c r="K340" s="4"/>
      <c r="L340" s="4"/>
      <c r="M340" s="4"/>
      <c r="N340" s="5"/>
      <c r="O340" s="5"/>
      <c r="P340" s="5"/>
      <c r="Q340" s="5"/>
      <c r="R340" s="5"/>
    </row>
    <row r="341" spans="1:18" ht="30.75" customHeight="1" thickBot="1" x14ac:dyDescent="0.35">
      <c r="A341" s="442">
        <f>A324+1</f>
        <v>26</v>
      </c>
      <c r="B341" s="443"/>
      <c r="C341" s="443"/>
      <c r="D341" s="444"/>
      <c r="E341" s="445" t="str">
        <f>VLOOKUP(A341,'LISTA DE OFERENTES'!$A$6:$B$38,2,FALSE)</f>
        <v xml:space="preserve">UNIOBRAS DEL ORIENTE SAS </v>
      </c>
      <c r="F341" s="446"/>
      <c r="G341" s="446"/>
      <c r="H341" s="446"/>
      <c r="I341" s="446"/>
      <c r="J341" s="446"/>
      <c r="K341" s="446"/>
      <c r="L341" s="446"/>
      <c r="M341" s="446"/>
      <c r="N341" s="446"/>
      <c r="O341" s="446"/>
      <c r="P341" s="446"/>
      <c r="Q341" s="446"/>
      <c r="R341" s="447"/>
    </row>
    <row r="342" spans="1:18" ht="50.25" customHeight="1" x14ac:dyDescent="0.3">
      <c r="A342" s="28" t="s">
        <v>215</v>
      </c>
      <c r="B342" s="85">
        <v>2</v>
      </c>
      <c r="C342" s="29" t="s">
        <v>216</v>
      </c>
      <c r="D342" s="68">
        <f>+$E$508</f>
        <v>1649.6083550000001</v>
      </c>
      <c r="E342" s="448"/>
      <c r="F342" s="449"/>
      <c r="G342" s="449"/>
      <c r="H342" s="449"/>
      <c r="I342" s="449"/>
      <c r="J342" s="449"/>
      <c r="K342" s="449"/>
      <c r="L342" s="449"/>
      <c r="M342" s="449"/>
      <c r="N342" s="449"/>
      <c r="O342" s="449"/>
      <c r="P342" s="449"/>
      <c r="Q342" s="449"/>
      <c r="R342" s="450"/>
    </row>
    <row r="343" spans="1:18" ht="30" customHeight="1" x14ac:dyDescent="0.3">
      <c r="A343" s="454" t="s">
        <v>217</v>
      </c>
      <c r="B343" s="455"/>
      <c r="C343" s="70">
        <f>IF(B342&lt;3,0.75,IF(B342&lt;5,1.2,1.5))</f>
        <v>0.75</v>
      </c>
      <c r="D343" s="71">
        <f>+D342*C343</f>
        <v>1237.20626625</v>
      </c>
      <c r="E343" s="448"/>
      <c r="F343" s="449"/>
      <c r="G343" s="449"/>
      <c r="H343" s="449"/>
      <c r="I343" s="449"/>
      <c r="J343" s="449"/>
      <c r="K343" s="449"/>
      <c r="L343" s="449"/>
      <c r="M343" s="449"/>
      <c r="N343" s="449"/>
      <c r="O343" s="449"/>
      <c r="P343" s="449"/>
      <c r="Q343" s="449"/>
      <c r="R343" s="450"/>
    </row>
    <row r="344" spans="1:18" ht="30" customHeight="1" x14ac:dyDescent="0.3">
      <c r="A344" s="456" t="s">
        <v>218</v>
      </c>
      <c r="B344" s="455"/>
      <c r="C344" s="457">
        <v>44832</v>
      </c>
      <c r="D344" s="458"/>
      <c r="E344" s="448"/>
      <c r="F344" s="449"/>
      <c r="G344" s="449"/>
      <c r="H344" s="449"/>
      <c r="I344" s="449"/>
      <c r="J344" s="449"/>
      <c r="K344" s="449"/>
      <c r="L344" s="449"/>
      <c r="M344" s="449"/>
      <c r="N344" s="449"/>
      <c r="O344" s="449"/>
      <c r="P344" s="449"/>
      <c r="Q344" s="449"/>
      <c r="R344" s="450"/>
    </row>
    <row r="345" spans="1:18" ht="30" customHeight="1" x14ac:dyDescent="0.3">
      <c r="A345" s="459" t="s">
        <v>219</v>
      </c>
      <c r="B345" s="460"/>
      <c r="C345" s="472" t="str">
        <f>+IF(I351&gt;D343,"CUMPLE","NO CUMPLE")</f>
        <v>CUMPLE</v>
      </c>
      <c r="D345" s="473"/>
      <c r="E345" s="451"/>
      <c r="F345" s="452"/>
      <c r="G345" s="452"/>
      <c r="H345" s="452"/>
      <c r="I345" s="452"/>
      <c r="J345" s="452"/>
      <c r="K345" s="452"/>
      <c r="L345" s="452"/>
      <c r="M345" s="452"/>
      <c r="N345" s="452"/>
      <c r="O345" s="452"/>
      <c r="P345" s="452"/>
      <c r="Q345" s="452"/>
      <c r="R345" s="453"/>
    </row>
    <row r="346" spans="1:18" ht="55.5" customHeight="1" x14ac:dyDescent="0.3">
      <c r="A346" s="474" t="s">
        <v>220</v>
      </c>
      <c r="B346" s="475"/>
      <c r="C346" s="475"/>
      <c r="D346" s="475"/>
      <c r="E346" s="475"/>
      <c r="F346" s="475"/>
      <c r="G346" s="475"/>
      <c r="H346" s="475"/>
      <c r="I346" s="476"/>
      <c r="J346" s="81" t="s">
        <v>221</v>
      </c>
      <c r="K346" s="103" t="s">
        <v>222</v>
      </c>
      <c r="L346" s="477" t="s">
        <v>223</v>
      </c>
      <c r="M346" s="476"/>
      <c r="N346" s="478" t="s">
        <v>224</v>
      </c>
      <c r="O346" s="480" t="s">
        <v>225</v>
      </c>
      <c r="P346" s="481"/>
      <c r="Q346" s="478" t="s">
        <v>226</v>
      </c>
      <c r="R346" s="461" t="s">
        <v>227</v>
      </c>
    </row>
    <row r="347" spans="1:18" ht="77.25" customHeight="1" x14ac:dyDescent="0.3">
      <c r="A347" s="82" t="s">
        <v>228</v>
      </c>
      <c r="B347" s="463" t="s">
        <v>229</v>
      </c>
      <c r="C347" s="464"/>
      <c r="D347" s="83" t="s">
        <v>230</v>
      </c>
      <c r="E347" s="83" t="s">
        <v>231</v>
      </c>
      <c r="F347" s="83" t="s">
        <v>232</v>
      </c>
      <c r="G347" s="83" t="s">
        <v>233</v>
      </c>
      <c r="H347" s="116" t="s">
        <v>234</v>
      </c>
      <c r="I347" s="116" t="s">
        <v>235</v>
      </c>
      <c r="J347" s="84" t="s">
        <v>236</v>
      </c>
      <c r="K347" s="84" t="s">
        <v>237</v>
      </c>
      <c r="L347" s="84" t="s">
        <v>238</v>
      </c>
      <c r="M347" s="84" t="s">
        <v>239</v>
      </c>
      <c r="N347" s="479"/>
      <c r="O347" s="482"/>
      <c r="P347" s="483"/>
      <c r="Q347" s="479"/>
      <c r="R347" s="462"/>
    </row>
    <row r="348" spans="1:18" ht="39.9" customHeight="1" x14ac:dyDescent="0.3">
      <c r="A348" s="536" t="str">
        <f>+'LISTA DE OFERENTES'!B31</f>
        <v xml:space="preserve">UNIOBRAS DEL ORIENTE SAS </v>
      </c>
      <c r="B348" s="537"/>
      <c r="C348" s="537"/>
      <c r="D348" s="537"/>
      <c r="E348" s="537"/>
      <c r="F348" s="537"/>
      <c r="G348" s="538"/>
      <c r="H348" s="88"/>
      <c r="I348" s="147"/>
      <c r="J348" s="88"/>
      <c r="K348" s="89"/>
      <c r="L348" s="492" t="str">
        <f>+A348</f>
        <v xml:space="preserve">UNIOBRAS DEL ORIENTE SAS </v>
      </c>
      <c r="M348" s="91"/>
      <c r="N348" s="88"/>
      <c r="O348" s="162" t="s">
        <v>241</v>
      </c>
      <c r="P348" s="88"/>
      <c r="Q348" s="87"/>
      <c r="R348" s="188"/>
    </row>
    <row r="349" spans="1:18" s="33" customFormat="1" ht="234.75" customHeight="1" x14ac:dyDescent="0.3">
      <c r="A349" s="119" t="s">
        <v>408</v>
      </c>
      <c r="B349" s="498" t="s">
        <v>409</v>
      </c>
      <c r="C349" s="467"/>
      <c r="D349" s="23">
        <v>4058947992</v>
      </c>
      <c r="E349" s="69">
        <v>2008</v>
      </c>
      <c r="F349" s="69">
        <v>141.46</v>
      </c>
      <c r="G349" s="24">
        <f>D349/(VLOOKUP(E349,$D$535:$E$566,2,FALSE))</f>
        <v>8795.1202426868913</v>
      </c>
      <c r="H349" s="3">
        <v>1</v>
      </c>
      <c r="I349" s="24">
        <f>H349*G349</f>
        <v>8795.1202426868913</v>
      </c>
      <c r="J349" s="100">
        <v>39734</v>
      </c>
      <c r="K349" s="224" t="s">
        <v>623</v>
      </c>
      <c r="L349" s="492"/>
      <c r="M349" s="31">
        <f>+I349</f>
        <v>8795.1202426868913</v>
      </c>
      <c r="N349" s="119" t="s">
        <v>213</v>
      </c>
      <c r="O349" s="186" t="str">
        <f>+CONCATENATE(FIXED(F349*H349,2)," ","m2")</f>
        <v>141,46 m2</v>
      </c>
      <c r="P349" s="119" t="s">
        <v>214</v>
      </c>
      <c r="Q349" s="143" t="s">
        <v>214</v>
      </c>
      <c r="R349" s="236" t="s">
        <v>413</v>
      </c>
    </row>
    <row r="350" spans="1:18" s="33" customFormat="1" ht="268.5" customHeight="1" x14ac:dyDescent="0.3">
      <c r="A350" s="119" t="s">
        <v>414</v>
      </c>
      <c r="B350" s="498" t="s">
        <v>415</v>
      </c>
      <c r="C350" s="467"/>
      <c r="D350" s="23">
        <v>4708429629</v>
      </c>
      <c r="E350" s="69">
        <v>2012</v>
      </c>
      <c r="F350" s="69"/>
      <c r="G350" s="24"/>
      <c r="H350" s="3"/>
      <c r="I350" s="24"/>
      <c r="J350" s="100">
        <v>41228</v>
      </c>
      <c r="K350" s="224" t="s">
        <v>623</v>
      </c>
      <c r="L350" s="492"/>
      <c r="M350" s="31"/>
      <c r="N350" s="119" t="s">
        <v>214</v>
      </c>
      <c r="O350" s="186"/>
      <c r="P350" s="150" t="s">
        <v>214</v>
      </c>
      <c r="Q350" s="158" t="s">
        <v>214</v>
      </c>
      <c r="R350" s="236" t="s">
        <v>417</v>
      </c>
    </row>
    <row r="351" spans="1:18" s="33" customFormat="1" ht="48" customHeight="1" x14ac:dyDescent="0.3">
      <c r="A351" s="495" t="s">
        <v>418</v>
      </c>
      <c r="B351" s="485"/>
      <c r="C351" s="485"/>
      <c r="D351" s="485"/>
      <c r="E351" s="485"/>
      <c r="F351" s="485"/>
      <c r="G351" s="485"/>
      <c r="H351" s="486"/>
      <c r="I351" s="72">
        <f>SUM(I349:I350)</f>
        <v>8795.1202426868913</v>
      </c>
      <c r="J351" s="487" t="s">
        <v>250</v>
      </c>
      <c r="K351" s="488"/>
      <c r="L351" s="488"/>
      <c r="M351" s="488"/>
      <c r="N351" s="488"/>
      <c r="O351" s="488"/>
      <c r="P351" s="490"/>
      <c r="Q351" s="161"/>
      <c r="R351" s="190" t="s">
        <v>214</v>
      </c>
    </row>
    <row r="352" spans="1:18" ht="15.6" x14ac:dyDescent="0.3">
      <c r="A352" s="4"/>
      <c r="B352" s="4"/>
      <c r="C352" s="4"/>
      <c r="D352" s="4"/>
      <c r="E352" s="4"/>
      <c r="F352" s="4"/>
      <c r="G352" s="4"/>
      <c r="H352" s="4"/>
      <c r="I352" s="4"/>
      <c r="J352" s="4"/>
      <c r="K352" s="4"/>
      <c r="L352" s="4"/>
      <c r="M352" s="4"/>
      <c r="N352" s="5"/>
      <c r="O352" s="5"/>
      <c r="P352" s="5"/>
      <c r="Q352" s="5"/>
      <c r="R352" s="5"/>
    </row>
    <row r="353" spans="1:18" ht="30.75" customHeight="1" thickBot="1" x14ac:dyDescent="0.35">
      <c r="A353" s="442">
        <v>27</v>
      </c>
      <c r="B353" s="443"/>
      <c r="C353" s="443"/>
      <c r="D353" s="444"/>
      <c r="E353" s="445" t="str">
        <f>VLOOKUP(A353,'LISTA DE OFERENTES'!$A$6:$B$38,2,FALSE)</f>
        <v>CONSORCIO TUNAL CL</v>
      </c>
      <c r="F353" s="446"/>
      <c r="G353" s="446"/>
      <c r="H353" s="446"/>
      <c r="I353" s="446"/>
      <c r="J353" s="446"/>
      <c r="K353" s="446"/>
      <c r="L353" s="446"/>
      <c r="M353" s="446"/>
      <c r="N353" s="446"/>
      <c r="O353" s="446"/>
      <c r="P353" s="446"/>
      <c r="Q353" s="446"/>
      <c r="R353" s="447"/>
    </row>
    <row r="354" spans="1:18" ht="50.25" customHeight="1" x14ac:dyDescent="0.3">
      <c r="A354" s="28" t="s">
        <v>215</v>
      </c>
      <c r="B354" s="85">
        <v>4</v>
      </c>
      <c r="C354" s="29" t="s">
        <v>216</v>
      </c>
      <c r="D354" s="68">
        <f>+$E$508</f>
        <v>1649.6083550000001</v>
      </c>
      <c r="E354" s="448"/>
      <c r="F354" s="449"/>
      <c r="G354" s="449"/>
      <c r="H354" s="449"/>
      <c r="I354" s="449"/>
      <c r="J354" s="449"/>
      <c r="K354" s="449"/>
      <c r="L354" s="449"/>
      <c r="M354" s="449"/>
      <c r="N354" s="449"/>
      <c r="O354" s="449"/>
      <c r="P354" s="449"/>
      <c r="Q354" s="449"/>
      <c r="R354" s="450"/>
    </row>
    <row r="355" spans="1:18" ht="30" customHeight="1" x14ac:dyDescent="0.3">
      <c r="A355" s="531" t="s">
        <v>217</v>
      </c>
      <c r="B355" s="532"/>
      <c r="C355" s="70">
        <f>IF(B354&lt;3,0.75,IF(B354&lt;5,1.2,1.5))</f>
        <v>1.2</v>
      </c>
      <c r="D355" s="71">
        <f>+D354*C355</f>
        <v>1979.5300259999999</v>
      </c>
      <c r="E355" s="448"/>
      <c r="F355" s="449"/>
      <c r="G355" s="449"/>
      <c r="H355" s="449"/>
      <c r="I355" s="449"/>
      <c r="J355" s="449"/>
      <c r="K355" s="449"/>
      <c r="L355" s="449"/>
      <c r="M355" s="449"/>
      <c r="N355" s="449"/>
      <c r="O355" s="449"/>
      <c r="P355" s="449"/>
      <c r="Q355" s="449"/>
      <c r="R355" s="450"/>
    </row>
    <row r="356" spans="1:18" ht="30" customHeight="1" x14ac:dyDescent="0.3">
      <c r="A356" s="253" t="str">
        <f>+A344</f>
        <v>TERMINO DE EJECUCION EXIGIDO</v>
      </c>
      <c r="B356" s="254"/>
      <c r="C356" s="533">
        <v>44832</v>
      </c>
      <c r="D356" s="458"/>
      <c r="E356" s="448"/>
      <c r="F356" s="449"/>
      <c r="G356" s="449"/>
      <c r="H356" s="449"/>
      <c r="I356" s="449"/>
      <c r="J356" s="449"/>
      <c r="K356" s="449"/>
      <c r="L356" s="449"/>
      <c r="M356" s="449"/>
      <c r="N356" s="449"/>
      <c r="O356" s="449"/>
      <c r="P356" s="449"/>
      <c r="Q356" s="449"/>
      <c r="R356" s="450"/>
    </row>
    <row r="357" spans="1:18" ht="30" customHeight="1" x14ac:dyDescent="0.3">
      <c r="A357" s="534" t="s">
        <v>219</v>
      </c>
      <c r="B357" s="535"/>
      <c r="C357" s="472" t="str">
        <f>+IF(I365&gt;D355,"CUMPLE","NO CUMPLE")</f>
        <v>NO CUMPLE</v>
      </c>
      <c r="D357" s="473"/>
      <c r="E357" s="451"/>
      <c r="F357" s="452"/>
      <c r="G357" s="452"/>
      <c r="H357" s="452"/>
      <c r="I357" s="452"/>
      <c r="J357" s="452"/>
      <c r="K357" s="452"/>
      <c r="L357" s="452"/>
      <c r="M357" s="452"/>
      <c r="N357" s="452"/>
      <c r="O357" s="452"/>
      <c r="P357" s="452"/>
      <c r="Q357" s="452"/>
      <c r="R357" s="453"/>
    </row>
    <row r="358" spans="1:18" ht="55.5" customHeight="1" x14ac:dyDescent="0.3">
      <c r="A358" s="474" t="s">
        <v>220</v>
      </c>
      <c r="B358" s="475"/>
      <c r="C358" s="475"/>
      <c r="D358" s="475"/>
      <c r="E358" s="475"/>
      <c r="F358" s="475"/>
      <c r="G358" s="475"/>
      <c r="H358" s="475"/>
      <c r="I358" s="476"/>
      <c r="J358" s="81" t="s">
        <v>221</v>
      </c>
      <c r="K358" s="103" t="s">
        <v>222</v>
      </c>
      <c r="L358" s="477" t="s">
        <v>223</v>
      </c>
      <c r="M358" s="476"/>
      <c r="N358" s="478" t="s">
        <v>224</v>
      </c>
      <c r="O358" s="480" t="s">
        <v>225</v>
      </c>
      <c r="P358" s="481"/>
      <c r="Q358" s="478" t="s">
        <v>226</v>
      </c>
      <c r="R358" s="461" t="s">
        <v>227</v>
      </c>
    </row>
    <row r="359" spans="1:18" ht="77.25" customHeight="1" x14ac:dyDescent="0.3">
      <c r="A359" s="82" t="s">
        <v>228</v>
      </c>
      <c r="B359" s="463" t="s">
        <v>229</v>
      </c>
      <c r="C359" s="464"/>
      <c r="D359" s="83" t="s">
        <v>230</v>
      </c>
      <c r="E359" s="83" t="s">
        <v>231</v>
      </c>
      <c r="F359" s="83" t="s">
        <v>232</v>
      </c>
      <c r="G359" s="83" t="s">
        <v>233</v>
      </c>
      <c r="H359" s="116" t="s">
        <v>234</v>
      </c>
      <c r="I359" s="116" t="s">
        <v>235</v>
      </c>
      <c r="J359" s="84" t="s">
        <v>236</v>
      </c>
      <c r="K359" s="84" t="s">
        <v>237</v>
      </c>
      <c r="L359" s="84" t="s">
        <v>238</v>
      </c>
      <c r="M359" s="84" t="s">
        <v>239</v>
      </c>
      <c r="N359" s="479"/>
      <c r="O359" s="482"/>
      <c r="P359" s="483"/>
      <c r="Q359" s="479"/>
      <c r="R359" s="462"/>
    </row>
    <row r="360" spans="1:18" ht="39.9" customHeight="1" x14ac:dyDescent="0.3">
      <c r="A360" s="539" t="s">
        <v>419</v>
      </c>
      <c r="B360" s="540"/>
      <c r="C360" s="540"/>
      <c r="D360" s="540"/>
      <c r="E360" s="540"/>
      <c r="F360" s="540"/>
      <c r="G360" s="540"/>
      <c r="H360" s="540"/>
      <c r="I360" s="540"/>
      <c r="J360" s="540"/>
      <c r="K360" s="540"/>
      <c r="L360" s="541" t="str">
        <f>A360</f>
        <v>LUIS FERNANDO GONZALEZ PAEZ</v>
      </c>
      <c r="M360" s="159"/>
      <c r="N360" s="159"/>
      <c r="O360" s="202" t="s">
        <v>241</v>
      </c>
      <c r="P360" s="159"/>
      <c r="Q360" s="159"/>
      <c r="R360" s="188"/>
    </row>
    <row r="361" spans="1:18" s="33" customFormat="1" ht="150" customHeight="1" x14ac:dyDescent="0.3">
      <c r="A361" s="119" t="s">
        <v>421</v>
      </c>
      <c r="B361" s="498" t="s">
        <v>243</v>
      </c>
      <c r="C361" s="467"/>
      <c r="D361" s="23">
        <v>555618959.38</v>
      </c>
      <c r="E361" s="69">
        <v>2003</v>
      </c>
      <c r="F361" s="69">
        <v>7337</v>
      </c>
      <c r="G361" s="24">
        <f>D361/(VLOOKUP(E361,$D$535:$E$566,2,FALSE))</f>
        <v>1673.5510824698795</v>
      </c>
      <c r="H361" s="3">
        <v>1</v>
      </c>
      <c r="I361" s="24">
        <f>H361*G361</f>
        <v>1673.5510824698795</v>
      </c>
      <c r="J361" s="256">
        <v>37907</v>
      </c>
      <c r="K361" s="209" t="s">
        <v>624</v>
      </c>
      <c r="L361" s="511"/>
      <c r="M361" s="200">
        <f>I361</f>
        <v>1673.5510824698795</v>
      </c>
      <c r="N361" s="158" t="s">
        <v>213</v>
      </c>
      <c r="O361" s="201" t="str">
        <f>+CONCATENATE(FIXED(F361*H361,2)," ","m2")</f>
        <v>7.337,00 m2</v>
      </c>
      <c r="P361" s="158" t="s">
        <v>213</v>
      </c>
      <c r="Q361" s="158" t="s">
        <v>213</v>
      </c>
      <c r="R361" s="543" t="s">
        <v>625</v>
      </c>
    </row>
    <row r="362" spans="1:18" s="33" customFormat="1" ht="150" customHeight="1" x14ac:dyDescent="0.3">
      <c r="A362" s="320" t="s">
        <v>426</v>
      </c>
      <c r="B362" s="498" t="s">
        <v>427</v>
      </c>
      <c r="C362" s="467"/>
      <c r="D362" s="23">
        <v>2490897320</v>
      </c>
      <c r="E362" s="69">
        <v>2012</v>
      </c>
      <c r="F362" s="69">
        <v>2470.67</v>
      </c>
      <c r="G362" s="24">
        <f>D362/(VLOOKUP(E362,$D$535:$E$566,2,FALSE))</f>
        <v>4395.4425974942651</v>
      </c>
      <c r="H362" s="3">
        <v>1</v>
      </c>
      <c r="I362" s="24">
        <f>H362*G362</f>
        <v>4395.4425974942651</v>
      </c>
      <c r="J362" s="256">
        <v>41143</v>
      </c>
      <c r="K362" s="260" t="s">
        <v>624</v>
      </c>
      <c r="L362" s="511"/>
      <c r="M362" s="200">
        <f>I362</f>
        <v>4395.4425974942651</v>
      </c>
      <c r="N362" s="258" t="s">
        <v>213</v>
      </c>
      <c r="O362" s="201" t="str">
        <f>+CONCATENATE(FIXED(F362*H362,2)," ","m2")</f>
        <v>2.470,67 m2</v>
      </c>
      <c r="P362" s="258" t="s">
        <v>213</v>
      </c>
      <c r="Q362" s="258" t="s">
        <v>213</v>
      </c>
      <c r="R362" s="544"/>
    </row>
    <row r="363" spans="1:18" s="33" customFormat="1" ht="150" customHeight="1" x14ac:dyDescent="0.3">
      <c r="A363" s="119" t="s">
        <v>430</v>
      </c>
      <c r="B363" s="498" t="s">
        <v>243</v>
      </c>
      <c r="C363" s="467"/>
      <c r="D363" s="23">
        <v>853256621</v>
      </c>
      <c r="E363" s="69">
        <v>2002</v>
      </c>
      <c r="F363" s="69">
        <v>7418.35</v>
      </c>
      <c r="G363" s="24">
        <f>D363/(VLOOKUP(E363,$D$535:$E$566,2,FALSE))</f>
        <v>2761.3482880258898</v>
      </c>
      <c r="H363" s="3">
        <v>0.5</v>
      </c>
      <c r="I363" s="24">
        <f>H363*G363</f>
        <v>1380.6741440129449</v>
      </c>
      <c r="J363" s="256">
        <v>37483</v>
      </c>
      <c r="K363" s="257" t="s">
        <v>624</v>
      </c>
      <c r="L363" s="511"/>
      <c r="M363" s="324">
        <f>I363</f>
        <v>1380.6741440129449</v>
      </c>
      <c r="N363" s="216" t="s">
        <v>213</v>
      </c>
      <c r="O363" s="325" t="str">
        <f>+CONCATENATE(FIXED(F363*H363,2)," ","m2")</f>
        <v>3.709,18 m2</v>
      </c>
      <c r="P363" s="216" t="s">
        <v>213</v>
      </c>
      <c r="Q363" s="216" t="s">
        <v>213</v>
      </c>
      <c r="R363" s="544"/>
    </row>
    <row r="364" spans="1:18" s="33" customFormat="1" ht="150" customHeight="1" x14ac:dyDescent="0.3">
      <c r="A364" s="119" t="s">
        <v>433</v>
      </c>
      <c r="B364" s="498" t="s">
        <v>243</v>
      </c>
      <c r="C364" s="467"/>
      <c r="D364" s="23">
        <v>400932568</v>
      </c>
      <c r="E364" s="69">
        <v>2002</v>
      </c>
      <c r="F364" s="69">
        <v>3200</v>
      </c>
      <c r="G364" s="24">
        <f>D364/(VLOOKUP(E364,$D$535:$E$566,2,FALSE))</f>
        <v>1297.5164012944983</v>
      </c>
      <c r="H364" s="3">
        <v>0.9</v>
      </c>
      <c r="I364" s="24">
        <f>H364*G364</f>
        <v>1167.7647611650486</v>
      </c>
      <c r="J364" s="256">
        <v>37383</v>
      </c>
      <c r="K364" s="257" t="s">
        <v>624</v>
      </c>
      <c r="L364" s="542"/>
      <c r="M364" s="200">
        <f>I364</f>
        <v>1167.7647611650486</v>
      </c>
      <c r="N364" s="158" t="s">
        <v>213</v>
      </c>
      <c r="O364" s="201" t="str">
        <f>+CONCATENATE(FIXED(F364*H364,2)," ","m2")</f>
        <v>2.880,00 m2</v>
      </c>
      <c r="P364" s="158" t="s">
        <v>213</v>
      </c>
      <c r="Q364" s="158" t="s">
        <v>213</v>
      </c>
      <c r="R364" s="602"/>
    </row>
    <row r="365" spans="1:18" s="33" customFormat="1" ht="48" customHeight="1" x14ac:dyDescent="0.3">
      <c r="A365" s="495" t="str">
        <f>+A376</f>
        <v>TOTALES</v>
      </c>
      <c r="B365" s="485"/>
      <c r="C365" s="485"/>
      <c r="D365" s="485"/>
      <c r="E365" s="485"/>
      <c r="F365" s="485"/>
      <c r="G365" s="485"/>
      <c r="H365" s="486"/>
      <c r="I365" s="72">
        <f>SUM(I361:I361)</f>
        <v>1673.5510824698795</v>
      </c>
      <c r="J365" s="487" t="s">
        <v>250</v>
      </c>
      <c r="K365" s="489"/>
      <c r="L365" s="488"/>
      <c r="M365" s="489"/>
      <c r="N365" s="489"/>
      <c r="O365" s="489"/>
      <c r="P365" s="509"/>
      <c r="Q365" s="161"/>
      <c r="R365" s="190" t="s">
        <v>213</v>
      </c>
    </row>
    <row r="366" spans="1:18" ht="15.6" x14ac:dyDescent="0.3">
      <c r="A366" s="4"/>
      <c r="B366" s="4"/>
      <c r="C366" s="4"/>
      <c r="D366" s="4"/>
      <c r="E366" s="4"/>
      <c r="F366" s="4"/>
      <c r="G366" s="4"/>
      <c r="H366" s="4"/>
      <c r="I366" s="4"/>
      <c r="J366" s="4"/>
      <c r="K366" s="4"/>
      <c r="L366" s="4"/>
      <c r="M366" s="4"/>
      <c r="N366" s="5"/>
      <c r="O366" s="5"/>
      <c r="P366" s="5"/>
      <c r="Q366" s="5"/>
      <c r="R366" s="5"/>
    </row>
    <row r="367" spans="1:18" ht="30.75" customHeight="1" thickBot="1" x14ac:dyDescent="0.35">
      <c r="A367" s="442">
        <v>28</v>
      </c>
      <c r="B367" s="443"/>
      <c r="C367" s="443"/>
      <c r="D367" s="444"/>
      <c r="E367" s="445" t="str">
        <f>VLOOKUP(A367,'LISTA DE OFERENTES'!$A$6:$B$38,2,FALSE)</f>
        <v xml:space="preserve">MAURICIO RAFAEL PABA PINZON </v>
      </c>
      <c r="F367" s="446"/>
      <c r="G367" s="446"/>
      <c r="H367" s="446"/>
      <c r="I367" s="446"/>
      <c r="J367" s="446"/>
      <c r="K367" s="446"/>
      <c r="L367" s="446"/>
      <c r="M367" s="446"/>
      <c r="N367" s="446"/>
      <c r="O367" s="446"/>
      <c r="P367" s="446"/>
      <c r="Q367" s="446"/>
      <c r="R367" s="447"/>
    </row>
    <row r="368" spans="1:18" ht="50.25" customHeight="1" x14ac:dyDescent="0.3">
      <c r="A368" s="28" t="s">
        <v>215</v>
      </c>
      <c r="B368" s="85">
        <v>1</v>
      </c>
      <c r="C368" s="29" t="s">
        <v>216</v>
      </c>
      <c r="D368" s="68">
        <f>+$E$508</f>
        <v>1649.6083550000001</v>
      </c>
      <c r="E368" s="448"/>
      <c r="F368" s="449"/>
      <c r="G368" s="449"/>
      <c r="H368" s="449"/>
      <c r="I368" s="449"/>
      <c r="J368" s="449"/>
      <c r="K368" s="449"/>
      <c r="L368" s="449"/>
      <c r="M368" s="449"/>
      <c r="N368" s="449"/>
      <c r="O368" s="449"/>
      <c r="P368" s="449"/>
      <c r="Q368" s="449"/>
      <c r="R368" s="450"/>
    </row>
    <row r="369" spans="1:18" ht="30" customHeight="1" x14ac:dyDescent="0.3">
      <c r="A369" s="454" t="str">
        <f>+A355</f>
        <v>VALOR MÍNIMO A CERTIFICAR</v>
      </c>
      <c r="B369" s="455"/>
      <c r="C369" s="70">
        <f>IF(B368&lt;3,0.75,IF(B368&lt;5,1.2,1.5))</f>
        <v>0.75</v>
      </c>
      <c r="D369" s="71">
        <f>+D368*C369</f>
        <v>1237.20626625</v>
      </c>
      <c r="E369" s="448"/>
      <c r="F369" s="449"/>
      <c r="G369" s="449"/>
      <c r="H369" s="449"/>
      <c r="I369" s="449"/>
      <c r="J369" s="449"/>
      <c r="K369" s="449"/>
      <c r="L369" s="449"/>
      <c r="M369" s="449"/>
      <c r="N369" s="449"/>
      <c r="O369" s="449"/>
      <c r="P369" s="449"/>
      <c r="Q369" s="449"/>
      <c r="R369" s="450"/>
    </row>
    <row r="370" spans="1:18" ht="30" customHeight="1" x14ac:dyDescent="0.3">
      <c r="A370" s="456" t="str">
        <f>+A356</f>
        <v>TERMINO DE EJECUCION EXIGIDO</v>
      </c>
      <c r="B370" s="455"/>
      <c r="C370" s="457">
        <v>44832</v>
      </c>
      <c r="D370" s="458"/>
      <c r="E370" s="448"/>
      <c r="F370" s="449"/>
      <c r="G370" s="449"/>
      <c r="H370" s="449"/>
      <c r="I370" s="449"/>
      <c r="J370" s="449"/>
      <c r="K370" s="449"/>
      <c r="L370" s="449"/>
      <c r="M370" s="449"/>
      <c r="N370" s="449"/>
      <c r="O370" s="449"/>
      <c r="P370" s="449"/>
      <c r="Q370" s="449"/>
      <c r="R370" s="450"/>
    </row>
    <row r="371" spans="1:18" ht="30" customHeight="1" x14ac:dyDescent="0.3">
      <c r="A371" s="459" t="str">
        <f>+A357</f>
        <v>TOTAL SALARIOS MINIMOS ACREDITADOS</v>
      </c>
      <c r="B371" s="460"/>
      <c r="C371" s="472" t="str">
        <f>+IF(I376&gt;D369,"CUMPLE","NO CUMPLE")</f>
        <v>NO CUMPLE</v>
      </c>
      <c r="D371" s="473"/>
      <c r="E371" s="451"/>
      <c r="F371" s="452"/>
      <c r="G371" s="452"/>
      <c r="H371" s="452"/>
      <c r="I371" s="452"/>
      <c r="J371" s="452"/>
      <c r="K371" s="452"/>
      <c r="L371" s="452"/>
      <c r="M371" s="452"/>
      <c r="N371" s="452"/>
      <c r="O371" s="452"/>
      <c r="P371" s="452"/>
      <c r="Q371" s="452"/>
      <c r="R371" s="453"/>
    </row>
    <row r="372" spans="1:18" ht="55.5" customHeight="1" x14ac:dyDescent="0.3">
      <c r="A372" s="474" t="s">
        <v>436</v>
      </c>
      <c r="B372" s="475"/>
      <c r="C372" s="475"/>
      <c r="D372" s="475"/>
      <c r="E372" s="475"/>
      <c r="F372" s="475"/>
      <c r="G372" s="475"/>
      <c r="H372" s="475"/>
      <c r="I372" s="476"/>
      <c r="J372" s="81" t="s">
        <v>221</v>
      </c>
      <c r="K372" s="103" t="s">
        <v>222</v>
      </c>
      <c r="L372" s="477" t="s">
        <v>223</v>
      </c>
      <c r="M372" s="476"/>
      <c r="N372" s="478" t="s">
        <v>224</v>
      </c>
      <c r="O372" s="480" t="s">
        <v>225</v>
      </c>
      <c r="P372" s="481"/>
      <c r="Q372" s="478" t="s">
        <v>226</v>
      </c>
      <c r="R372" s="461" t="s">
        <v>227</v>
      </c>
    </row>
    <row r="373" spans="1:18" ht="77.25" customHeight="1" x14ac:dyDescent="0.3">
      <c r="A373" s="82" t="s">
        <v>228</v>
      </c>
      <c r="B373" s="463" t="s">
        <v>229</v>
      </c>
      <c r="C373" s="464"/>
      <c r="D373" s="83" t="s">
        <v>230</v>
      </c>
      <c r="E373" s="83" t="s">
        <v>231</v>
      </c>
      <c r="F373" s="83" t="s">
        <v>232</v>
      </c>
      <c r="G373" s="83" t="s">
        <v>233</v>
      </c>
      <c r="H373" s="116" t="s">
        <v>234</v>
      </c>
      <c r="I373" s="116" t="s">
        <v>235</v>
      </c>
      <c r="J373" s="84" t="s">
        <v>236</v>
      </c>
      <c r="K373" s="84" t="s">
        <v>237</v>
      </c>
      <c r="L373" s="84" t="s">
        <v>238</v>
      </c>
      <c r="M373" s="84" t="s">
        <v>239</v>
      </c>
      <c r="N373" s="479"/>
      <c r="O373" s="482"/>
      <c r="P373" s="483"/>
      <c r="Q373" s="479"/>
      <c r="R373" s="462"/>
    </row>
    <row r="374" spans="1:18" ht="39.9" customHeight="1" x14ac:dyDescent="0.3">
      <c r="A374" s="546" t="str">
        <f>+'LISTA DE OFERENTES'!B33</f>
        <v xml:space="preserve">MAURICIO RAFAEL PABA PINZON </v>
      </c>
      <c r="B374" s="537"/>
      <c r="C374" s="537"/>
      <c r="D374" s="537"/>
      <c r="E374" s="537"/>
      <c r="F374" s="537"/>
      <c r="G374" s="537"/>
      <c r="H374" s="537"/>
      <c r="I374" s="537"/>
      <c r="J374" s="537"/>
      <c r="K374" s="538"/>
      <c r="L374" s="491" t="str">
        <f>+A374</f>
        <v xml:space="preserve">MAURICIO RAFAEL PABA PINZON </v>
      </c>
      <c r="M374" s="87"/>
      <c r="N374" s="87"/>
      <c r="O374" s="162" t="s">
        <v>241</v>
      </c>
      <c r="P374" s="87"/>
      <c r="Q374" s="159"/>
      <c r="R374" s="188"/>
    </row>
    <row r="375" spans="1:18" s="33" customFormat="1" ht="150" customHeight="1" x14ac:dyDescent="0.3">
      <c r="A375" s="119" t="s">
        <v>437</v>
      </c>
      <c r="B375" s="498" t="s">
        <v>438</v>
      </c>
      <c r="C375" s="467"/>
      <c r="D375" s="23">
        <v>5126864172</v>
      </c>
      <c r="E375" s="69">
        <v>2017</v>
      </c>
      <c r="F375" s="69">
        <v>14697.59</v>
      </c>
      <c r="G375" s="24">
        <f>D375/(VLOOKUP(E375,$D$535:$E$566,2,FALSE))</f>
        <v>6949.6353913492576</v>
      </c>
      <c r="H375" s="3">
        <v>0.35</v>
      </c>
      <c r="I375" s="24">
        <f>H375*G375</f>
        <v>2432.3723869722398</v>
      </c>
      <c r="J375" s="100">
        <v>43023</v>
      </c>
      <c r="K375" s="261" t="s">
        <v>439</v>
      </c>
      <c r="L375" s="492"/>
      <c r="M375" s="31">
        <f>I375</f>
        <v>2432.3723869722398</v>
      </c>
      <c r="N375" s="119" t="s">
        <v>213</v>
      </c>
      <c r="O375" s="186" t="str">
        <f>+CONCATENATE(FIXED(F375*H375,2)," ","m2")</f>
        <v>5.144,16 m2</v>
      </c>
      <c r="P375" s="150" t="s">
        <v>213</v>
      </c>
      <c r="Q375" s="158" t="s">
        <v>213</v>
      </c>
      <c r="R375" s="158"/>
    </row>
    <row r="376" spans="1:18" s="33" customFormat="1" ht="48" customHeight="1" x14ac:dyDescent="0.3">
      <c r="A376" s="495" t="s">
        <v>249</v>
      </c>
      <c r="B376" s="485"/>
      <c r="C376" s="485"/>
      <c r="D376" s="485"/>
      <c r="E376" s="485"/>
      <c r="F376" s="485"/>
      <c r="G376" s="485"/>
      <c r="H376" s="486"/>
      <c r="I376" s="72"/>
      <c r="J376" s="487" t="s">
        <v>250</v>
      </c>
      <c r="K376" s="488"/>
      <c r="L376" s="488"/>
      <c r="M376" s="488"/>
      <c r="N376" s="488"/>
      <c r="O376" s="488"/>
      <c r="P376" s="490"/>
      <c r="Q376" s="161"/>
      <c r="R376" s="190" t="s">
        <v>213</v>
      </c>
    </row>
    <row r="377" spans="1:18" ht="16.2" thickBot="1" x14ac:dyDescent="0.35">
      <c r="A377" s="4"/>
      <c r="B377" s="4"/>
      <c r="C377" s="4"/>
      <c r="D377" s="4"/>
      <c r="E377" s="4"/>
      <c r="F377" s="4"/>
      <c r="G377" s="4"/>
      <c r="H377" s="4"/>
      <c r="I377" s="4"/>
      <c r="J377" s="4"/>
      <c r="K377" s="4"/>
      <c r="L377" s="4"/>
      <c r="M377" s="4"/>
      <c r="N377" s="5"/>
      <c r="O377" s="5"/>
      <c r="P377" s="5"/>
      <c r="Q377" s="5"/>
      <c r="R377" s="5"/>
    </row>
    <row r="378" spans="1:18" ht="30.75" customHeight="1" thickBot="1" x14ac:dyDescent="0.35">
      <c r="A378" s="442">
        <f>A367+1</f>
        <v>29</v>
      </c>
      <c r="B378" s="443"/>
      <c r="C378" s="443"/>
      <c r="D378" s="444"/>
      <c r="E378" s="445" t="str">
        <f>VLOOKUP(A378,'LISTA DE OFERENTES'!$A$6:$B$38,2,FALSE)</f>
        <v>CONSORCIO CDJ 05</v>
      </c>
      <c r="F378" s="446"/>
      <c r="G378" s="446"/>
      <c r="H378" s="446"/>
      <c r="I378" s="446"/>
      <c r="J378" s="446"/>
      <c r="K378" s="446"/>
      <c r="L378" s="446"/>
      <c r="M378" s="446"/>
      <c r="N378" s="446"/>
      <c r="O378" s="446"/>
      <c r="P378" s="446"/>
      <c r="Q378" s="446"/>
      <c r="R378" s="447"/>
    </row>
    <row r="379" spans="1:18" ht="50.25" customHeight="1" x14ac:dyDescent="0.3">
      <c r="A379" s="28" t="s">
        <v>215</v>
      </c>
      <c r="B379" s="85">
        <v>2</v>
      </c>
      <c r="C379" s="29" t="s">
        <v>216</v>
      </c>
      <c r="D379" s="68">
        <f>+$E$508</f>
        <v>1649.6083550000001</v>
      </c>
      <c r="E379" s="448"/>
      <c r="F379" s="449"/>
      <c r="G379" s="449"/>
      <c r="H379" s="449"/>
      <c r="I379" s="449"/>
      <c r="J379" s="449"/>
      <c r="K379" s="449"/>
      <c r="L379" s="449"/>
      <c r="M379" s="449"/>
      <c r="N379" s="449"/>
      <c r="O379" s="449"/>
      <c r="P379" s="449"/>
      <c r="Q379" s="449"/>
      <c r="R379" s="450"/>
    </row>
    <row r="380" spans="1:18" ht="30" customHeight="1" x14ac:dyDescent="0.3">
      <c r="A380" s="454" t="s">
        <v>217</v>
      </c>
      <c r="B380" s="455"/>
      <c r="C380" s="70">
        <f>IF(B379&lt;3,0.75,IF(B379&lt;5,1.2,1.5))</f>
        <v>0.75</v>
      </c>
      <c r="D380" s="71">
        <f>+D379*C380</f>
        <v>1237.20626625</v>
      </c>
      <c r="E380" s="448"/>
      <c r="F380" s="449"/>
      <c r="G380" s="449"/>
      <c r="H380" s="449"/>
      <c r="I380" s="449"/>
      <c r="J380" s="449"/>
      <c r="K380" s="449"/>
      <c r="L380" s="449"/>
      <c r="M380" s="449"/>
      <c r="N380" s="449"/>
      <c r="O380" s="449"/>
      <c r="P380" s="449"/>
      <c r="Q380" s="449"/>
      <c r="R380" s="450"/>
    </row>
    <row r="381" spans="1:18" ht="30" customHeight="1" x14ac:dyDescent="0.3">
      <c r="A381" s="456" t="s">
        <v>218</v>
      </c>
      <c r="B381" s="455"/>
      <c r="C381" s="457">
        <v>44832</v>
      </c>
      <c r="D381" s="458"/>
      <c r="E381" s="448"/>
      <c r="F381" s="449"/>
      <c r="G381" s="449"/>
      <c r="H381" s="449"/>
      <c r="I381" s="449"/>
      <c r="J381" s="449"/>
      <c r="K381" s="449"/>
      <c r="L381" s="449"/>
      <c r="M381" s="449"/>
      <c r="N381" s="449"/>
      <c r="O381" s="449"/>
      <c r="P381" s="449"/>
      <c r="Q381" s="449"/>
      <c r="R381" s="450"/>
    </row>
    <row r="382" spans="1:18" ht="30" customHeight="1" x14ac:dyDescent="0.3">
      <c r="A382" s="459" t="s">
        <v>219</v>
      </c>
      <c r="B382" s="460"/>
      <c r="C382" s="472" t="str">
        <f>+IF(I388&gt;D380,"CUMPLE","NO CUMPLE")</f>
        <v>NO CUMPLE</v>
      </c>
      <c r="D382" s="473"/>
      <c r="E382" s="451"/>
      <c r="F382" s="452"/>
      <c r="G382" s="452"/>
      <c r="H382" s="452"/>
      <c r="I382" s="452"/>
      <c r="J382" s="452"/>
      <c r="K382" s="452"/>
      <c r="L382" s="452"/>
      <c r="M382" s="452"/>
      <c r="N382" s="452"/>
      <c r="O382" s="452"/>
      <c r="P382" s="452"/>
      <c r="Q382" s="452"/>
      <c r="R382" s="453"/>
    </row>
    <row r="383" spans="1:18" ht="55.5" customHeight="1" x14ac:dyDescent="0.3">
      <c r="A383" s="474" t="s">
        <v>220</v>
      </c>
      <c r="B383" s="475"/>
      <c r="C383" s="475"/>
      <c r="D383" s="475"/>
      <c r="E383" s="475"/>
      <c r="F383" s="475"/>
      <c r="G383" s="475"/>
      <c r="H383" s="475"/>
      <c r="I383" s="476"/>
      <c r="J383" s="81" t="s">
        <v>221</v>
      </c>
      <c r="K383" s="103" t="s">
        <v>222</v>
      </c>
      <c r="L383" s="477" t="s">
        <v>223</v>
      </c>
      <c r="M383" s="476"/>
      <c r="N383" s="478" t="s">
        <v>224</v>
      </c>
      <c r="O383" s="480" t="s">
        <v>225</v>
      </c>
      <c r="P383" s="481"/>
      <c r="Q383" s="478" t="s">
        <v>226</v>
      </c>
      <c r="R383" s="461" t="s">
        <v>227</v>
      </c>
    </row>
    <row r="384" spans="1:18" ht="77.25" customHeight="1" x14ac:dyDescent="0.3">
      <c r="A384" s="82" t="s">
        <v>228</v>
      </c>
      <c r="B384" s="463" t="s">
        <v>229</v>
      </c>
      <c r="C384" s="464"/>
      <c r="D384" s="83" t="s">
        <v>230</v>
      </c>
      <c r="E384" s="83" t="s">
        <v>231</v>
      </c>
      <c r="F384" s="83" t="s">
        <v>232</v>
      </c>
      <c r="G384" s="83" t="s">
        <v>233</v>
      </c>
      <c r="H384" s="116" t="s">
        <v>234</v>
      </c>
      <c r="I384" s="116" t="s">
        <v>235</v>
      </c>
      <c r="J384" s="84" t="s">
        <v>236</v>
      </c>
      <c r="K384" s="84" t="s">
        <v>237</v>
      </c>
      <c r="L384" s="84" t="s">
        <v>238</v>
      </c>
      <c r="M384" s="84" t="s">
        <v>239</v>
      </c>
      <c r="N384" s="479"/>
      <c r="O384" s="482"/>
      <c r="P384" s="483"/>
      <c r="Q384" s="479"/>
      <c r="R384" s="462"/>
    </row>
    <row r="385" spans="1:18" ht="39.9" customHeight="1" x14ac:dyDescent="0.3">
      <c r="A385" s="86" t="str">
        <f>VLOOKUP(A378,'LISTA DE OFERENTES'!$A$6:$R$38,7,FALSE)</f>
        <v>WILLIAMS.CO S.A.S.</v>
      </c>
      <c r="B385" s="87"/>
      <c r="C385" s="87"/>
      <c r="D385" s="87"/>
      <c r="E385" s="87"/>
      <c r="F385" s="87"/>
      <c r="G385" s="87"/>
      <c r="H385" s="87"/>
      <c r="I385" s="87"/>
      <c r="J385" s="87"/>
      <c r="K385" s="87"/>
      <c r="L385" s="491" t="str">
        <f>+A385</f>
        <v>WILLIAMS.CO S.A.S.</v>
      </c>
      <c r="M385" s="87"/>
      <c r="N385" s="87"/>
      <c r="O385" s="162" t="s">
        <v>241</v>
      </c>
      <c r="P385" s="87"/>
      <c r="Q385" s="159"/>
      <c r="R385" s="188"/>
    </row>
    <row r="386" spans="1:18" s="33" customFormat="1" ht="248.25" customHeight="1" x14ac:dyDescent="0.3">
      <c r="A386" s="320" t="s">
        <v>441</v>
      </c>
      <c r="B386" s="498" t="s">
        <v>442</v>
      </c>
      <c r="C386" s="467"/>
      <c r="D386" s="23">
        <v>341582224</v>
      </c>
      <c r="E386" s="69">
        <v>2014</v>
      </c>
      <c r="F386" s="69">
        <f>13271.6+258.3+29.2+1932.1+25.7+1670.5</f>
        <v>17187.400000000001</v>
      </c>
      <c r="G386" s="24">
        <f>D386/(VLOOKUP(E386,$D$535:$E$566,2,FALSE))</f>
        <v>554.51659740259743</v>
      </c>
      <c r="H386" s="3">
        <v>0.5</v>
      </c>
      <c r="I386" s="24">
        <f>H386*G386</f>
        <v>277.25829870129871</v>
      </c>
      <c r="J386" s="100">
        <v>41833</v>
      </c>
      <c r="K386" s="30"/>
      <c r="L386" s="492"/>
      <c r="M386" s="31">
        <f>I386</f>
        <v>277.25829870129871</v>
      </c>
      <c r="N386" s="119" t="s">
        <v>213</v>
      </c>
      <c r="O386" s="186" t="str">
        <f>+CONCATENATE(FIXED(F386*H386,2)," ","m2")</f>
        <v>8.593,70 m2</v>
      </c>
      <c r="P386" s="150" t="s">
        <v>213</v>
      </c>
      <c r="Q386" s="158" t="s">
        <v>213</v>
      </c>
      <c r="R386" s="158"/>
    </row>
    <row r="387" spans="1:18" s="33" customFormat="1" ht="150" customHeight="1" x14ac:dyDescent="0.3">
      <c r="A387" s="119" t="s">
        <v>444</v>
      </c>
      <c r="B387" s="498" t="s">
        <v>445</v>
      </c>
      <c r="C387" s="467"/>
      <c r="D387" s="23">
        <v>341582224</v>
      </c>
      <c r="E387" s="69">
        <v>2014</v>
      </c>
      <c r="F387" s="69">
        <f>538.9+8.33+90.64+83.32+70+48.97</f>
        <v>840.16000000000008</v>
      </c>
      <c r="G387" s="24">
        <f>D387/(VLOOKUP(E387,$D$535:$E$566,2,FALSE))</f>
        <v>554.51659740259743</v>
      </c>
      <c r="H387" s="3">
        <v>1</v>
      </c>
      <c r="I387" s="24">
        <f>H387*G387</f>
        <v>554.51659740259743</v>
      </c>
      <c r="J387" s="100">
        <v>41833</v>
      </c>
      <c r="K387" s="30" t="s">
        <v>626</v>
      </c>
      <c r="L387" s="492"/>
      <c r="M387" s="31">
        <f>I387</f>
        <v>554.51659740259743</v>
      </c>
      <c r="N387" s="119" t="s">
        <v>213</v>
      </c>
      <c r="O387" s="186" t="str">
        <f>+CONCATENATE(FIXED(F387*H387,2)," ","m2")</f>
        <v>840,16 m2</v>
      </c>
      <c r="P387" s="150" t="s">
        <v>214</v>
      </c>
      <c r="Q387" s="158" t="s">
        <v>213</v>
      </c>
      <c r="R387" s="216"/>
    </row>
    <row r="388" spans="1:18" s="33" customFormat="1" ht="48" customHeight="1" x14ac:dyDescent="0.3">
      <c r="A388" s="495" t="s">
        <v>249</v>
      </c>
      <c r="B388" s="485"/>
      <c r="C388" s="485"/>
      <c r="D388" s="485"/>
      <c r="E388" s="485"/>
      <c r="F388" s="485"/>
      <c r="G388" s="485"/>
      <c r="H388" s="486"/>
      <c r="I388" s="72">
        <f>SUM(I386:I387)</f>
        <v>831.77489610389614</v>
      </c>
      <c r="J388" s="487" t="s">
        <v>250</v>
      </c>
      <c r="K388" s="488"/>
      <c r="L388" s="488"/>
      <c r="M388" s="488"/>
      <c r="N388" s="488"/>
      <c r="O388" s="488"/>
      <c r="P388" s="490"/>
      <c r="Q388" s="161"/>
      <c r="R388" s="190" t="s">
        <v>213</v>
      </c>
    </row>
    <row r="389" spans="1:18" ht="15.6" x14ac:dyDescent="0.3">
      <c r="A389" s="4"/>
      <c r="B389" s="4"/>
      <c r="C389" s="4"/>
      <c r="D389" s="4"/>
      <c r="E389" s="4"/>
      <c r="F389" s="4"/>
      <c r="G389" s="4"/>
      <c r="H389" s="4"/>
      <c r="I389" s="4"/>
      <c r="J389" s="4"/>
      <c r="K389" s="4"/>
      <c r="L389" s="4"/>
      <c r="M389" s="4"/>
      <c r="N389" s="5"/>
      <c r="O389" s="5"/>
      <c r="P389" s="5"/>
      <c r="Q389" s="5"/>
      <c r="R389" s="5"/>
    </row>
    <row r="390" spans="1:18" ht="30.75" customHeight="1" thickBot="1" x14ac:dyDescent="0.35">
      <c r="A390" s="442">
        <f>A378+1</f>
        <v>30</v>
      </c>
      <c r="B390" s="443"/>
      <c r="C390" s="443"/>
      <c r="D390" s="444"/>
      <c r="E390" s="445" t="str">
        <f>VLOOKUP(A390,'LISTA DE OFERENTES'!$A$6:$B$38,2,FALSE)</f>
        <v>CONSORCIO PARQUES INLF</v>
      </c>
      <c r="F390" s="446"/>
      <c r="G390" s="446"/>
      <c r="H390" s="446"/>
      <c r="I390" s="446"/>
      <c r="J390" s="446"/>
      <c r="K390" s="446"/>
      <c r="L390" s="446"/>
      <c r="M390" s="446"/>
      <c r="N390" s="446"/>
      <c r="O390" s="446"/>
      <c r="P390" s="446"/>
      <c r="Q390" s="446"/>
      <c r="R390" s="447"/>
    </row>
    <row r="391" spans="1:18" ht="50.25" customHeight="1" x14ac:dyDescent="0.3">
      <c r="A391" s="28" t="s">
        <v>215</v>
      </c>
      <c r="B391" s="85">
        <v>2</v>
      </c>
      <c r="C391" s="29" t="s">
        <v>216</v>
      </c>
      <c r="D391" s="68">
        <f>+$E$508</f>
        <v>1649.6083550000001</v>
      </c>
      <c r="E391" s="448"/>
      <c r="F391" s="449"/>
      <c r="G391" s="449"/>
      <c r="H391" s="449"/>
      <c r="I391" s="449"/>
      <c r="J391" s="449"/>
      <c r="K391" s="449"/>
      <c r="L391" s="449"/>
      <c r="M391" s="449"/>
      <c r="N391" s="449"/>
      <c r="O391" s="449"/>
      <c r="P391" s="449"/>
      <c r="Q391" s="449"/>
      <c r="R391" s="450"/>
    </row>
    <row r="392" spans="1:18" ht="30" customHeight="1" x14ac:dyDescent="0.3">
      <c r="A392" s="454" t="s">
        <v>217</v>
      </c>
      <c r="B392" s="455"/>
      <c r="C392" s="273">
        <f>IF(B391&lt;3,0.75,IF(B391&lt;5,1.2,1.5))</f>
        <v>0.75</v>
      </c>
      <c r="D392" s="71">
        <f>+D391*C392</f>
        <v>1237.20626625</v>
      </c>
      <c r="E392" s="448"/>
      <c r="F392" s="449"/>
      <c r="G392" s="449"/>
      <c r="H392" s="449"/>
      <c r="I392" s="449"/>
      <c r="J392" s="449"/>
      <c r="K392" s="449"/>
      <c r="L392" s="449"/>
      <c r="M392" s="449"/>
      <c r="N392" s="449"/>
      <c r="O392" s="449"/>
      <c r="P392" s="449"/>
      <c r="Q392" s="449"/>
      <c r="R392" s="450"/>
    </row>
    <row r="393" spans="1:18" ht="30" customHeight="1" x14ac:dyDescent="0.3">
      <c r="A393" s="456" t="s">
        <v>218</v>
      </c>
      <c r="B393" s="455"/>
      <c r="C393" s="457">
        <v>44832</v>
      </c>
      <c r="D393" s="458"/>
      <c r="E393" s="448"/>
      <c r="F393" s="449"/>
      <c r="G393" s="449"/>
      <c r="H393" s="449"/>
      <c r="I393" s="449"/>
      <c r="J393" s="449"/>
      <c r="K393" s="449"/>
      <c r="L393" s="449"/>
      <c r="M393" s="449"/>
      <c r="N393" s="449"/>
      <c r="O393" s="449"/>
      <c r="P393" s="449"/>
      <c r="Q393" s="449"/>
      <c r="R393" s="450"/>
    </row>
    <row r="394" spans="1:18" ht="30" customHeight="1" x14ac:dyDescent="0.3">
      <c r="A394" s="459" t="s">
        <v>219</v>
      </c>
      <c r="B394" s="460"/>
      <c r="C394" s="472" t="str">
        <f>+IF(I403&gt;D392,"CUMPLE","NO CUMPLE")</f>
        <v>CUMPLE</v>
      </c>
      <c r="D394" s="473"/>
      <c r="E394" s="451"/>
      <c r="F394" s="452"/>
      <c r="G394" s="452"/>
      <c r="H394" s="452"/>
      <c r="I394" s="452"/>
      <c r="J394" s="452"/>
      <c r="K394" s="452"/>
      <c r="L394" s="452"/>
      <c r="M394" s="452"/>
      <c r="N394" s="452"/>
      <c r="O394" s="452"/>
      <c r="P394" s="452"/>
      <c r="Q394" s="452"/>
      <c r="R394" s="453"/>
    </row>
    <row r="395" spans="1:18" ht="55.5" customHeight="1" x14ac:dyDescent="0.3">
      <c r="A395" s="474" t="s">
        <v>220</v>
      </c>
      <c r="B395" s="475"/>
      <c r="C395" s="475"/>
      <c r="D395" s="475"/>
      <c r="E395" s="475"/>
      <c r="F395" s="475"/>
      <c r="G395" s="475"/>
      <c r="H395" s="475"/>
      <c r="I395" s="476"/>
      <c r="J395" s="81" t="s">
        <v>221</v>
      </c>
      <c r="K395" s="103" t="s">
        <v>222</v>
      </c>
      <c r="L395" s="477" t="s">
        <v>223</v>
      </c>
      <c r="M395" s="476"/>
      <c r="N395" s="478" t="s">
        <v>224</v>
      </c>
      <c r="O395" s="480" t="s">
        <v>225</v>
      </c>
      <c r="P395" s="481"/>
      <c r="Q395" s="478" t="s">
        <v>226</v>
      </c>
      <c r="R395" s="461" t="s">
        <v>227</v>
      </c>
    </row>
    <row r="396" spans="1:18" ht="77.25" customHeight="1" x14ac:dyDescent="0.3">
      <c r="A396" s="82" t="s">
        <v>228</v>
      </c>
      <c r="B396" s="463" t="s">
        <v>229</v>
      </c>
      <c r="C396" s="464"/>
      <c r="D396" s="83" t="s">
        <v>230</v>
      </c>
      <c r="E396" s="83" t="s">
        <v>231</v>
      </c>
      <c r="F396" s="83" t="s">
        <v>232</v>
      </c>
      <c r="G396" s="83" t="s">
        <v>233</v>
      </c>
      <c r="H396" s="116" t="s">
        <v>234</v>
      </c>
      <c r="I396" s="116" t="s">
        <v>235</v>
      </c>
      <c r="J396" s="84" t="s">
        <v>236</v>
      </c>
      <c r="K396" s="84" t="s">
        <v>237</v>
      </c>
      <c r="L396" s="84" t="s">
        <v>238</v>
      </c>
      <c r="M396" s="84" t="s">
        <v>239</v>
      </c>
      <c r="N396" s="479"/>
      <c r="O396" s="482"/>
      <c r="P396" s="483"/>
      <c r="Q396" s="479"/>
      <c r="R396" s="462"/>
    </row>
    <row r="397" spans="1:18" ht="39.9" customHeight="1" x14ac:dyDescent="0.3">
      <c r="A397" s="86" t="str">
        <f>+'LISTA DE OFERENTES'!G35</f>
        <v xml:space="preserve">INCIVIL PRO SAS </v>
      </c>
      <c r="B397" s="87"/>
      <c r="C397" s="87"/>
      <c r="D397" s="87"/>
      <c r="E397" s="87"/>
      <c r="F397" s="87"/>
      <c r="G397" s="87"/>
      <c r="H397" s="87"/>
      <c r="I397" s="87"/>
      <c r="J397" s="87"/>
      <c r="K397" s="87"/>
      <c r="L397" s="491" t="str">
        <f>+A399</f>
        <v>LUFSACIVIL SAS</v>
      </c>
      <c r="M397" s="87"/>
      <c r="N397" s="87"/>
      <c r="O397" s="162" t="s">
        <v>241</v>
      </c>
      <c r="P397" s="87"/>
      <c r="Q397" s="159"/>
      <c r="R397" s="188"/>
    </row>
    <row r="398" spans="1:18" s="33" customFormat="1" ht="251.25" customHeight="1" x14ac:dyDescent="0.3">
      <c r="A398" s="320" t="s">
        <v>451</v>
      </c>
      <c r="B398" s="498" t="s">
        <v>452</v>
      </c>
      <c r="C398" s="467"/>
      <c r="D398" s="23">
        <v>2806299857</v>
      </c>
      <c r="E398" s="69">
        <v>2021</v>
      </c>
      <c r="F398" s="69"/>
      <c r="G398" s="24">
        <f>D398/(VLOOKUP(E398,$D$535:$E$566,2,FALSE))</f>
        <v>3088.8492536262033</v>
      </c>
      <c r="H398" s="3">
        <v>0.62</v>
      </c>
      <c r="I398" s="24">
        <f>H398*G398</f>
        <v>1915.086537248246</v>
      </c>
      <c r="J398" s="100">
        <v>44525</v>
      </c>
      <c r="K398" s="30" t="s">
        <v>473</v>
      </c>
      <c r="L398" s="492"/>
      <c r="M398" s="31">
        <f>I398</f>
        <v>1915.086537248246</v>
      </c>
      <c r="N398" s="358" t="s">
        <v>214</v>
      </c>
      <c r="O398" s="359" t="str">
        <f>+CONCATENATE(FIXED(F398*H398,2)," ","m2")</f>
        <v>0,00 m2</v>
      </c>
      <c r="P398" s="360" t="s">
        <v>214</v>
      </c>
      <c r="Q398" s="361" t="s">
        <v>213</v>
      </c>
      <c r="R398" s="361" t="s">
        <v>627</v>
      </c>
    </row>
    <row r="399" spans="1:18" s="33" customFormat="1" ht="38.25" customHeight="1" x14ac:dyDescent="0.3">
      <c r="A399" s="547" t="str">
        <f>+'LISTA DE OFERENTES'!K35</f>
        <v>LUFSACIVIL SAS</v>
      </c>
      <c r="B399" s="548"/>
      <c r="C399" s="548"/>
      <c r="D399" s="548"/>
      <c r="E399" s="548"/>
      <c r="F399" s="548"/>
      <c r="G399" s="548"/>
      <c r="H399" s="548"/>
      <c r="I399" s="548"/>
      <c r="J399" s="548"/>
      <c r="K399" s="549"/>
      <c r="L399" s="492"/>
      <c r="M399" s="269"/>
      <c r="N399" s="270"/>
      <c r="O399" s="272" t="s">
        <v>241</v>
      </c>
      <c r="P399" s="270"/>
      <c r="Q399" s="270"/>
      <c r="R399" s="271"/>
    </row>
    <row r="400" spans="1:18" s="33" customFormat="1" ht="38.25" customHeight="1" x14ac:dyDescent="0.3">
      <c r="A400" s="339"/>
      <c r="B400" s="340"/>
      <c r="C400" s="340"/>
      <c r="D400" s="340"/>
      <c r="E400" s="340"/>
      <c r="F400" s="340"/>
      <c r="G400" s="340"/>
      <c r="H400" s="340"/>
      <c r="I400" s="340"/>
      <c r="J400" s="340"/>
      <c r="K400" s="340"/>
      <c r="L400" s="492"/>
      <c r="M400" s="269"/>
      <c r="N400" s="270"/>
      <c r="O400" s="272"/>
      <c r="P400" s="270"/>
      <c r="Q400" s="270"/>
      <c r="R400" s="271"/>
    </row>
    <row r="401" spans="1:18" s="33" customFormat="1" ht="204" customHeight="1" x14ac:dyDescent="0.3">
      <c r="A401" s="320" t="s">
        <v>451</v>
      </c>
      <c r="B401" s="498" t="s">
        <v>452</v>
      </c>
      <c r="C401" s="467"/>
      <c r="D401" s="23">
        <v>2806299857</v>
      </c>
      <c r="E401" s="69">
        <v>2021</v>
      </c>
      <c r="F401" s="69"/>
      <c r="G401" s="24">
        <f>D401/(VLOOKUP(E401,$D$535:$E$566,2,FALSE))</f>
        <v>3088.8492536262033</v>
      </c>
      <c r="H401" s="3">
        <v>0.33</v>
      </c>
      <c r="I401" s="24">
        <f>H401*G401</f>
        <v>1019.3202536966471</v>
      </c>
      <c r="J401" s="100">
        <v>44525</v>
      </c>
      <c r="K401" s="30" t="s">
        <v>473</v>
      </c>
      <c r="L401" s="492"/>
      <c r="M401" s="31">
        <f>+I401</f>
        <v>1019.3202536966471</v>
      </c>
      <c r="N401" s="358"/>
      <c r="O401" s="359"/>
      <c r="P401" s="360"/>
      <c r="Q401" s="361"/>
      <c r="R401" s="361"/>
    </row>
    <row r="402" spans="1:18" s="33" customFormat="1" ht="320.25" customHeight="1" x14ac:dyDescent="0.3">
      <c r="A402" s="237" t="s">
        <v>456</v>
      </c>
      <c r="B402" s="498" t="s">
        <v>457</v>
      </c>
      <c r="C402" s="467"/>
      <c r="D402" s="23">
        <f>2323342856+451770545</f>
        <v>2775113401</v>
      </c>
      <c r="E402" s="69">
        <v>2014</v>
      </c>
      <c r="F402" s="69">
        <f>225.88+3737.06</f>
        <v>3962.94</v>
      </c>
      <c r="G402" s="24">
        <f>D402/(VLOOKUP(E402,$D$535:$E$566,2,FALSE))</f>
        <v>4505.0542224025976</v>
      </c>
      <c r="H402" s="3">
        <v>1</v>
      </c>
      <c r="I402" s="24">
        <f>H402*G402</f>
        <v>4505.0542224025976</v>
      </c>
      <c r="J402" s="100">
        <v>41802</v>
      </c>
      <c r="K402" s="30" t="s">
        <v>491</v>
      </c>
      <c r="L402" s="492"/>
      <c r="M402" s="31">
        <f>I402</f>
        <v>4505.0542224025976</v>
      </c>
      <c r="N402" s="119" t="s">
        <v>213</v>
      </c>
      <c r="O402" s="186" t="str">
        <f>+CONCATENATE(FIXED(F402*H402,2)," ","m2")</f>
        <v>3.962,94 m2</v>
      </c>
      <c r="P402" s="150" t="s">
        <v>213</v>
      </c>
      <c r="Q402" s="158" t="s">
        <v>213</v>
      </c>
      <c r="R402" s="158" t="s">
        <v>628</v>
      </c>
    </row>
    <row r="403" spans="1:18" s="33" customFormat="1" ht="48" customHeight="1" thickBot="1" x14ac:dyDescent="0.35">
      <c r="A403" s="495" t="s">
        <v>249</v>
      </c>
      <c r="B403" s="485"/>
      <c r="C403" s="485"/>
      <c r="D403" s="485"/>
      <c r="E403" s="485"/>
      <c r="F403" s="485"/>
      <c r="G403" s="485"/>
      <c r="H403" s="486"/>
      <c r="I403" s="72">
        <f>SUM(I398:I402)</f>
        <v>7439.4610133474907</v>
      </c>
      <c r="J403" s="487" t="s">
        <v>250</v>
      </c>
      <c r="K403" s="488"/>
      <c r="L403" s="488"/>
      <c r="M403" s="488"/>
      <c r="N403" s="488"/>
      <c r="O403" s="488"/>
      <c r="P403" s="490"/>
      <c r="Q403" s="161"/>
      <c r="R403" s="190" t="s">
        <v>214</v>
      </c>
    </row>
    <row r="404" spans="1:18" ht="15.75" customHeight="1" thickBot="1" x14ac:dyDescent="0.35">
      <c r="A404" s="4"/>
      <c r="B404" s="4"/>
      <c r="C404" s="120"/>
      <c r="D404" s="120"/>
      <c r="E404" s="120"/>
      <c r="F404" s="120"/>
      <c r="G404" s="120"/>
      <c r="H404" s="120"/>
      <c r="I404" s="120"/>
      <c r="J404" s="120"/>
      <c r="K404" s="120"/>
      <c r="L404" s="120"/>
      <c r="M404" s="120"/>
      <c r="N404" s="120"/>
      <c r="O404" s="120"/>
      <c r="P404" s="120"/>
      <c r="Q404" s="120"/>
      <c r="R404" s="5"/>
    </row>
    <row r="405" spans="1:18" ht="30.75" customHeight="1" thickBot="1" x14ac:dyDescent="0.35">
      <c r="A405" s="442">
        <f>A390+1</f>
        <v>31</v>
      </c>
      <c r="B405" s="443"/>
      <c r="C405" s="443"/>
      <c r="D405" s="444"/>
      <c r="E405" s="445" t="s">
        <v>462</v>
      </c>
      <c r="F405" s="446"/>
      <c r="G405" s="446"/>
      <c r="H405" s="446"/>
      <c r="I405" s="446"/>
      <c r="J405" s="446"/>
      <c r="K405" s="446"/>
      <c r="L405" s="446"/>
      <c r="M405" s="446"/>
      <c r="N405" s="446"/>
      <c r="O405" s="446"/>
      <c r="P405" s="446"/>
      <c r="Q405" s="446"/>
      <c r="R405" s="447"/>
    </row>
    <row r="406" spans="1:18" ht="50.25" customHeight="1" x14ac:dyDescent="0.3">
      <c r="A406" s="28" t="s">
        <v>215</v>
      </c>
      <c r="B406" s="85">
        <v>2</v>
      </c>
      <c r="C406" s="29" t="s">
        <v>216</v>
      </c>
      <c r="D406" s="68">
        <f>+$E$508</f>
        <v>1649.6083550000001</v>
      </c>
      <c r="E406" s="448"/>
      <c r="F406" s="449"/>
      <c r="G406" s="449"/>
      <c r="H406" s="449"/>
      <c r="I406" s="449"/>
      <c r="J406" s="449"/>
      <c r="K406" s="449"/>
      <c r="L406" s="449"/>
      <c r="M406" s="449"/>
      <c r="N406" s="449"/>
      <c r="O406" s="449"/>
      <c r="P406" s="449"/>
      <c r="Q406" s="449"/>
      <c r="R406" s="450"/>
    </row>
    <row r="407" spans="1:18" ht="30" customHeight="1" x14ac:dyDescent="0.3">
      <c r="A407" s="454" t="s">
        <v>217</v>
      </c>
      <c r="B407" s="455"/>
      <c r="C407" s="70">
        <f>IF(B406&lt;3,0.75,IF(B406&lt;5,1.2,1.5))</f>
        <v>0.75</v>
      </c>
      <c r="D407" s="71">
        <f>+D406*C407</f>
        <v>1237.20626625</v>
      </c>
      <c r="E407" s="448"/>
      <c r="F407" s="449"/>
      <c r="G407" s="449"/>
      <c r="H407" s="449"/>
      <c r="I407" s="449"/>
      <c r="J407" s="449"/>
      <c r="K407" s="449"/>
      <c r="L407" s="449"/>
      <c r="M407" s="449"/>
      <c r="N407" s="449"/>
      <c r="O407" s="449"/>
      <c r="P407" s="449"/>
      <c r="Q407" s="449"/>
      <c r="R407" s="450"/>
    </row>
    <row r="408" spans="1:18" ht="30" customHeight="1" x14ac:dyDescent="0.3">
      <c r="A408" s="456" t="s">
        <v>218</v>
      </c>
      <c r="B408" s="455"/>
      <c r="C408" s="457">
        <v>44771</v>
      </c>
      <c r="D408" s="458"/>
      <c r="E408" s="448"/>
      <c r="F408" s="449"/>
      <c r="G408" s="449"/>
      <c r="H408" s="449"/>
      <c r="I408" s="449"/>
      <c r="J408" s="449"/>
      <c r="K408" s="449"/>
      <c r="L408" s="449"/>
      <c r="M408" s="449"/>
      <c r="N408" s="449"/>
      <c r="O408" s="449"/>
      <c r="P408" s="449"/>
      <c r="Q408" s="449"/>
      <c r="R408" s="450"/>
    </row>
    <row r="409" spans="1:18" ht="30" customHeight="1" x14ac:dyDescent="0.3">
      <c r="A409" s="459" t="s">
        <v>219</v>
      </c>
      <c r="B409" s="460"/>
      <c r="C409" s="472" t="str">
        <f>+IF(I416&gt;D407,"CUMPLE","NO CUMPLE")</f>
        <v>CUMPLE</v>
      </c>
      <c r="D409" s="473"/>
      <c r="E409" s="451"/>
      <c r="F409" s="452"/>
      <c r="G409" s="452"/>
      <c r="H409" s="452"/>
      <c r="I409" s="452"/>
      <c r="J409" s="452"/>
      <c r="K409" s="452"/>
      <c r="L409" s="452"/>
      <c r="M409" s="452"/>
      <c r="N409" s="452"/>
      <c r="O409" s="452"/>
      <c r="P409" s="452"/>
      <c r="Q409" s="452"/>
      <c r="R409" s="453"/>
    </row>
    <row r="410" spans="1:18" ht="55.5" customHeight="1" x14ac:dyDescent="0.3">
      <c r="A410" s="474" t="s">
        <v>220</v>
      </c>
      <c r="B410" s="475"/>
      <c r="C410" s="475"/>
      <c r="D410" s="475"/>
      <c r="E410" s="475"/>
      <c r="F410" s="475"/>
      <c r="G410" s="475"/>
      <c r="H410" s="475"/>
      <c r="I410" s="476"/>
      <c r="J410" s="81" t="s">
        <v>221</v>
      </c>
      <c r="K410" s="103" t="s">
        <v>222</v>
      </c>
      <c r="L410" s="477" t="s">
        <v>223</v>
      </c>
      <c r="M410" s="476"/>
      <c r="N410" s="478" t="s">
        <v>224</v>
      </c>
      <c r="O410" s="480" t="s">
        <v>225</v>
      </c>
      <c r="P410" s="481"/>
      <c r="Q410" s="478" t="s">
        <v>226</v>
      </c>
      <c r="R410" s="461" t="s">
        <v>227</v>
      </c>
    </row>
    <row r="411" spans="1:18" ht="77.25" customHeight="1" x14ac:dyDescent="0.3">
      <c r="A411" s="82" t="s">
        <v>228</v>
      </c>
      <c r="B411" s="463" t="s">
        <v>229</v>
      </c>
      <c r="C411" s="464"/>
      <c r="D411" s="83" t="s">
        <v>230</v>
      </c>
      <c r="E411" s="83" t="s">
        <v>231</v>
      </c>
      <c r="F411" s="83" t="s">
        <v>232</v>
      </c>
      <c r="G411" s="83" t="s">
        <v>233</v>
      </c>
      <c r="H411" s="116" t="s">
        <v>234</v>
      </c>
      <c r="I411" s="116" t="s">
        <v>235</v>
      </c>
      <c r="J411" s="84" t="s">
        <v>236</v>
      </c>
      <c r="K411" s="84" t="s">
        <v>237</v>
      </c>
      <c r="L411" s="84" t="s">
        <v>238</v>
      </c>
      <c r="M411" s="84" t="s">
        <v>239</v>
      </c>
      <c r="N411" s="479"/>
      <c r="O411" s="482"/>
      <c r="P411" s="483"/>
      <c r="Q411" s="479"/>
      <c r="R411" s="462"/>
    </row>
    <row r="412" spans="1:18" ht="39.9" customHeight="1" x14ac:dyDescent="0.3">
      <c r="A412" s="86" t="str">
        <f>VLOOKUP(A405,'LISTA DE OFERENTES'!$A$6:$R$38,7,FALSE)</f>
        <v>GERMAN RAMIREZ BARBOSA</v>
      </c>
      <c r="B412" s="87"/>
      <c r="C412" s="87"/>
      <c r="D412" s="87"/>
      <c r="E412" s="87"/>
      <c r="F412" s="87"/>
      <c r="G412" s="87"/>
      <c r="H412" s="87"/>
      <c r="I412" s="87"/>
      <c r="J412" s="87"/>
      <c r="K412" s="87"/>
      <c r="L412" s="491" t="s">
        <v>167</v>
      </c>
      <c r="M412" s="87"/>
      <c r="N412" s="87"/>
      <c r="O412" s="162" t="s">
        <v>241</v>
      </c>
      <c r="P412" s="87"/>
      <c r="Q412" s="87"/>
      <c r="R412" s="90"/>
    </row>
    <row r="413" spans="1:18" s="33" customFormat="1" ht="150" customHeight="1" x14ac:dyDescent="0.3">
      <c r="A413" s="119" t="s">
        <v>464</v>
      </c>
      <c r="B413" s="498" t="s">
        <v>465</v>
      </c>
      <c r="C413" s="467"/>
      <c r="D413" s="23">
        <v>5608208901</v>
      </c>
      <c r="E413" s="69">
        <v>2008</v>
      </c>
      <c r="F413" s="69">
        <v>14262</v>
      </c>
      <c r="G413" s="24">
        <f>D413/(VLOOKUP(E413,$D$535:$E$566,2,FALSE))</f>
        <v>12152.131963163596</v>
      </c>
      <c r="H413" s="3">
        <v>0.95</v>
      </c>
      <c r="I413" s="24">
        <f>H413*G413</f>
        <v>11544.525365005416</v>
      </c>
      <c r="J413" s="100">
        <v>39853</v>
      </c>
      <c r="K413" s="30" t="s">
        <v>473</v>
      </c>
      <c r="L413" s="492"/>
      <c r="M413" s="31">
        <f>I413</f>
        <v>11544.525365005416</v>
      </c>
      <c r="N413" s="119" t="s">
        <v>213</v>
      </c>
      <c r="O413" s="186">
        <v>14262</v>
      </c>
      <c r="P413" s="119"/>
      <c r="Q413" s="142" t="s">
        <v>213</v>
      </c>
      <c r="R413" s="32"/>
    </row>
    <row r="414" spans="1:18" ht="39.9" customHeight="1" x14ac:dyDescent="0.3">
      <c r="A414" s="88" t="str">
        <f>VLOOKUP(A405,'LISTA DE OFERENTES'!$A$6:$R$38,11,FALSE)</f>
        <v>LYD PROYECTOS S.A.S</v>
      </c>
      <c r="B414" s="499"/>
      <c r="C414" s="500"/>
      <c r="D414" s="88"/>
      <c r="E414" s="88"/>
      <c r="F414" s="88"/>
      <c r="G414" s="88"/>
      <c r="H414" s="88"/>
      <c r="I414" s="147"/>
      <c r="J414" s="88"/>
      <c r="K414" s="89"/>
      <c r="L414" s="492"/>
      <c r="M414" s="91"/>
      <c r="N414" s="88"/>
      <c r="O414" s="88"/>
      <c r="P414" s="88"/>
      <c r="Q414" s="87"/>
      <c r="R414" s="90"/>
    </row>
    <row r="415" spans="1:18" s="33" customFormat="1" ht="150" customHeight="1" x14ac:dyDescent="0.3">
      <c r="A415" s="119" t="s">
        <v>467</v>
      </c>
      <c r="B415" s="498" t="s">
        <v>243</v>
      </c>
      <c r="C415" s="467"/>
      <c r="D415" s="23">
        <v>6743245463</v>
      </c>
      <c r="E415" s="69">
        <v>2017</v>
      </c>
      <c r="F415" s="69" t="s">
        <v>469</v>
      </c>
      <c r="G415" s="24">
        <f>D415/(VLOOKUP(E415,$D$535:$E$566,2,FALSE))</f>
        <v>9140.6941455869928</v>
      </c>
      <c r="H415" s="3">
        <v>0.95</v>
      </c>
      <c r="I415" s="24">
        <f>H415*G415</f>
        <v>8683.6594383076426</v>
      </c>
      <c r="J415" s="100">
        <v>43969</v>
      </c>
      <c r="K415" s="30" t="s">
        <v>473</v>
      </c>
      <c r="L415" s="492"/>
      <c r="M415" s="31">
        <f>I415</f>
        <v>8683.6594383076426</v>
      </c>
      <c r="N415" s="119" t="s">
        <v>213</v>
      </c>
      <c r="O415" s="186">
        <v>0</v>
      </c>
      <c r="P415" s="119"/>
      <c r="Q415" s="142" t="s">
        <v>213</v>
      </c>
      <c r="R415" s="32" t="s">
        <v>470</v>
      </c>
    </row>
    <row r="416" spans="1:18" s="33" customFormat="1" ht="48" customHeight="1" thickBot="1" x14ac:dyDescent="0.35">
      <c r="A416" s="495" t="s">
        <v>249</v>
      </c>
      <c r="B416" s="485"/>
      <c r="C416" s="485"/>
      <c r="D416" s="485"/>
      <c r="E416" s="485"/>
      <c r="F416" s="485"/>
      <c r="G416" s="485"/>
      <c r="H416" s="486"/>
      <c r="I416" s="72">
        <f>SUM(I413:I415)</f>
        <v>20228.184803313059</v>
      </c>
      <c r="J416" s="487" t="s">
        <v>250</v>
      </c>
      <c r="K416" s="488"/>
      <c r="L416" s="488"/>
      <c r="M416" s="488"/>
      <c r="N416" s="488"/>
      <c r="O416" s="488"/>
      <c r="P416" s="490"/>
      <c r="Q416" s="136"/>
      <c r="R416" s="92" t="s">
        <v>214</v>
      </c>
    </row>
    <row r="417" spans="1:18" ht="16.2" thickBot="1" x14ac:dyDescent="0.35">
      <c r="A417" s="4"/>
      <c r="B417" s="4"/>
      <c r="C417" s="4"/>
      <c r="D417" s="4"/>
      <c r="E417" s="4"/>
      <c r="F417" s="4"/>
      <c r="G417" s="4"/>
      <c r="H417" s="4"/>
      <c r="I417" s="4"/>
      <c r="J417" s="4"/>
      <c r="K417" s="4"/>
      <c r="L417" s="4"/>
      <c r="M417" s="4"/>
      <c r="N417" s="5"/>
      <c r="O417" s="5"/>
      <c r="P417" s="5"/>
      <c r="Q417" s="5"/>
      <c r="R417" s="5"/>
    </row>
    <row r="418" spans="1:18" ht="30.75" customHeight="1" thickBot="1" x14ac:dyDescent="0.35">
      <c r="A418" s="442">
        <f>A405+1</f>
        <v>32</v>
      </c>
      <c r="B418" s="443"/>
      <c r="C418" s="443"/>
      <c r="D418" s="444"/>
      <c r="E418" s="445" t="s">
        <v>170</v>
      </c>
      <c r="F418" s="446"/>
      <c r="G418" s="446"/>
      <c r="H418" s="446"/>
      <c r="I418" s="446"/>
      <c r="J418" s="446"/>
      <c r="K418" s="446"/>
      <c r="L418" s="446"/>
      <c r="M418" s="446"/>
      <c r="N418" s="446"/>
      <c r="O418" s="446"/>
      <c r="P418" s="446"/>
      <c r="Q418" s="446"/>
      <c r="R418" s="447"/>
    </row>
    <row r="419" spans="1:18" ht="50.25" customHeight="1" x14ac:dyDescent="0.3">
      <c r="A419" s="28" t="s">
        <v>215</v>
      </c>
      <c r="B419" s="85">
        <v>2</v>
      </c>
      <c r="C419" s="29" t="s">
        <v>216</v>
      </c>
      <c r="D419" s="68">
        <f>+$E$508</f>
        <v>1649.6083550000001</v>
      </c>
      <c r="E419" s="448"/>
      <c r="F419" s="449"/>
      <c r="G419" s="449"/>
      <c r="H419" s="449"/>
      <c r="I419" s="449"/>
      <c r="J419" s="449"/>
      <c r="K419" s="449"/>
      <c r="L419" s="449"/>
      <c r="M419" s="449"/>
      <c r="N419" s="449"/>
      <c r="O419" s="449"/>
      <c r="P419" s="449"/>
      <c r="Q419" s="449"/>
      <c r="R419" s="450"/>
    </row>
    <row r="420" spans="1:18" ht="30" customHeight="1" x14ac:dyDescent="0.3">
      <c r="A420" s="454" t="s">
        <v>217</v>
      </c>
      <c r="B420" s="455"/>
      <c r="C420" s="70">
        <f>IF(B419&lt;3,0.75,IF(B419&lt;5,1.2,1.5))</f>
        <v>0.75</v>
      </c>
      <c r="D420" s="71">
        <f>+D419*C420</f>
        <v>1237.20626625</v>
      </c>
      <c r="E420" s="448"/>
      <c r="F420" s="449"/>
      <c r="G420" s="449"/>
      <c r="H420" s="449"/>
      <c r="I420" s="449"/>
      <c r="J420" s="449"/>
      <c r="K420" s="449"/>
      <c r="L420" s="449"/>
      <c r="M420" s="449"/>
      <c r="N420" s="449"/>
      <c r="O420" s="449"/>
      <c r="P420" s="449"/>
      <c r="Q420" s="449"/>
      <c r="R420" s="450"/>
    </row>
    <row r="421" spans="1:18" ht="30" customHeight="1" x14ac:dyDescent="0.3">
      <c r="A421" s="456" t="s">
        <v>218</v>
      </c>
      <c r="B421" s="455"/>
      <c r="C421" s="457">
        <v>44771</v>
      </c>
      <c r="D421" s="458"/>
      <c r="E421" s="448"/>
      <c r="F421" s="449"/>
      <c r="G421" s="449"/>
      <c r="H421" s="449"/>
      <c r="I421" s="449"/>
      <c r="J421" s="449"/>
      <c r="K421" s="449"/>
      <c r="L421" s="449"/>
      <c r="M421" s="449"/>
      <c r="N421" s="449"/>
      <c r="O421" s="449"/>
      <c r="P421" s="449"/>
      <c r="Q421" s="449"/>
      <c r="R421" s="450"/>
    </row>
    <row r="422" spans="1:18" ht="30" customHeight="1" x14ac:dyDescent="0.3">
      <c r="A422" s="459" t="s">
        <v>219</v>
      </c>
      <c r="B422" s="460"/>
      <c r="C422" s="472" t="str">
        <f>+IF(I428&gt;D420,"CUMPLE","NO CUMPLE")</f>
        <v>CUMPLE</v>
      </c>
      <c r="D422" s="473"/>
      <c r="E422" s="451"/>
      <c r="F422" s="452"/>
      <c r="G422" s="452"/>
      <c r="H422" s="452"/>
      <c r="I422" s="452"/>
      <c r="J422" s="452"/>
      <c r="K422" s="452"/>
      <c r="L422" s="452"/>
      <c r="M422" s="452"/>
      <c r="N422" s="452"/>
      <c r="O422" s="452"/>
      <c r="P422" s="452"/>
      <c r="Q422" s="452"/>
      <c r="R422" s="453"/>
    </row>
    <row r="423" spans="1:18" ht="55.5" customHeight="1" x14ac:dyDescent="0.3">
      <c r="A423" s="474" t="s">
        <v>220</v>
      </c>
      <c r="B423" s="475"/>
      <c r="C423" s="475"/>
      <c r="D423" s="475"/>
      <c r="E423" s="475"/>
      <c r="F423" s="475"/>
      <c r="G423" s="475"/>
      <c r="H423" s="475"/>
      <c r="I423" s="476"/>
      <c r="J423" s="81" t="s">
        <v>221</v>
      </c>
      <c r="K423" s="103" t="s">
        <v>222</v>
      </c>
      <c r="L423" s="477" t="s">
        <v>223</v>
      </c>
      <c r="M423" s="476"/>
      <c r="N423" s="478" t="s">
        <v>224</v>
      </c>
      <c r="O423" s="480" t="s">
        <v>225</v>
      </c>
      <c r="P423" s="481"/>
      <c r="Q423" s="478" t="s">
        <v>226</v>
      </c>
      <c r="R423" s="461" t="s">
        <v>227</v>
      </c>
    </row>
    <row r="424" spans="1:18" ht="77.25" customHeight="1" x14ac:dyDescent="0.3">
      <c r="A424" s="82" t="s">
        <v>228</v>
      </c>
      <c r="B424" s="463" t="s">
        <v>229</v>
      </c>
      <c r="C424" s="464"/>
      <c r="D424" s="83" t="s">
        <v>230</v>
      </c>
      <c r="E424" s="83" t="s">
        <v>231</v>
      </c>
      <c r="F424" s="83" t="s">
        <v>232</v>
      </c>
      <c r="G424" s="83" t="s">
        <v>233</v>
      </c>
      <c r="H424" s="116" t="s">
        <v>234</v>
      </c>
      <c r="I424" s="116" t="s">
        <v>235</v>
      </c>
      <c r="J424" s="84" t="s">
        <v>236</v>
      </c>
      <c r="K424" s="84" t="s">
        <v>237</v>
      </c>
      <c r="L424" s="84" t="s">
        <v>238</v>
      </c>
      <c r="M424" s="84" t="s">
        <v>239</v>
      </c>
      <c r="N424" s="479"/>
      <c r="O424" s="482"/>
      <c r="P424" s="483"/>
      <c r="Q424" s="479"/>
      <c r="R424" s="462"/>
    </row>
    <row r="425" spans="1:18" ht="39.9" customHeight="1" x14ac:dyDescent="0.3">
      <c r="A425" s="86" t="str">
        <f>VLOOKUP(A418,'LISTA DE OFERENTES'!$A$6:$R$38,2,FALSE)</f>
        <v>CONSORCIO TUNALITO</v>
      </c>
      <c r="B425" s="87"/>
      <c r="C425" s="87"/>
      <c r="D425" s="87"/>
      <c r="E425" s="87"/>
      <c r="F425" s="87"/>
      <c r="G425" s="87"/>
      <c r="H425" s="87"/>
      <c r="I425" s="87"/>
      <c r="J425" s="87"/>
      <c r="K425" s="87"/>
      <c r="L425" s="496" t="s">
        <v>172</v>
      </c>
      <c r="M425" s="87"/>
      <c r="N425" s="87"/>
      <c r="O425" s="162" t="s">
        <v>241</v>
      </c>
      <c r="P425" s="87"/>
      <c r="Q425" s="87"/>
      <c r="R425" s="90"/>
    </row>
    <row r="426" spans="1:18" s="33" customFormat="1" ht="150" customHeight="1" x14ac:dyDescent="0.3">
      <c r="A426" s="119" t="s">
        <v>471</v>
      </c>
      <c r="B426" s="498" t="s">
        <v>472</v>
      </c>
      <c r="C426" s="467"/>
      <c r="D426" s="23">
        <v>1391875232</v>
      </c>
      <c r="E426" s="69">
        <v>2007</v>
      </c>
      <c r="F426" s="69">
        <v>29687</v>
      </c>
      <c r="G426" s="24">
        <f>D426/(VLOOKUP(E426,$D$535:$E$566,2,FALSE))</f>
        <v>3209.3042010606409</v>
      </c>
      <c r="H426" s="3">
        <v>0.95</v>
      </c>
      <c r="I426" s="24">
        <f>H426*G426</f>
        <v>3048.8389910076089</v>
      </c>
      <c r="J426" s="100">
        <v>39797</v>
      </c>
      <c r="K426" s="30" t="s">
        <v>473</v>
      </c>
      <c r="L426" s="497"/>
      <c r="M426" s="31">
        <f>I426</f>
        <v>3048.8389910076089</v>
      </c>
      <c r="N426" s="119" t="s">
        <v>213</v>
      </c>
      <c r="O426" s="186" t="str">
        <f>+CONCATENATE(FIXED(F426*H426,2)," ","m2")</f>
        <v>28.202,65 m2</v>
      </c>
      <c r="P426" s="119" t="s">
        <v>213</v>
      </c>
      <c r="Q426" s="142" t="s">
        <v>213</v>
      </c>
      <c r="R426" s="32"/>
    </row>
    <row r="427" spans="1:18" s="33" customFormat="1" ht="150" customHeight="1" x14ac:dyDescent="0.3">
      <c r="A427" s="119" t="s">
        <v>474</v>
      </c>
      <c r="B427" s="498" t="s">
        <v>475</v>
      </c>
      <c r="C427" s="467"/>
      <c r="D427" s="23">
        <v>4264503813</v>
      </c>
      <c r="E427" s="69">
        <v>2010</v>
      </c>
      <c r="F427" s="69">
        <v>0</v>
      </c>
      <c r="G427" s="24">
        <f>D427/(VLOOKUP(E427,$D$535:$E$566,2,FALSE))</f>
        <v>8280.5899281553393</v>
      </c>
      <c r="H427" s="3">
        <v>0.95</v>
      </c>
      <c r="I427" s="24">
        <f>H427*G427</f>
        <v>7866.5604317475718</v>
      </c>
      <c r="J427" s="100">
        <v>40791</v>
      </c>
      <c r="K427" s="30" t="s">
        <v>473</v>
      </c>
      <c r="L427" s="497"/>
      <c r="M427" s="31">
        <f>I427</f>
        <v>7866.5604317475718</v>
      </c>
      <c r="N427" s="119" t="s">
        <v>213</v>
      </c>
      <c r="O427" s="186" t="str">
        <f>+CONCATENATE(FIXED(F427*H427,2)," ","m2")</f>
        <v>0,00 m2</v>
      </c>
      <c r="P427" s="119" t="s">
        <v>213</v>
      </c>
      <c r="Q427" s="142" t="s">
        <v>213</v>
      </c>
      <c r="R427" s="32"/>
    </row>
    <row r="428" spans="1:18" s="33" customFormat="1" ht="48" customHeight="1" thickBot="1" x14ac:dyDescent="0.35">
      <c r="A428" s="495" t="s">
        <v>249</v>
      </c>
      <c r="B428" s="485"/>
      <c r="C428" s="485"/>
      <c r="D428" s="485"/>
      <c r="E428" s="485"/>
      <c r="F428" s="485"/>
      <c r="G428" s="485"/>
      <c r="H428" s="486"/>
      <c r="I428" s="72">
        <f>SUM(I426:I427)</f>
        <v>10915.399422755181</v>
      </c>
      <c r="J428" s="487" t="s">
        <v>250</v>
      </c>
      <c r="K428" s="488"/>
      <c r="L428" s="488"/>
      <c r="M428" s="488"/>
      <c r="N428" s="488"/>
      <c r="O428" s="488"/>
      <c r="P428" s="490"/>
      <c r="Q428" s="136"/>
      <c r="R428" s="92" t="s">
        <v>213</v>
      </c>
    </row>
    <row r="429" spans="1:18" ht="16.2" thickBot="1" x14ac:dyDescent="0.35">
      <c r="A429" s="4"/>
      <c r="B429" s="4"/>
      <c r="C429" s="4"/>
      <c r="D429" s="4"/>
      <c r="E429" s="4"/>
      <c r="F429" s="4"/>
      <c r="G429" s="4"/>
      <c r="H429" s="4"/>
      <c r="I429" s="4"/>
      <c r="J429" s="4"/>
      <c r="K429" s="4"/>
      <c r="L429" s="4"/>
      <c r="M429" s="4"/>
      <c r="N429" s="5"/>
      <c r="O429" s="5"/>
      <c r="P429" s="5"/>
      <c r="Q429" s="5"/>
      <c r="R429" s="5"/>
    </row>
    <row r="430" spans="1:18" ht="30.75" customHeight="1" thickBot="1" x14ac:dyDescent="0.35">
      <c r="A430" s="442">
        <f>A418+1</f>
        <v>33</v>
      </c>
      <c r="B430" s="443"/>
      <c r="C430" s="443"/>
      <c r="D430" s="444"/>
      <c r="E430" s="445" t="s">
        <v>476</v>
      </c>
      <c r="F430" s="446"/>
      <c r="G430" s="446"/>
      <c r="H430" s="446"/>
      <c r="I430" s="446"/>
      <c r="J430" s="446"/>
      <c r="K430" s="446"/>
      <c r="L430" s="446"/>
      <c r="M430" s="446"/>
      <c r="N430" s="446"/>
      <c r="O430" s="446"/>
      <c r="P430" s="446"/>
      <c r="Q430" s="446"/>
      <c r="R430" s="447"/>
    </row>
    <row r="431" spans="1:18" ht="50.25" customHeight="1" x14ac:dyDescent="0.3">
      <c r="A431" s="28" t="s">
        <v>215</v>
      </c>
      <c r="B431" s="85">
        <v>2</v>
      </c>
      <c r="C431" s="29" t="s">
        <v>216</v>
      </c>
      <c r="D431" s="68">
        <f>+$E$508</f>
        <v>1649.6083550000001</v>
      </c>
      <c r="E431" s="448"/>
      <c r="F431" s="449"/>
      <c r="G431" s="449"/>
      <c r="H431" s="449"/>
      <c r="I431" s="449"/>
      <c r="J431" s="449"/>
      <c r="K431" s="449"/>
      <c r="L431" s="449"/>
      <c r="M431" s="449"/>
      <c r="N431" s="449"/>
      <c r="O431" s="449"/>
      <c r="P431" s="449"/>
      <c r="Q431" s="449"/>
      <c r="R431" s="450"/>
    </row>
    <row r="432" spans="1:18" ht="30" customHeight="1" x14ac:dyDescent="0.3">
      <c r="A432" s="454" t="s">
        <v>217</v>
      </c>
      <c r="B432" s="455"/>
      <c r="C432" s="70">
        <f>IF(B431&lt;3,0.75,IF(B431&lt;5,1.2,1.5))</f>
        <v>0.75</v>
      </c>
      <c r="D432" s="71">
        <f>+D431*C432</f>
        <v>1237.20626625</v>
      </c>
      <c r="E432" s="448"/>
      <c r="F432" s="449"/>
      <c r="G432" s="449"/>
      <c r="H432" s="449"/>
      <c r="I432" s="449"/>
      <c r="J432" s="449"/>
      <c r="K432" s="449"/>
      <c r="L432" s="449"/>
      <c r="M432" s="449"/>
      <c r="N432" s="449"/>
      <c r="O432" s="449"/>
      <c r="P432" s="449"/>
      <c r="Q432" s="449"/>
      <c r="R432" s="450"/>
    </row>
    <row r="433" spans="1:18" ht="30" customHeight="1" x14ac:dyDescent="0.3">
      <c r="A433" s="456" t="s">
        <v>218</v>
      </c>
      <c r="B433" s="455"/>
      <c r="C433" s="457">
        <v>44771</v>
      </c>
      <c r="D433" s="458"/>
      <c r="E433" s="448"/>
      <c r="F433" s="449"/>
      <c r="G433" s="449"/>
      <c r="H433" s="449"/>
      <c r="I433" s="449"/>
      <c r="J433" s="449"/>
      <c r="K433" s="449"/>
      <c r="L433" s="449"/>
      <c r="M433" s="449"/>
      <c r="N433" s="449"/>
      <c r="O433" s="449"/>
      <c r="P433" s="449"/>
      <c r="Q433" s="449"/>
      <c r="R433" s="450"/>
    </row>
    <row r="434" spans="1:18" ht="30" customHeight="1" x14ac:dyDescent="0.3">
      <c r="A434" s="459" t="s">
        <v>219</v>
      </c>
      <c r="B434" s="460"/>
      <c r="C434" s="472" t="str">
        <f>+IF(I440&gt;D432,"CUMPLE","NO CUMPLE")</f>
        <v>CUMPLE</v>
      </c>
      <c r="D434" s="473"/>
      <c r="E434" s="451"/>
      <c r="F434" s="452"/>
      <c r="G434" s="452"/>
      <c r="H434" s="452"/>
      <c r="I434" s="452"/>
      <c r="J434" s="452"/>
      <c r="K434" s="452"/>
      <c r="L434" s="452"/>
      <c r="M434" s="452"/>
      <c r="N434" s="452"/>
      <c r="O434" s="452"/>
      <c r="P434" s="452"/>
      <c r="Q434" s="452"/>
      <c r="R434" s="453"/>
    </row>
    <row r="435" spans="1:18" ht="55.5" customHeight="1" x14ac:dyDescent="0.3">
      <c r="A435" s="474" t="s">
        <v>220</v>
      </c>
      <c r="B435" s="475"/>
      <c r="C435" s="475"/>
      <c r="D435" s="475"/>
      <c r="E435" s="475"/>
      <c r="F435" s="475"/>
      <c r="G435" s="475"/>
      <c r="H435" s="475"/>
      <c r="I435" s="476"/>
      <c r="J435" s="81" t="s">
        <v>221</v>
      </c>
      <c r="K435" s="103" t="s">
        <v>222</v>
      </c>
      <c r="L435" s="477" t="s">
        <v>223</v>
      </c>
      <c r="M435" s="476"/>
      <c r="N435" s="478" t="s">
        <v>224</v>
      </c>
      <c r="O435" s="480" t="s">
        <v>225</v>
      </c>
      <c r="P435" s="481"/>
      <c r="Q435" s="478" t="s">
        <v>226</v>
      </c>
      <c r="R435" s="461" t="s">
        <v>227</v>
      </c>
    </row>
    <row r="436" spans="1:18" ht="77.25" customHeight="1" x14ac:dyDescent="0.3">
      <c r="A436" s="82" t="s">
        <v>228</v>
      </c>
      <c r="B436" s="463" t="s">
        <v>229</v>
      </c>
      <c r="C436" s="464"/>
      <c r="D436" s="83" t="s">
        <v>230</v>
      </c>
      <c r="E436" s="83" t="s">
        <v>231</v>
      </c>
      <c r="F436" s="83" t="s">
        <v>232</v>
      </c>
      <c r="G436" s="83" t="s">
        <v>233</v>
      </c>
      <c r="H436" s="116" t="s">
        <v>234</v>
      </c>
      <c r="I436" s="116" t="s">
        <v>235</v>
      </c>
      <c r="J436" s="84" t="s">
        <v>236</v>
      </c>
      <c r="K436" s="84" t="s">
        <v>237</v>
      </c>
      <c r="L436" s="84" t="s">
        <v>238</v>
      </c>
      <c r="M436" s="84" t="s">
        <v>239</v>
      </c>
      <c r="N436" s="479"/>
      <c r="O436" s="482"/>
      <c r="P436" s="483"/>
      <c r="Q436" s="479"/>
      <c r="R436" s="462"/>
    </row>
    <row r="437" spans="1:18" ht="39.9" customHeight="1" x14ac:dyDescent="0.3">
      <c r="A437" s="86" t="str">
        <f>VLOOKUP(A430,'LISTA DE OFERENTES'!$A$6:$R$38,2,FALSE)</f>
        <v>CONSORCIO EL TUNAL V4G</v>
      </c>
      <c r="B437" s="87"/>
      <c r="C437" s="87"/>
      <c r="D437" s="87"/>
      <c r="E437" s="87"/>
      <c r="F437" s="87"/>
      <c r="G437" s="87"/>
      <c r="H437" s="87"/>
      <c r="I437" s="87"/>
      <c r="J437" s="87"/>
      <c r="K437" s="87"/>
      <c r="L437" s="496" t="s">
        <v>477</v>
      </c>
      <c r="M437" s="87"/>
      <c r="N437" s="87"/>
      <c r="O437" s="162" t="s">
        <v>241</v>
      </c>
      <c r="P437" s="87"/>
      <c r="Q437" s="87"/>
      <c r="R437" s="90"/>
    </row>
    <row r="438" spans="1:18" s="33" customFormat="1" ht="150" customHeight="1" x14ac:dyDescent="0.3">
      <c r="A438" s="119" t="s">
        <v>478</v>
      </c>
      <c r="B438" s="498" t="s">
        <v>479</v>
      </c>
      <c r="C438" s="467"/>
      <c r="D438" s="23">
        <v>16884442607</v>
      </c>
      <c r="E438" s="69">
        <v>2015</v>
      </c>
      <c r="F438" s="69">
        <v>33315</v>
      </c>
      <c r="G438" s="24">
        <f>D438/(VLOOKUP(E438,$D$535:$E$566,2,FALSE))</f>
        <v>26203.837366338172</v>
      </c>
      <c r="H438" s="3">
        <v>0.6</v>
      </c>
      <c r="I438" s="24">
        <f>H438*G438</f>
        <v>15722.302419802902</v>
      </c>
      <c r="J438" s="100">
        <v>43090</v>
      </c>
      <c r="K438" s="30" t="s">
        <v>473</v>
      </c>
      <c r="L438" s="497"/>
      <c r="M438" s="31">
        <f>I438</f>
        <v>15722.302419802902</v>
      </c>
      <c r="N438" s="119" t="s">
        <v>213</v>
      </c>
      <c r="O438" s="186" t="str">
        <f>+CONCATENATE(FIXED(F438*H438,2)," ","m2")</f>
        <v>19.989,00 m2</v>
      </c>
      <c r="P438" s="119" t="s">
        <v>213</v>
      </c>
      <c r="Q438" s="142" t="s">
        <v>213</v>
      </c>
      <c r="R438" s="32"/>
    </row>
    <row r="439" spans="1:18" s="33" customFormat="1" ht="150" customHeight="1" x14ac:dyDescent="0.3">
      <c r="A439" s="119" t="s">
        <v>480</v>
      </c>
      <c r="B439" s="498" t="s">
        <v>481</v>
      </c>
      <c r="C439" s="467"/>
      <c r="D439" s="23">
        <v>557150329</v>
      </c>
      <c r="E439" s="69">
        <v>2018</v>
      </c>
      <c r="F439" s="69">
        <v>0</v>
      </c>
      <c r="G439" s="24">
        <f>D439/(VLOOKUP(E439,$D$535:$E$566,2,FALSE))</f>
        <v>713.15972387557247</v>
      </c>
      <c r="H439" s="3">
        <v>1</v>
      </c>
      <c r="I439" s="24">
        <f>H439*G439</f>
        <v>713.15972387557247</v>
      </c>
      <c r="J439" s="100">
        <v>43340</v>
      </c>
      <c r="K439" s="30" t="s">
        <v>473</v>
      </c>
      <c r="L439" s="550"/>
      <c r="M439" s="31">
        <f>I439</f>
        <v>713.15972387557247</v>
      </c>
      <c r="N439" s="119" t="s">
        <v>214</v>
      </c>
      <c r="O439" s="186" t="str">
        <f>+CONCATENATE(FIXED(F439*H439,2)," ","m2")</f>
        <v>0,00 m2</v>
      </c>
      <c r="P439" s="119" t="s">
        <v>214</v>
      </c>
      <c r="Q439" s="142" t="s">
        <v>214</v>
      </c>
      <c r="R439" s="32" t="s">
        <v>482</v>
      </c>
    </row>
    <row r="440" spans="1:18" s="33" customFormat="1" ht="48" customHeight="1" x14ac:dyDescent="0.3">
      <c r="A440" s="495" t="s">
        <v>249</v>
      </c>
      <c r="B440" s="485"/>
      <c r="C440" s="485"/>
      <c r="D440" s="485"/>
      <c r="E440" s="485"/>
      <c r="F440" s="485"/>
      <c r="G440" s="485"/>
      <c r="H440" s="486"/>
      <c r="I440" s="72">
        <f>SUM(I438:I439)</f>
        <v>16435.462143678473</v>
      </c>
      <c r="J440" s="487" t="s">
        <v>250</v>
      </c>
      <c r="K440" s="488"/>
      <c r="L440" s="489"/>
      <c r="M440" s="488"/>
      <c r="N440" s="488"/>
      <c r="O440" s="488"/>
      <c r="P440" s="490"/>
      <c r="Q440" s="136"/>
      <c r="R440" s="92" t="s">
        <v>213</v>
      </c>
    </row>
    <row r="441" spans="1:18" ht="15.75" customHeight="1" thickBot="1" x14ac:dyDescent="0.35">
      <c r="A441" s="4"/>
      <c r="B441" s="4"/>
      <c r="C441" s="120"/>
      <c r="D441" s="120"/>
      <c r="E441" s="120"/>
      <c r="F441" s="120"/>
      <c r="G441" s="120"/>
      <c r="H441" s="120"/>
      <c r="I441" s="120"/>
      <c r="J441" s="120"/>
      <c r="K441" s="120"/>
      <c r="L441" s="120"/>
      <c r="M441" s="120"/>
      <c r="N441" s="120"/>
      <c r="O441" s="120"/>
      <c r="P441" s="120"/>
      <c r="Q441" s="120"/>
      <c r="R441" s="5"/>
    </row>
    <row r="442" spans="1:18" ht="30.75" customHeight="1" thickBot="1" x14ac:dyDescent="0.35">
      <c r="A442" s="442">
        <f>A430+1</f>
        <v>34</v>
      </c>
      <c r="B442" s="443"/>
      <c r="C442" s="443"/>
      <c r="D442" s="444"/>
      <c r="E442" s="551" t="s">
        <v>483</v>
      </c>
      <c r="F442" s="446"/>
      <c r="G442" s="446"/>
      <c r="H442" s="446"/>
      <c r="I442" s="446"/>
      <c r="J442" s="446"/>
      <c r="K442" s="446"/>
      <c r="L442" s="446"/>
      <c r="M442" s="446"/>
      <c r="N442" s="446"/>
      <c r="O442" s="446"/>
      <c r="P442" s="446"/>
      <c r="Q442" s="446"/>
      <c r="R442" s="447"/>
    </row>
    <row r="443" spans="1:18" ht="50.25" customHeight="1" x14ac:dyDescent="0.3">
      <c r="A443" s="28" t="s">
        <v>215</v>
      </c>
      <c r="B443" s="85">
        <v>2</v>
      </c>
      <c r="C443" s="29" t="s">
        <v>216</v>
      </c>
      <c r="D443" s="68">
        <f>+$E$508</f>
        <v>1649.6083550000001</v>
      </c>
      <c r="E443" s="448"/>
      <c r="F443" s="449"/>
      <c r="G443" s="449"/>
      <c r="H443" s="449"/>
      <c r="I443" s="449"/>
      <c r="J443" s="449"/>
      <c r="K443" s="449"/>
      <c r="L443" s="449"/>
      <c r="M443" s="449"/>
      <c r="N443" s="449"/>
      <c r="O443" s="449"/>
      <c r="P443" s="449"/>
      <c r="Q443" s="449"/>
      <c r="R443" s="450"/>
    </row>
    <row r="444" spans="1:18" ht="30" customHeight="1" x14ac:dyDescent="0.3">
      <c r="A444" s="454" t="s">
        <v>217</v>
      </c>
      <c r="B444" s="455"/>
      <c r="C444" s="70">
        <f>IF(B443&lt;3,0.75,IF(B443&lt;5,1.2,1.5))</f>
        <v>0.75</v>
      </c>
      <c r="D444" s="71">
        <f>+D443*C444</f>
        <v>1237.20626625</v>
      </c>
      <c r="E444" s="448"/>
      <c r="F444" s="449"/>
      <c r="G444" s="449"/>
      <c r="H444" s="449"/>
      <c r="I444" s="449"/>
      <c r="J444" s="449"/>
      <c r="K444" s="449"/>
      <c r="L444" s="449"/>
      <c r="M444" s="449"/>
      <c r="N444" s="449"/>
      <c r="O444" s="449"/>
      <c r="P444" s="449"/>
      <c r="Q444" s="449"/>
      <c r="R444" s="450"/>
    </row>
    <row r="445" spans="1:18" ht="30" customHeight="1" x14ac:dyDescent="0.3">
      <c r="A445" s="456" t="s">
        <v>218</v>
      </c>
      <c r="B445" s="455"/>
      <c r="C445" s="457">
        <v>44771</v>
      </c>
      <c r="D445" s="458"/>
      <c r="E445" s="448"/>
      <c r="F445" s="449"/>
      <c r="G445" s="449"/>
      <c r="H445" s="449"/>
      <c r="I445" s="449"/>
      <c r="J445" s="449"/>
      <c r="K445" s="449"/>
      <c r="L445" s="449"/>
      <c r="M445" s="449"/>
      <c r="N445" s="449"/>
      <c r="O445" s="449"/>
      <c r="P445" s="449"/>
      <c r="Q445" s="449"/>
      <c r="R445" s="450"/>
    </row>
    <row r="446" spans="1:18" ht="30" customHeight="1" x14ac:dyDescent="0.3">
      <c r="A446" s="459" t="s">
        <v>219</v>
      </c>
      <c r="B446" s="460"/>
      <c r="C446" s="472" t="str">
        <f>+IF(I452&gt;D444,"CUMPLE","NO CUMPLE")</f>
        <v>CUMPLE</v>
      </c>
      <c r="D446" s="473"/>
      <c r="E446" s="451"/>
      <c r="F446" s="452"/>
      <c r="G446" s="452"/>
      <c r="H446" s="452"/>
      <c r="I446" s="452"/>
      <c r="J446" s="452"/>
      <c r="K446" s="452"/>
      <c r="L446" s="452"/>
      <c r="M446" s="452"/>
      <c r="N446" s="452"/>
      <c r="O446" s="452"/>
      <c r="P446" s="452"/>
      <c r="Q446" s="452"/>
      <c r="R446" s="453"/>
    </row>
    <row r="447" spans="1:18" ht="55.5" customHeight="1" x14ac:dyDescent="0.3">
      <c r="A447" s="474" t="s">
        <v>220</v>
      </c>
      <c r="B447" s="475"/>
      <c r="C447" s="475"/>
      <c r="D447" s="475"/>
      <c r="E447" s="475"/>
      <c r="F447" s="475"/>
      <c r="G447" s="475"/>
      <c r="H447" s="475"/>
      <c r="I447" s="476"/>
      <c r="J447" s="81" t="s">
        <v>221</v>
      </c>
      <c r="K447" s="103" t="s">
        <v>222</v>
      </c>
      <c r="L447" s="477" t="s">
        <v>223</v>
      </c>
      <c r="M447" s="476"/>
      <c r="N447" s="478" t="s">
        <v>224</v>
      </c>
      <c r="O447" s="480" t="s">
        <v>225</v>
      </c>
      <c r="P447" s="481"/>
      <c r="Q447" s="478" t="s">
        <v>226</v>
      </c>
      <c r="R447" s="461" t="s">
        <v>227</v>
      </c>
    </row>
    <row r="448" spans="1:18" ht="77.25" customHeight="1" x14ac:dyDescent="0.3">
      <c r="A448" s="82" t="s">
        <v>228</v>
      </c>
      <c r="B448" s="463" t="s">
        <v>229</v>
      </c>
      <c r="C448" s="464"/>
      <c r="D448" s="83" t="s">
        <v>230</v>
      </c>
      <c r="E448" s="83" t="s">
        <v>231</v>
      </c>
      <c r="F448" s="83" t="s">
        <v>232</v>
      </c>
      <c r="G448" s="83" t="s">
        <v>233</v>
      </c>
      <c r="H448" s="116" t="s">
        <v>234</v>
      </c>
      <c r="I448" s="116" t="s">
        <v>235</v>
      </c>
      <c r="J448" s="84" t="s">
        <v>236</v>
      </c>
      <c r="K448" s="84" t="s">
        <v>237</v>
      </c>
      <c r="L448" s="84" t="s">
        <v>238</v>
      </c>
      <c r="M448" s="84" t="s">
        <v>239</v>
      </c>
      <c r="N448" s="479"/>
      <c r="O448" s="482"/>
      <c r="P448" s="483"/>
      <c r="Q448" s="479"/>
      <c r="R448" s="462"/>
    </row>
    <row r="449" spans="1:18" ht="39.9" customHeight="1" x14ac:dyDescent="0.3">
      <c r="A449" s="86" t="str">
        <f>VLOOKUP(A442,'LISTA DE OFERENTES'!$A$6:$R$43,2,FALSE)</f>
        <v>PANAM INGENIEROS SAS</v>
      </c>
      <c r="B449" s="87"/>
      <c r="C449" s="87"/>
      <c r="D449" s="87"/>
      <c r="E449" s="87"/>
      <c r="F449" s="87"/>
      <c r="G449" s="87"/>
      <c r="H449" s="87"/>
      <c r="I449" s="87"/>
      <c r="J449" s="87"/>
      <c r="K449" s="87"/>
      <c r="L449" s="496"/>
      <c r="M449" s="87"/>
      <c r="N449" s="87"/>
      <c r="O449" s="162" t="s">
        <v>241</v>
      </c>
      <c r="P449" s="87"/>
      <c r="Q449" s="87"/>
      <c r="R449" s="90"/>
    </row>
    <row r="450" spans="1:18" s="33" customFormat="1" ht="150" customHeight="1" x14ac:dyDescent="0.3">
      <c r="A450" s="119" t="s">
        <v>484</v>
      </c>
      <c r="B450" s="498" t="s">
        <v>485</v>
      </c>
      <c r="C450" s="467"/>
      <c r="D450" s="23">
        <v>1523636938</v>
      </c>
      <c r="E450" s="69">
        <v>2021</v>
      </c>
      <c r="F450" s="69">
        <v>3783</v>
      </c>
      <c r="G450" s="24">
        <f>D450/(VLOOKUP(E450,$D$535:$E$566,2,FALSE))</f>
        <v>1677.0427461624654</v>
      </c>
      <c r="H450" s="3">
        <v>0.95</v>
      </c>
      <c r="I450" s="24">
        <f>H450*G450</f>
        <v>1593.1906088543421</v>
      </c>
      <c r="J450" s="100">
        <v>44531</v>
      </c>
      <c r="K450" s="30" t="s">
        <v>473</v>
      </c>
      <c r="L450" s="497"/>
      <c r="M450" s="31">
        <f>I450</f>
        <v>1593.1906088543421</v>
      </c>
      <c r="N450" s="119" t="s">
        <v>213</v>
      </c>
      <c r="O450" s="186" t="str">
        <f>+CONCATENATE(FIXED(F450*H450,2)," ","m2")</f>
        <v>3.593,85 m2</v>
      </c>
      <c r="P450" s="119" t="s">
        <v>213</v>
      </c>
      <c r="Q450" s="142" t="s">
        <v>213</v>
      </c>
      <c r="R450" s="32"/>
    </row>
    <row r="451" spans="1:18" s="33" customFormat="1" ht="150" customHeight="1" x14ac:dyDescent="0.3">
      <c r="A451" s="119" t="s">
        <v>486</v>
      </c>
      <c r="B451" s="498" t="s">
        <v>487</v>
      </c>
      <c r="C451" s="467"/>
      <c r="D451" s="23">
        <v>3218785047</v>
      </c>
      <c r="E451" s="69">
        <v>2015</v>
      </c>
      <c r="F451" s="69">
        <v>0</v>
      </c>
      <c r="G451" s="24">
        <f>D451/(VLOOKUP(E451,$D$535:$E$566,2,FALSE))</f>
        <v>4995.3985365096605</v>
      </c>
      <c r="H451" s="3">
        <v>0.3</v>
      </c>
      <c r="I451" s="24">
        <f>H451*G451</f>
        <v>1498.6195609528982</v>
      </c>
      <c r="J451" s="100">
        <v>42794</v>
      </c>
      <c r="K451" s="30" t="s">
        <v>473</v>
      </c>
      <c r="L451" s="497"/>
      <c r="M451" s="31">
        <f>I451</f>
        <v>1498.6195609528982</v>
      </c>
      <c r="N451" s="119" t="s">
        <v>213</v>
      </c>
      <c r="O451" s="186" t="str">
        <f>+CONCATENATE(FIXED(F451*H451,2)," ","m2")</f>
        <v>0,00 m2</v>
      </c>
      <c r="P451" s="119" t="s">
        <v>213</v>
      </c>
      <c r="Q451" s="142" t="s">
        <v>213</v>
      </c>
      <c r="R451" s="32"/>
    </row>
    <row r="452" spans="1:18" s="33" customFormat="1" ht="48" customHeight="1" thickBot="1" x14ac:dyDescent="0.35">
      <c r="A452" s="495" t="s">
        <v>249</v>
      </c>
      <c r="B452" s="485"/>
      <c r="C452" s="485"/>
      <c r="D452" s="485"/>
      <c r="E452" s="485"/>
      <c r="F452" s="485"/>
      <c r="G452" s="485"/>
      <c r="H452" s="486"/>
      <c r="I452" s="72">
        <f>SUM(I450:I451)</f>
        <v>3091.8101698072405</v>
      </c>
      <c r="J452" s="487" t="s">
        <v>250</v>
      </c>
      <c r="K452" s="488"/>
      <c r="L452" s="488"/>
      <c r="M452" s="488"/>
      <c r="N452" s="488"/>
      <c r="O452" s="488"/>
      <c r="P452" s="490"/>
      <c r="Q452" s="136"/>
      <c r="R452" s="92" t="s">
        <v>213</v>
      </c>
    </row>
    <row r="453" spans="1:18" ht="21" customHeight="1" thickBot="1" x14ac:dyDescent="0.35">
      <c r="A453" s="4"/>
      <c r="B453" s="4"/>
      <c r="C453" s="120"/>
      <c r="D453" s="120"/>
      <c r="E453" s="120"/>
      <c r="F453" s="120"/>
      <c r="G453" s="120"/>
      <c r="H453" s="120"/>
      <c r="I453" s="120"/>
      <c r="J453" s="120"/>
      <c r="K453" s="120"/>
      <c r="L453" s="120"/>
      <c r="M453" s="120"/>
      <c r="N453" s="120"/>
      <c r="O453" s="120"/>
      <c r="P453" s="120"/>
      <c r="Q453" s="120"/>
      <c r="R453" s="5"/>
    </row>
    <row r="454" spans="1:18" ht="30.75" customHeight="1" thickBot="1" x14ac:dyDescent="0.35">
      <c r="A454" s="442">
        <f>A442+1</f>
        <v>35</v>
      </c>
      <c r="B454" s="443"/>
      <c r="C454" s="443"/>
      <c r="D454" s="444"/>
      <c r="E454" s="445" t="s">
        <v>185</v>
      </c>
      <c r="F454" s="446"/>
      <c r="G454" s="446"/>
      <c r="H454" s="446"/>
      <c r="I454" s="446"/>
      <c r="J454" s="446"/>
      <c r="K454" s="446"/>
      <c r="L454" s="446"/>
      <c r="M454" s="446"/>
      <c r="N454" s="446"/>
      <c r="O454" s="446"/>
      <c r="P454" s="446"/>
      <c r="Q454" s="446"/>
      <c r="R454" s="447"/>
    </row>
    <row r="455" spans="1:18" ht="50.25" customHeight="1" x14ac:dyDescent="0.3">
      <c r="A455" s="28" t="s">
        <v>215</v>
      </c>
      <c r="B455" s="85">
        <v>3</v>
      </c>
      <c r="C455" s="29" t="s">
        <v>216</v>
      </c>
      <c r="D455" s="68">
        <f>+$E$508</f>
        <v>1649.6083550000001</v>
      </c>
      <c r="E455" s="448"/>
      <c r="F455" s="449"/>
      <c r="G455" s="449"/>
      <c r="H455" s="449"/>
      <c r="I455" s="449"/>
      <c r="J455" s="449"/>
      <c r="K455" s="449"/>
      <c r="L455" s="449"/>
      <c r="M455" s="449"/>
      <c r="N455" s="449"/>
      <c r="O455" s="449"/>
      <c r="P455" s="449"/>
      <c r="Q455" s="449"/>
      <c r="R455" s="450"/>
    </row>
    <row r="456" spans="1:18" ht="30" customHeight="1" x14ac:dyDescent="0.3">
      <c r="A456" s="454" t="s">
        <v>217</v>
      </c>
      <c r="B456" s="455"/>
      <c r="C456" s="70">
        <f>IF(B455&lt;3,0.75,IF(B455&lt;5,1.2,1.5))</f>
        <v>1.2</v>
      </c>
      <c r="D456" s="71">
        <f>+D455*C456</f>
        <v>1979.5300259999999</v>
      </c>
      <c r="E456" s="448"/>
      <c r="F456" s="449"/>
      <c r="G456" s="449"/>
      <c r="H456" s="449"/>
      <c r="I456" s="449"/>
      <c r="J456" s="449"/>
      <c r="K456" s="449"/>
      <c r="L456" s="449"/>
      <c r="M456" s="449"/>
      <c r="N456" s="449"/>
      <c r="O456" s="449"/>
      <c r="P456" s="449"/>
      <c r="Q456" s="449"/>
      <c r="R456" s="450"/>
    </row>
    <row r="457" spans="1:18" ht="30" customHeight="1" x14ac:dyDescent="0.3">
      <c r="A457" s="456" t="s">
        <v>218</v>
      </c>
      <c r="B457" s="455"/>
      <c r="C457" s="457">
        <v>44771</v>
      </c>
      <c r="D457" s="458"/>
      <c r="E457" s="448"/>
      <c r="F457" s="449"/>
      <c r="G457" s="449"/>
      <c r="H457" s="449"/>
      <c r="I457" s="449"/>
      <c r="J457" s="449"/>
      <c r="K457" s="449"/>
      <c r="L457" s="449"/>
      <c r="M457" s="449"/>
      <c r="N457" s="449"/>
      <c r="O457" s="449"/>
      <c r="P457" s="449"/>
      <c r="Q457" s="449"/>
      <c r="R457" s="450"/>
    </row>
    <row r="458" spans="1:18" ht="30" customHeight="1" x14ac:dyDescent="0.3">
      <c r="A458" s="459" t="s">
        <v>219</v>
      </c>
      <c r="B458" s="460"/>
      <c r="C458" s="472" t="str">
        <f>+IF(I465&gt;D456,"CUMPLE","NO CUMPLE")</f>
        <v>CUMPLE</v>
      </c>
      <c r="D458" s="473"/>
      <c r="E458" s="451"/>
      <c r="F458" s="452"/>
      <c r="G458" s="452"/>
      <c r="H458" s="452"/>
      <c r="I458" s="452"/>
      <c r="J458" s="452"/>
      <c r="K458" s="452"/>
      <c r="L458" s="452"/>
      <c r="M458" s="452"/>
      <c r="N458" s="452"/>
      <c r="O458" s="452"/>
      <c r="P458" s="452"/>
      <c r="Q458" s="452"/>
      <c r="R458" s="453"/>
    </row>
    <row r="459" spans="1:18" ht="55.5" customHeight="1" x14ac:dyDescent="0.3">
      <c r="A459" s="474" t="s">
        <v>220</v>
      </c>
      <c r="B459" s="475"/>
      <c r="C459" s="475"/>
      <c r="D459" s="475"/>
      <c r="E459" s="475"/>
      <c r="F459" s="475"/>
      <c r="G459" s="475"/>
      <c r="H459" s="475"/>
      <c r="I459" s="476"/>
      <c r="J459" s="81" t="s">
        <v>221</v>
      </c>
      <c r="K459" s="103" t="s">
        <v>222</v>
      </c>
      <c r="L459" s="477" t="s">
        <v>223</v>
      </c>
      <c r="M459" s="476"/>
      <c r="N459" s="478" t="s">
        <v>224</v>
      </c>
      <c r="O459" s="480" t="s">
        <v>225</v>
      </c>
      <c r="P459" s="481"/>
      <c r="Q459" s="478" t="s">
        <v>226</v>
      </c>
      <c r="R459" s="461" t="s">
        <v>227</v>
      </c>
    </row>
    <row r="460" spans="1:18" ht="77.25" customHeight="1" x14ac:dyDescent="0.3">
      <c r="A460" s="82" t="s">
        <v>228</v>
      </c>
      <c r="B460" s="463" t="s">
        <v>229</v>
      </c>
      <c r="C460" s="464"/>
      <c r="D460" s="83" t="s">
        <v>230</v>
      </c>
      <c r="E460" s="83" t="s">
        <v>231</v>
      </c>
      <c r="F460" s="83" t="s">
        <v>232</v>
      </c>
      <c r="G460" s="83" t="s">
        <v>233</v>
      </c>
      <c r="H460" s="116" t="s">
        <v>234</v>
      </c>
      <c r="I460" s="116" t="s">
        <v>235</v>
      </c>
      <c r="J460" s="84" t="s">
        <v>236</v>
      </c>
      <c r="K460" s="84" t="s">
        <v>237</v>
      </c>
      <c r="L460" s="84" t="s">
        <v>238</v>
      </c>
      <c r="M460" s="84" t="s">
        <v>239</v>
      </c>
      <c r="N460" s="479"/>
      <c r="O460" s="482"/>
      <c r="P460" s="483"/>
      <c r="Q460" s="479"/>
      <c r="R460" s="462"/>
    </row>
    <row r="461" spans="1:18" ht="39.9" customHeight="1" x14ac:dyDescent="0.3">
      <c r="A461" s="86" t="str">
        <f>VLOOKUP(A454,'LISTA DE OFERENTES'!$A$6:$R$43,2,FALSE)</f>
        <v>CONSORCIO TUNJUELITO VHJ</v>
      </c>
      <c r="B461" s="87"/>
      <c r="C461" s="87"/>
      <c r="D461" s="87"/>
      <c r="E461" s="87"/>
      <c r="F461" s="87"/>
      <c r="G461" s="87"/>
      <c r="H461" s="87"/>
      <c r="I461" s="87"/>
      <c r="J461" s="87"/>
      <c r="K461" s="87"/>
      <c r="L461" s="496" t="s">
        <v>189</v>
      </c>
      <c r="M461" s="87"/>
      <c r="N461" s="87"/>
      <c r="O461" s="162" t="s">
        <v>241</v>
      </c>
      <c r="P461" s="87"/>
      <c r="Q461" s="87"/>
      <c r="R461" s="90"/>
    </row>
    <row r="462" spans="1:18" s="33" customFormat="1" ht="150" customHeight="1" x14ac:dyDescent="0.3">
      <c r="A462" s="119" t="s">
        <v>488</v>
      </c>
      <c r="B462" s="498" t="s">
        <v>489</v>
      </c>
      <c r="C462" s="467"/>
      <c r="D462" s="23">
        <v>2371179067</v>
      </c>
      <c r="E462" s="69">
        <v>2020</v>
      </c>
      <c r="F462" s="69" t="s">
        <v>490</v>
      </c>
      <c r="G462" s="24">
        <f>D462/(VLOOKUP(E462,$D$535:$E$566,2,FALSE))</f>
        <v>2701.265622240981</v>
      </c>
      <c r="H462" s="3">
        <v>0.3</v>
      </c>
      <c r="I462" s="24">
        <f>H462*G462</f>
        <v>810.37968667229427</v>
      </c>
      <c r="J462" s="100">
        <v>44376</v>
      </c>
      <c r="K462" s="30" t="s">
        <v>491</v>
      </c>
      <c r="L462" s="497"/>
      <c r="M462" s="31">
        <f>I462</f>
        <v>810.37968667229427</v>
      </c>
      <c r="N462" s="119" t="s">
        <v>213</v>
      </c>
      <c r="O462" s="69" t="s">
        <v>490</v>
      </c>
      <c r="P462" s="119" t="s">
        <v>213</v>
      </c>
      <c r="Q462" s="142" t="s">
        <v>213</v>
      </c>
      <c r="R462" s="32"/>
    </row>
    <row r="463" spans="1:18" s="33" customFormat="1" ht="150" customHeight="1" x14ac:dyDescent="0.3">
      <c r="A463" s="119" t="s">
        <v>492</v>
      </c>
      <c r="B463" s="498" t="s">
        <v>489</v>
      </c>
      <c r="C463" s="467"/>
      <c r="D463" s="23">
        <v>2158158628</v>
      </c>
      <c r="E463" s="69">
        <v>2021</v>
      </c>
      <c r="F463" s="69">
        <v>0</v>
      </c>
      <c r="G463" s="24">
        <f>D463/(VLOOKUP(E463,$D$535:$E$566,2,FALSE))</f>
        <v>2375.4505958002301</v>
      </c>
      <c r="H463" s="3">
        <v>0.49</v>
      </c>
      <c r="I463" s="24">
        <f>H463*G463</f>
        <v>1163.9707919421128</v>
      </c>
      <c r="J463" s="100">
        <v>44391</v>
      </c>
      <c r="K463" s="288" t="s">
        <v>493</v>
      </c>
      <c r="L463" s="497"/>
      <c r="M463" s="31">
        <f>I463</f>
        <v>1163.9707919421128</v>
      </c>
      <c r="N463" s="119" t="s">
        <v>213</v>
      </c>
      <c r="O463" s="186"/>
      <c r="P463" s="119"/>
      <c r="Q463" s="142"/>
      <c r="R463" s="32"/>
    </row>
    <row r="464" spans="1:18" s="33" customFormat="1" ht="150" customHeight="1" x14ac:dyDescent="0.3">
      <c r="A464" s="119" t="s">
        <v>494</v>
      </c>
      <c r="B464" s="498" t="s">
        <v>495</v>
      </c>
      <c r="C464" s="467"/>
      <c r="D464" s="23">
        <v>1108132506</v>
      </c>
      <c r="E464" s="69">
        <v>2013</v>
      </c>
      <c r="F464" s="69">
        <v>0</v>
      </c>
      <c r="G464" s="24">
        <f>D464/(VLOOKUP(E464,$D$535:$E$566,2,FALSE))</f>
        <v>1879.7837251908397</v>
      </c>
      <c r="H464" s="3">
        <v>0.6</v>
      </c>
      <c r="I464" s="24">
        <f>H464*G464</f>
        <v>1127.8702351145039</v>
      </c>
      <c r="J464" s="100">
        <v>41585</v>
      </c>
      <c r="K464" s="288">
        <v>721015</v>
      </c>
      <c r="L464" s="497"/>
      <c r="M464" s="31">
        <f>I464</f>
        <v>1127.8702351145039</v>
      </c>
      <c r="N464" s="119" t="s">
        <v>213</v>
      </c>
      <c r="O464" s="186" t="str">
        <f>+CONCATENATE(FIXED(F464*H464,2)," ","m2")</f>
        <v>0,00 m2</v>
      </c>
      <c r="P464" s="119"/>
      <c r="Q464" s="142"/>
      <c r="R464" s="32"/>
    </row>
    <row r="465" spans="1:18" s="33" customFormat="1" ht="48" customHeight="1" thickBot="1" x14ac:dyDescent="0.35">
      <c r="A465" s="495" t="s">
        <v>249</v>
      </c>
      <c r="B465" s="485"/>
      <c r="C465" s="485"/>
      <c r="D465" s="485"/>
      <c r="E465" s="485"/>
      <c r="F465" s="485"/>
      <c r="G465" s="485"/>
      <c r="H465" s="486"/>
      <c r="I465" s="72">
        <f>SUM(I462:I464)</f>
        <v>3102.2207137289111</v>
      </c>
      <c r="J465" s="487" t="s">
        <v>250</v>
      </c>
      <c r="K465" s="488"/>
      <c r="L465" s="488"/>
      <c r="M465" s="488"/>
      <c r="N465" s="488"/>
      <c r="O465" s="488"/>
      <c r="P465" s="490"/>
      <c r="Q465" s="136"/>
      <c r="R465" s="92" t="s">
        <v>213</v>
      </c>
    </row>
    <row r="466" spans="1:18" ht="21" customHeight="1" thickBot="1" x14ac:dyDescent="0.35">
      <c r="A466" s="4"/>
      <c r="B466" s="4"/>
      <c r="C466" s="120"/>
      <c r="D466" s="120"/>
      <c r="E466" s="120"/>
      <c r="F466" s="120"/>
      <c r="G466" s="120"/>
      <c r="H466" s="120"/>
      <c r="I466" s="120"/>
      <c r="J466" s="120"/>
      <c r="K466" s="120"/>
      <c r="L466" s="120"/>
      <c r="M466" s="120"/>
      <c r="N466" s="120"/>
      <c r="O466" s="120"/>
      <c r="P466" s="120"/>
      <c r="Q466" s="120"/>
      <c r="R466" s="5"/>
    </row>
    <row r="467" spans="1:18" ht="30.75" customHeight="1" thickBot="1" x14ac:dyDescent="0.35">
      <c r="A467" s="442">
        <f>A454+1</f>
        <v>36</v>
      </c>
      <c r="B467" s="443"/>
      <c r="C467" s="443"/>
      <c r="D467" s="444"/>
      <c r="E467" s="445" t="str">
        <f>VLOOKUP(A467,'LISTA DE OFERENTES'!$A$6:$B$43,2,FALSE)</f>
        <v>CONSORCIO PARQUE VECINAL 2022</v>
      </c>
      <c r="F467" s="446"/>
      <c r="G467" s="446"/>
      <c r="H467" s="446"/>
      <c r="I467" s="446"/>
      <c r="J467" s="446"/>
      <c r="K467" s="446"/>
      <c r="L467" s="446"/>
      <c r="M467" s="446"/>
      <c r="N467" s="446"/>
      <c r="O467" s="446"/>
      <c r="P467" s="446"/>
      <c r="Q467" s="446"/>
      <c r="R467" s="447"/>
    </row>
    <row r="468" spans="1:18" ht="50.25" customHeight="1" x14ac:dyDescent="0.3">
      <c r="A468" s="28" t="s">
        <v>215</v>
      </c>
      <c r="B468" s="85">
        <v>4</v>
      </c>
      <c r="C468" s="29" t="s">
        <v>216</v>
      </c>
      <c r="D468" s="68">
        <f>+$E$508</f>
        <v>1649.6083550000001</v>
      </c>
      <c r="E468" s="448"/>
      <c r="F468" s="449"/>
      <c r="G468" s="449"/>
      <c r="H468" s="449"/>
      <c r="I468" s="449"/>
      <c r="J468" s="449"/>
      <c r="K468" s="449"/>
      <c r="L468" s="449"/>
      <c r="M468" s="449"/>
      <c r="N468" s="449"/>
      <c r="O468" s="449"/>
      <c r="P468" s="449"/>
      <c r="Q468" s="449"/>
      <c r="R468" s="450"/>
    </row>
    <row r="469" spans="1:18" ht="30" customHeight="1" x14ac:dyDescent="0.3">
      <c r="A469" s="454" t="s">
        <v>217</v>
      </c>
      <c r="B469" s="455"/>
      <c r="C469" s="70">
        <f>IF(B468&lt;3,0.75,IF(B468&lt;5,1.2,1.5))</f>
        <v>1.2</v>
      </c>
      <c r="D469" s="71">
        <f>+D468*C469</f>
        <v>1979.5300259999999</v>
      </c>
      <c r="E469" s="448"/>
      <c r="F469" s="449"/>
      <c r="G469" s="449"/>
      <c r="H469" s="449"/>
      <c r="I469" s="449"/>
      <c r="J469" s="449"/>
      <c r="K469" s="449"/>
      <c r="L469" s="449"/>
      <c r="M469" s="449"/>
      <c r="N469" s="449"/>
      <c r="O469" s="449"/>
      <c r="P469" s="449"/>
      <c r="Q469" s="449"/>
      <c r="R469" s="450"/>
    </row>
    <row r="470" spans="1:18" ht="30" customHeight="1" x14ac:dyDescent="0.3">
      <c r="A470" s="456" t="s">
        <v>218</v>
      </c>
      <c r="B470" s="455"/>
      <c r="C470" s="457">
        <v>44771</v>
      </c>
      <c r="D470" s="458"/>
      <c r="E470" s="448"/>
      <c r="F470" s="449"/>
      <c r="G470" s="449"/>
      <c r="H470" s="449"/>
      <c r="I470" s="449"/>
      <c r="J470" s="449"/>
      <c r="K470" s="449"/>
      <c r="L470" s="449"/>
      <c r="M470" s="449"/>
      <c r="N470" s="449"/>
      <c r="O470" s="449"/>
      <c r="P470" s="449"/>
      <c r="Q470" s="449"/>
      <c r="R470" s="450"/>
    </row>
    <row r="471" spans="1:18" ht="30" customHeight="1" x14ac:dyDescent="0.3">
      <c r="A471" s="459" t="s">
        <v>219</v>
      </c>
      <c r="B471" s="460"/>
      <c r="C471" s="472" t="str">
        <f>+IF(I480&gt;D469,"CUMPLE","NO CUMPLE")</f>
        <v>CUMPLE</v>
      </c>
      <c r="D471" s="473"/>
      <c r="E471" s="451"/>
      <c r="F471" s="452"/>
      <c r="G471" s="452"/>
      <c r="H471" s="452"/>
      <c r="I471" s="452"/>
      <c r="J471" s="452"/>
      <c r="K471" s="452"/>
      <c r="L471" s="452"/>
      <c r="M471" s="452"/>
      <c r="N471" s="452"/>
      <c r="O471" s="452"/>
      <c r="P471" s="452"/>
      <c r="Q471" s="452"/>
      <c r="R471" s="453"/>
    </row>
    <row r="472" spans="1:18" ht="55.5" customHeight="1" x14ac:dyDescent="0.3">
      <c r="A472" s="474" t="s">
        <v>220</v>
      </c>
      <c r="B472" s="475"/>
      <c r="C472" s="475"/>
      <c r="D472" s="475"/>
      <c r="E472" s="475"/>
      <c r="F472" s="475"/>
      <c r="G472" s="475"/>
      <c r="H472" s="475"/>
      <c r="I472" s="476"/>
      <c r="J472" s="81" t="s">
        <v>221</v>
      </c>
      <c r="K472" s="103" t="s">
        <v>222</v>
      </c>
      <c r="L472" s="477" t="s">
        <v>223</v>
      </c>
      <c r="M472" s="476"/>
      <c r="N472" s="478" t="s">
        <v>224</v>
      </c>
      <c r="O472" s="480" t="s">
        <v>225</v>
      </c>
      <c r="P472" s="481"/>
      <c r="Q472" s="478" t="s">
        <v>226</v>
      </c>
      <c r="R472" s="461" t="s">
        <v>227</v>
      </c>
    </row>
    <row r="473" spans="1:18" ht="77.25" customHeight="1" x14ac:dyDescent="0.3">
      <c r="A473" s="82" t="s">
        <v>228</v>
      </c>
      <c r="B473" s="463" t="s">
        <v>229</v>
      </c>
      <c r="C473" s="464"/>
      <c r="D473" s="83" t="s">
        <v>230</v>
      </c>
      <c r="E473" s="83" t="s">
        <v>231</v>
      </c>
      <c r="F473" s="83" t="s">
        <v>232</v>
      </c>
      <c r="G473" s="83" t="s">
        <v>233</v>
      </c>
      <c r="H473" s="116" t="s">
        <v>234</v>
      </c>
      <c r="I473" s="116" t="s">
        <v>235</v>
      </c>
      <c r="J473" s="84" t="s">
        <v>236</v>
      </c>
      <c r="K473" s="84" t="s">
        <v>237</v>
      </c>
      <c r="L473" s="84" t="s">
        <v>238</v>
      </c>
      <c r="M473" s="84" t="s">
        <v>239</v>
      </c>
      <c r="N473" s="479"/>
      <c r="O473" s="482"/>
      <c r="P473" s="483"/>
      <c r="Q473" s="479"/>
      <c r="R473" s="462"/>
    </row>
    <row r="474" spans="1:18" ht="39.9" customHeight="1" x14ac:dyDescent="0.3">
      <c r="A474" s="86" t="str">
        <f>VLOOKUP(A467,'LISTA DE OFERENTES'!$A$6:$R$43,2,FALSE)</f>
        <v>CONSORCIO PARQUE VECINAL 2022</v>
      </c>
      <c r="B474" s="87"/>
      <c r="C474" s="87"/>
      <c r="D474" s="87"/>
      <c r="E474" s="87"/>
      <c r="F474" s="87"/>
      <c r="G474" s="87"/>
      <c r="H474" s="87"/>
      <c r="I474" s="87"/>
      <c r="J474" s="87"/>
      <c r="K474" s="87"/>
      <c r="L474" s="491" t="s">
        <v>496</v>
      </c>
      <c r="M474" s="87"/>
      <c r="N474" s="87"/>
      <c r="O474" s="162" t="s">
        <v>241</v>
      </c>
      <c r="P474" s="87"/>
      <c r="Q474" s="87"/>
      <c r="R474" s="90"/>
    </row>
    <row r="475" spans="1:18" ht="39.9" customHeight="1" x14ac:dyDescent="0.3">
      <c r="A475" s="87"/>
      <c r="B475" s="87"/>
      <c r="C475" s="87"/>
      <c r="D475" s="87"/>
      <c r="E475" s="87"/>
      <c r="F475" s="87"/>
      <c r="G475" s="87"/>
      <c r="H475" s="87"/>
      <c r="I475" s="87"/>
      <c r="J475" s="87"/>
      <c r="K475" s="87"/>
      <c r="L475" s="492"/>
      <c r="M475" s="87"/>
      <c r="N475" s="87"/>
      <c r="O475" s="162"/>
      <c r="P475" s="87"/>
      <c r="Q475" s="87"/>
      <c r="R475" s="90"/>
    </row>
    <row r="476" spans="1:18" s="33" customFormat="1" ht="150" customHeight="1" x14ac:dyDescent="0.3">
      <c r="A476" s="119" t="s">
        <v>497</v>
      </c>
      <c r="B476" s="498" t="s">
        <v>498</v>
      </c>
      <c r="C476" s="467"/>
      <c r="D476" s="23" t="s">
        <v>499</v>
      </c>
      <c r="E476" s="69">
        <v>2011</v>
      </c>
      <c r="F476" s="69">
        <v>17224</v>
      </c>
      <c r="G476" s="24">
        <v>11884.34</v>
      </c>
      <c r="H476" s="3">
        <v>0.5</v>
      </c>
      <c r="I476" s="24">
        <f>H476*G476</f>
        <v>5942.17</v>
      </c>
      <c r="J476" s="100">
        <v>41782</v>
      </c>
      <c r="K476" s="30" t="s">
        <v>264</v>
      </c>
      <c r="L476" s="492"/>
      <c r="M476" s="31">
        <f>I476</f>
        <v>5942.17</v>
      </c>
      <c r="N476" s="119" t="s">
        <v>213</v>
      </c>
      <c r="O476" s="186" t="s">
        <v>500</v>
      </c>
      <c r="P476" s="119" t="s">
        <v>213</v>
      </c>
      <c r="Q476" s="142" t="s">
        <v>213</v>
      </c>
      <c r="R476" s="32"/>
    </row>
    <row r="477" spans="1:18" s="33" customFormat="1" ht="150" customHeight="1" x14ac:dyDescent="0.3">
      <c r="A477" s="119" t="s">
        <v>501</v>
      </c>
      <c r="B477" s="498" t="s">
        <v>502</v>
      </c>
      <c r="C477" s="467"/>
      <c r="D477" s="23" t="s">
        <v>503</v>
      </c>
      <c r="E477" s="69">
        <v>2002</v>
      </c>
      <c r="F477" s="69"/>
      <c r="G477" s="24">
        <v>473.12</v>
      </c>
      <c r="H477" s="3">
        <v>1</v>
      </c>
      <c r="I477" s="24">
        <f>H477*G477</f>
        <v>473.12</v>
      </c>
      <c r="J477" s="100">
        <v>37606</v>
      </c>
      <c r="K477" s="30" t="s">
        <v>264</v>
      </c>
      <c r="L477" s="492"/>
      <c r="M477" s="31">
        <f>I477</f>
        <v>473.12</v>
      </c>
      <c r="N477" s="119" t="s">
        <v>213</v>
      </c>
      <c r="O477" s="186"/>
      <c r="P477" s="119" t="s">
        <v>214</v>
      </c>
      <c r="Q477" s="142" t="s">
        <v>213</v>
      </c>
      <c r="R477" s="32" t="s">
        <v>504</v>
      </c>
    </row>
    <row r="478" spans="1:18" s="33" customFormat="1" ht="150" customHeight="1" x14ac:dyDescent="0.3">
      <c r="A478" s="119" t="s">
        <v>505</v>
      </c>
      <c r="B478" s="498" t="s">
        <v>506</v>
      </c>
      <c r="C478" s="467"/>
      <c r="D478" s="23" t="s">
        <v>507</v>
      </c>
      <c r="E478" s="69">
        <v>2019</v>
      </c>
      <c r="F478" s="69"/>
      <c r="G478" s="24">
        <v>5106.8599999999997</v>
      </c>
      <c r="H478" s="3">
        <v>1</v>
      </c>
      <c r="I478" s="24">
        <f>H478*G478</f>
        <v>5106.8599999999997</v>
      </c>
      <c r="J478" s="100">
        <v>43890</v>
      </c>
      <c r="K478" s="30" t="s">
        <v>264</v>
      </c>
      <c r="L478" s="492"/>
      <c r="M478" s="31">
        <f>I478</f>
        <v>5106.8599999999997</v>
      </c>
      <c r="N478" s="119" t="s">
        <v>213</v>
      </c>
      <c r="O478" s="186"/>
      <c r="P478" s="119" t="s">
        <v>214</v>
      </c>
      <c r="Q478" s="142" t="s">
        <v>213</v>
      </c>
      <c r="R478" s="32" t="s">
        <v>504</v>
      </c>
    </row>
    <row r="479" spans="1:18" s="33" customFormat="1" ht="150" customHeight="1" x14ac:dyDescent="0.3">
      <c r="A479" s="119" t="s">
        <v>508</v>
      </c>
      <c r="B479" s="498" t="s">
        <v>509</v>
      </c>
      <c r="C479" s="467"/>
      <c r="D479" s="23" t="s">
        <v>510</v>
      </c>
      <c r="E479" s="69">
        <v>2015</v>
      </c>
      <c r="F479" s="69"/>
      <c r="G479" s="24">
        <v>7219.45</v>
      </c>
      <c r="H479" s="3">
        <v>0.16</v>
      </c>
      <c r="I479" s="24">
        <f>H479*G479</f>
        <v>1155.1120000000001</v>
      </c>
      <c r="J479" s="100">
        <v>42611</v>
      </c>
      <c r="K479" s="30" t="s">
        <v>264</v>
      </c>
      <c r="L479" s="501"/>
      <c r="M479" s="31">
        <f>I479</f>
        <v>1155.1120000000001</v>
      </c>
      <c r="N479" s="119" t="s">
        <v>213</v>
      </c>
      <c r="O479" s="186" t="s">
        <v>265</v>
      </c>
      <c r="P479" s="119" t="s">
        <v>214</v>
      </c>
      <c r="Q479" s="142" t="s">
        <v>213</v>
      </c>
      <c r="R479" s="32" t="s">
        <v>504</v>
      </c>
    </row>
    <row r="480" spans="1:18" s="33" customFormat="1" ht="48" customHeight="1" x14ac:dyDescent="0.3">
      <c r="A480" s="495" t="s">
        <v>249</v>
      </c>
      <c r="B480" s="485"/>
      <c r="C480" s="485"/>
      <c r="D480" s="485"/>
      <c r="E480" s="485"/>
      <c r="F480" s="485"/>
      <c r="G480" s="485"/>
      <c r="H480" s="486"/>
      <c r="I480" s="72">
        <f>SUM(I476:I479)</f>
        <v>12677.261999999999</v>
      </c>
      <c r="J480" s="487" t="s">
        <v>250</v>
      </c>
      <c r="K480" s="488"/>
      <c r="L480" s="488"/>
      <c r="M480" s="488"/>
      <c r="N480" s="488"/>
      <c r="O480" s="488"/>
      <c r="P480" s="490"/>
      <c r="Q480" s="136"/>
      <c r="R480" s="92" t="s">
        <v>213</v>
      </c>
    </row>
    <row r="481" spans="1:18" ht="16.2" thickBot="1" x14ac:dyDescent="0.35">
      <c r="A481" s="4"/>
      <c r="B481" s="4"/>
      <c r="C481" s="4"/>
      <c r="D481" s="4"/>
      <c r="E481" s="4"/>
      <c r="F481" s="4"/>
      <c r="G481" s="4"/>
      <c r="H481" s="4"/>
      <c r="I481" s="4"/>
      <c r="J481" s="4"/>
      <c r="K481" s="4"/>
      <c r="L481" s="4"/>
      <c r="M481" s="4"/>
      <c r="N481" s="5"/>
      <c r="O481" s="5"/>
      <c r="P481" s="5"/>
      <c r="Q481" s="5"/>
      <c r="R481" s="5"/>
    </row>
    <row r="482" spans="1:18" ht="30.75" customHeight="1" thickBot="1" x14ac:dyDescent="0.35">
      <c r="A482" s="442">
        <f>A467+1</f>
        <v>37</v>
      </c>
      <c r="B482" s="443"/>
      <c r="C482" s="443"/>
      <c r="D482" s="444"/>
      <c r="E482" s="445" t="str">
        <f>VLOOKUP(A482,'LISTA DE OFERENTES'!$A$6:$B$43,2,FALSE)</f>
        <v>CONSORCIO PARQUE CAIS2022</v>
      </c>
      <c r="F482" s="446"/>
      <c r="G482" s="446"/>
      <c r="H482" s="446"/>
      <c r="I482" s="446"/>
      <c r="J482" s="446"/>
      <c r="K482" s="446"/>
      <c r="L482" s="446"/>
      <c r="M482" s="446"/>
      <c r="N482" s="446"/>
      <c r="O482" s="446"/>
      <c r="P482" s="446"/>
      <c r="Q482" s="446"/>
      <c r="R482" s="447"/>
    </row>
    <row r="483" spans="1:18" ht="50.25" customHeight="1" x14ac:dyDescent="0.3">
      <c r="A483" s="28" t="s">
        <v>215</v>
      </c>
      <c r="B483" s="85">
        <v>3</v>
      </c>
      <c r="C483" s="29" t="s">
        <v>216</v>
      </c>
      <c r="D483" s="68">
        <f>+$E$508</f>
        <v>1649.6083550000001</v>
      </c>
      <c r="E483" s="448"/>
      <c r="F483" s="449"/>
      <c r="G483" s="449"/>
      <c r="H483" s="449"/>
      <c r="I483" s="449"/>
      <c r="J483" s="449"/>
      <c r="K483" s="449"/>
      <c r="L483" s="449"/>
      <c r="M483" s="449"/>
      <c r="N483" s="449"/>
      <c r="O483" s="449"/>
      <c r="P483" s="449"/>
      <c r="Q483" s="449"/>
      <c r="R483" s="450"/>
    </row>
    <row r="484" spans="1:18" ht="30" customHeight="1" x14ac:dyDescent="0.3">
      <c r="A484" s="454" t="s">
        <v>217</v>
      </c>
      <c r="B484" s="455"/>
      <c r="C484" s="70">
        <f>IF(B483&lt;3,0.75,IF(B483&lt;5,1.2,1.5))</f>
        <v>1.2</v>
      </c>
      <c r="D484" s="71">
        <f>+D483*C484</f>
        <v>1979.5300259999999</v>
      </c>
      <c r="E484" s="448"/>
      <c r="F484" s="449"/>
      <c r="G484" s="449"/>
      <c r="H484" s="449"/>
      <c r="I484" s="449"/>
      <c r="J484" s="449"/>
      <c r="K484" s="449"/>
      <c r="L484" s="449"/>
      <c r="M484" s="449"/>
      <c r="N484" s="449"/>
      <c r="O484" s="449"/>
      <c r="P484" s="449"/>
      <c r="Q484" s="449"/>
      <c r="R484" s="450"/>
    </row>
    <row r="485" spans="1:18" ht="30" customHeight="1" x14ac:dyDescent="0.3">
      <c r="A485" s="456" t="s">
        <v>218</v>
      </c>
      <c r="B485" s="455"/>
      <c r="C485" s="457">
        <v>44771</v>
      </c>
      <c r="D485" s="458"/>
      <c r="E485" s="448"/>
      <c r="F485" s="449"/>
      <c r="G485" s="449"/>
      <c r="H485" s="449"/>
      <c r="I485" s="449"/>
      <c r="J485" s="449"/>
      <c r="K485" s="449"/>
      <c r="L485" s="449"/>
      <c r="M485" s="449"/>
      <c r="N485" s="449"/>
      <c r="O485" s="449"/>
      <c r="P485" s="449"/>
      <c r="Q485" s="449"/>
      <c r="R485" s="450"/>
    </row>
    <row r="486" spans="1:18" ht="30" customHeight="1" x14ac:dyDescent="0.3">
      <c r="A486" s="459" t="s">
        <v>219</v>
      </c>
      <c r="B486" s="460"/>
      <c r="C486" s="472" t="str">
        <f>+IF(I493&gt;D484,"CUMPLE","NO CUMPLE")</f>
        <v>CUMPLE</v>
      </c>
      <c r="D486" s="473"/>
      <c r="E486" s="451"/>
      <c r="F486" s="452"/>
      <c r="G486" s="452"/>
      <c r="H486" s="452"/>
      <c r="I486" s="452"/>
      <c r="J486" s="452"/>
      <c r="K486" s="452"/>
      <c r="L486" s="452"/>
      <c r="M486" s="452"/>
      <c r="N486" s="452"/>
      <c r="O486" s="452"/>
      <c r="P486" s="452"/>
      <c r="Q486" s="452"/>
      <c r="R486" s="453"/>
    </row>
    <row r="487" spans="1:18" ht="55.5" customHeight="1" x14ac:dyDescent="0.3">
      <c r="A487" s="474" t="s">
        <v>220</v>
      </c>
      <c r="B487" s="475"/>
      <c r="C487" s="475"/>
      <c r="D487" s="475"/>
      <c r="E487" s="475"/>
      <c r="F487" s="475"/>
      <c r="G487" s="475"/>
      <c r="H487" s="475"/>
      <c r="I487" s="476"/>
      <c r="J487" s="81" t="s">
        <v>221</v>
      </c>
      <c r="K487" s="103" t="s">
        <v>222</v>
      </c>
      <c r="L487" s="477" t="s">
        <v>223</v>
      </c>
      <c r="M487" s="476"/>
      <c r="N487" s="478" t="s">
        <v>224</v>
      </c>
      <c r="O487" s="480" t="s">
        <v>225</v>
      </c>
      <c r="P487" s="481"/>
      <c r="Q487" s="478" t="s">
        <v>226</v>
      </c>
      <c r="R487" s="461" t="s">
        <v>227</v>
      </c>
    </row>
    <row r="488" spans="1:18" ht="77.25" customHeight="1" x14ac:dyDescent="0.3">
      <c r="A488" s="82" t="s">
        <v>228</v>
      </c>
      <c r="B488" s="463" t="s">
        <v>229</v>
      </c>
      <c r="C488" s="464"/>
      <c r="D488" s="83" t="s">
        <v>230</v>
      </c>
      <c r="E488" s="83" t="s">
        <v>231</v>
      </c>
      <c r="F488" s="83" t="s">
        <v>232</v>
      </c>
      <c r="G488" s="83" t="s">
        <v>233</v>
      </c>
      <c r="H488" s="116" t="s">
        <v>234</v>
      </c>
      <c r="I488" s="116" t="s">
        <v>235</v>
      </c>
      <c r="J488" s="84" t="s">
        <v>236</v>
      </c>
      <c r="K488" s="84" t="s">
        <v>237</v>
      </c>
      <c r="L488" s="84" t="s">
        <v>238</v>
      </c>
      <c r="M488" s="84" t="s">
        <v>239</v>
      </c>
      <c r="N488" s="479"/>
      <c r="O488" s="482"/>
      <c r="P488" s="483"/>
      <c r="Q488" s="479"/>
      <c r="R488" s="462"/>
    </row>
    <row r="489" spans="1:18" ht="39.9" customHeight="1" x14ac:dyDescent="0.3">
      <c r="A489" s="86" t="str">
        <f>VLOOKUP(A482,'LISTA DE OFERENTES'!$A$6:$R$43,2,FALSE)</f>
        <v>CONSORCIO PARQUE CAIS2022</v>
      </c>
      <c r="B489" s="87"/>
      <c r="C489" s="87"/>
      <c r="D489" s="87"/>
      <c r="E489" s="87"/>
      <c r="F489" s="87"/>
      <c r="G489" s="87"/>
      <c r="H489" s="87"/>
      <c r="I489" s="87"/>
      <c r="J489" s="87"/>
      <c r="K489" s="87"/>
      <c r="L489" s="491" t="s">
        <v>629</v>
      </c>
      <c r="M489" s="87"/>
      <c r="N489" s="87"/>
      <c r="O489" s="162" t="s">
        <v>241</v>
      </c>
      <c r="P489" s="87"/>
      <c r="Q489" s="87"/>
      <c r="R489" s="90"/>
    </row>
    <row r="490" spans="1:18" s="33" customFormat="1" ht="150" customHeight="1" x14ac:dyDescent="0.3">
      <c r="A490" s="119" t="s">
        <v>512</v>
      </c>
      <c r="B490" s="498" t="s">
        <v>513</v>
      </c>
      <c r="C490" s="467"/>
      <c r="D490" s="23" t="s">
        <v>630</v>
      </c>
      <c r="E490" s="69">
        <v>2017</v>
      </c>
      <c r="F490" s="69">
        <v>23177</v>
      </c>
      <c r="G490" s="24">
        <v>8625.86</v>
      </c>
      <c r="H490" s="3">
        <v>0.3</v>
      </c>
      <c r="I490" s="24">
        <f>H490*G490</f>
        <v>2587.7580000000003</v>
      </c>
      <c r="J490" s="100">
        <v>43069</v>
      </c>
      <c r="K490" s="30" t="s">
        <v>631</v>
      </c>
      <c r="L490" s="492"/>
      <c r="M490" s="31">
        <v>2587.7600000000002</v>
      </c>
      <c r="N490" s="119" t="s">
        <v>213</v>
      </c>
      <c r="O490" s="186" t="s">
        <v>516</v>
      </c>
      <c r="P490" s="119" t="s">
        <v>213</v>
      </c>
      <c r="Q490" s="142"/>
      <c r="R490" s="32"/>
    </row>
    <row r="491" spans="1:18" s="33" customFormat="1" ht="150" customHeight="1" x14ac:dyDescent="0.3">
      <c r="A491" s="119" t="s">
        <v>512</v>
      </c>
      <c r="B491" s="498" t="s">
        <v>513</v>
      </c>
      <c r="C491" s="467"/>
      <c r="D491" s="23" t="s">
        <v>632</v>
      </c>
      <c r="E491" s="69">
        <v>2017</v>
      </c>
      <c r="F491" s="69">
        <v>23177</v>
      </c>
      <c r="G491" s="24">
        <v>8625.86</v>
      </c>
      <c r="H491" s="3">
        <v>0.23</v>
      </c>
      <c r="I491" s="24">
        <f>H491*G491</f>
        <v>1983.9478000000001</v>
      </c>
      <c r="J491" s="100">
        <v>43069</v>
      </c>
      <c r="K491" s="30" t="s">
        <v>631</v>
      </c>
      <c r="L491" s="492"/>
      <c r="M491" s="31">
        <v>1983.95</v>
      </c>
      <c r="N491" s="119" t="s">
        <v>213</v>
      </c>
      <c r="O491" s="186" t="s">
        <v>518</v>
      </c>
      <c r="P491" s="119" t="s">
        <v>213</v>
      </c>
      <c r="Q491" s="142"/>
      <c r="R491" s="32"/>
    </row>
    <row r="492" spans="1:18" s="33" customFormat="1" ht="150" customHeight="1" x14ac:dyDescent="0.3">
      <c r="A492" s="119" t="s">
        <v>519</v>
      </c>
      <c r="B492" s="498" t="s">
        <v>520</v>
      </c>
      <c r="C492" s="467"/>
      <c r="D492" s="23" t="s">
        <v>633</v>
      </c>
      <c r="E492" s="69">
        <v>2001</v>
      </c>
      <c r="F492" s="69">
        <v>12775</v>
      </c>
      <c r="G492" s="24">
        <v>101186.26</v>
      </c>
      <c r="H492" s="3">
        <v>1</v>
      </c>
      <c r="I492" s="24">
        <f>H492*G492</f>
        <v>101186.26</v>
      </c>
      <c r="J492" s="100">
        <v>40739</v>
      </c>
      <c r="K492" s="30" t="s">
        <v>634</v>
      </c>
      <c r="L492" s="501"/>
      <c r="M492" s="31">
        <v>101186.26</v>
      </c>
      <c r="N492" s="119" t="s">
        <v>213</v>
      </c>
      <c r="O492" s="186" t="s">
        <v>523</v>
      </c>
      <c r="P492" s="119" t="s">
        <v>213</v>
      </c>
      <c r="Q492" s="142"/>
      <c r="R492" s="32" t="s">
        <v>524</v>
      </c>
    </row>
    <row r="493" spans="1:18" s="33" customFormat="1" ht="48" customHeight="1" x14ac:dyDescent="0.3">
      <c r="A493" s="495" t="s">
        <v>249</v>
      </c>
      <c r="B493" s="485"/>
      <c r="C493" s="485"/>
      <c r="D493" s="485"/>
      <c r="E493" s="485"/>
      <c r="F493" s="485"/>
      <c r="G493" s="485"/>
      <c r="H493" s="486"/>
      <c r="I493" s="72">
        <f>SUM(I490:I492)</f>
        <v>105757.96579999999</v>
      </c>
      <c r="J493" s="487" t="s">
        <v>250</v>
      </c>
      <c r="K493" s="488"/>
      <c r="L493" s="488"/>
      <c r="M493" s="488"/>
      <c r="N493" s="488"/>
      <c r="O493" s="488"/>
      <c r="P493" s="490"/>
      <c r="Q493" s="136"/>
      <c r="R493" s="92" t="s">
        <v>214</v>
      </c>
    </row>
    <row r="494" spans="1:18" ht="73.5" customHeight="1" thickBot="1" x14ac:dyDescent="0.35">
      <c r="A494" s="4"/>
      <c r="B494" s="4"/>
      <c r="C494" s="4"/>
      <c r="D494" s="4"/>
      <c r="E494" s="4"/>
      <c r="F494" s="4"/>
      <c r="G494" s="4"/>
      <c r="H494" s="4"/>
      <c r="I494" s="4"/>
      <c r="J494" s="4"/>
      <c r="K494" s="4"/>
      <c r="L494" s="4"/>
      <c r="M494" s="4"/>
      <c r="N494" s="5"/>
      <c r="O494" s="5"/>
      <c r="P494" s="5"/>
      <c r="Q494" s="5"/>
      <c r="R494" s="5"/>
    </row>
    <row r="495" spans="1:18" ht="30.75" customHeight="1" thickBot="1" x14ac:dyDescent="0.35">
      <c r="A495" s="442">
        <f>A482+1</f>
        <v>38</v>
      </c>
      <c r="B495" s="443"/>
      <c r="C495" s="443"/>
      <c r="D495" s="444"/>
      <c r="E495" s="445" t="str">
        <f>VLOOKUP(A495,'LISTA DE OFERENTES'!$A$6:$B$43,2,FALSE)</f>
        <v>PHVA CONSTRUCTORES SAS</v>
      </c>
      <c r="F495" s="446"/>
      <c r="G495" s="446"/>
      <c r="H495" s="446"/>
      <c r="I495" s="446"/>
      <c r="J495" s="446"/>
      <c r="K495" s="446"/>
      <c r="L495" s="446"/>
      <c r="M495" s="446"/>
      <c r="N495" s="446"/>
      <c r="O495" s="446"/>
      <c r="P495" s="446"/>
      <c r="Q495" s="446"/>
      <c r="R495" s="447"/>
    </row>
    <row r="496" spans="1:18" ht="50.25" customHeight="1" x14ac:dyDescent="0.3">
      <c r="A496" s="28" t="s">
        <v>215</v>
      </c>
      <c r="B496" s="85">
        <v>2</v>
      </c>
      <c r="C496" s="29" t="s">
        <v>216</v>
      </c>
      <c r="D496" s="68">
        <f>+$E$508</f>
        <v>1649.6083550000001</v>
      </c>
      <c r="E496" s="448"/>
      <c r="F496" s="449"/>
      <c r="G496" s="449"/>
      <c r="H496" s="449"/>
      <c r="I496" s="449"/>
      <c r="J496" s="449"/>
      <c r="K496" s="449"/>
      <c r="L496" s="449"/>
      <c r="M496" s="449"/>
      <c r="N496" s="449"/>
      <c r="O496" s="449"/>
      <c r="P496" s="449"/>
      <c r="Q496" s="449"/>
      <c r="R496" s="450"/>
    </row>
    <row r="497" spans="1:18" ht="30" customHeight="1" x14ac:dyDescent="0.3">
      <c r="A497" s="454" t="s">
        <v>217</v>
      </c>
      <c r="B497" s="455"/>
      <c r="C497" s="70">
        <f>IF(B496&lt;3,0.75,IF(B496&lt;5,1.2,1.5))</f>
        <v>0.75</v>
      </c>
      <c r="D497" s="71">
        <f>+D496*C497</f>
        <v>1237.20626625</v>
      </c>
      <c r="E497" s="448"/>
      <c r="F497" s="449"/>
      <c r="G497" s="449"/>
      <c r="H497" s="449"/>
      <c r="I497" s="449"/>
      <c r="J497" s="449"/>
      <c r="K497" s="449"/>
      <c r="L497" s="449"/>
      <c r="M497" s="449"/>
      <c r="N497" s="449"/>
      <c r="O497" s="449"/>
      <c r="P497" s="449"/>
      <c r="Q497" s="449"/>
      <c r="R497" s="450"/>
    </row>
    <row r="498" spans="1:18" ht="30" customHeight="1" x14ac:dyDescent="0.3">
      <c r="A498" s="456" t="s">
        <v>218</v>
      </c>
      <c r="B498" s="455"/>
      <c r="C498" s="457">
        <v>44771</v>
      </c>
      <c r="D498" s="458"/>
      <c r="E498" s="448"/>
      <c r="F498" s="449"/>
      <c r="G498" s="449"/>
      <c r="H498" s="449"/>
      <c r="I498" s="449"/>
      <c r="J498" s="449"/>
      <c r="K498" s="449"/>
      <c r="L498" s="449"/>
      <c r="M498" s="449"/>
      <c r="N498" s="449"/>
      <c r="O498" s="449"/>
      <c r="P498" s="449"/>
      <c r="Q498" s="449"/>
      <c r="R498" s="450"/>
    </row>
    <row r="499" spans="1:18" ht="30" customHeight="1" x14ac:dyDescent="0.3">
      <c r="A499" s="459" t="s">
        <v>219</v>
      </c>
      <c r="B499" s="460"/>
      <c r="C499" s="472" t="str">
        <f>+IF(I505&gt;D497,"CUMPLE","NO CUMPLE")</f>
        <v>CUMPLE</v>
      </c>
      <c r="D499" s="473"/>
      <c r="E499" s="451"/>
      <c r="F499" s="452"/>
      <c r="G499" s="452"/>
      <c r="H499" s="452"/>
      <c r="I499" s="452"/>
      <c r="J499" s="452"/>
      <c r="K499" s="452"/>
      <c r="L499" s="452"/>
      <c r="M499" s="452"/>
      <c r="N499" s="452"/>
      <c r="O499" s="452"/>
      <c r="P499" s="452"/>
      <c r="Q499" s="452"/>
      <c r="R499" s="453"/>
    </row>
    <row r="500" spans="1:18" ht="55.5" customHeight="1" x14ac:dyDescent="0.3">
      <c r="A500" s="474" t="s">
        <v>220</v>
      </c>
      <c r="B500" s="475"/>
      <c r="C500" s="475"/>
      <c r="D500" s="475"/>
      <c r="E500" s="475"/>
      <c r="F500" s="475"/>
      <c r="G500" s="475"/>
      <c r="H500" s="475"/>
      <c r="I500" s="476"/>
      <c r="J500" s="81" t="s">
        <v>221</v>
      </c>
      <c r="K500" s="103" t="s">
        <v>222</v>
      </c>
      <c r="L500" s="477" t="s">
        <v>223</v>
      </c>
      <c r="M500" s="476"/>
      <c r="N500" s="478" t="s">
        <v>224</v>
      </c>
      <c r="O500" s="480" t="s">
        <v>225</v>
      </c>
      <c r="P500" s="481"/>
      <c r="Q500" s="478" t="s">
        <v>226</v>
      </c>
      <c r="R500" s="461" t="s">
        <v>227</v>
      </c>
    </row>
    <row r="501" spans="1:18" ht="77.25" customHeight="1" x14ac:dyDescent="0.3">
      <c r="A501" s="82" t="s">
        <v>228</v>
      </c>
      <c r="B501" s="463" t="s">
        <v>229</v>
      </c>
      <c r="C501" s="464"/>
      <c r="D501" s="83" t="s">
        <v>230</v>
      </c>
      <c r="E501" s="83" t="s">
        <v>231</v>
      </c>
      <c r="F501" s="83" t="s">
        <v>232</v>
      </c>
      <c r="G501" s="83" t="s">
        <v>233</v>
      </c>
      <c r="H501" s="116" t="s">
        <v>234</v>
      </c>
      <c r="I501" s="116" t="s">
        <v>235</v>
      </c>
      <c r="J501" s="84" t="s">
        <v>236</v>
      </c>
      <c r="K501" s="84" t="s">
        <v>237</v>
      </c>
      <c r="L501" s="84" t="s">
        <v>238</v>
      </c>
      <c r="M501" s="84" t="s">
        <v>239</v>
      </c>
      <c r="N501" s="479"/>
      <c r="O501" s="482"/>
      <c r="P501" s="483"/>
      <c r="Q501" s="479"/>
      <c r="R501" s="462"/>
    </row>
    <row r="502" spans="1:18" ht="39.9" customHeight="1" x14ac:dyDescent="0.3">
      <c r="A502" s="86" t="str">
        <f>VLOOKUP(A495,'LISTA DE OFERENTES'!$A$6:$R$43,2,FALSE)</f>
        <v>PHVA CONSTRUCTORES SAS</v>
      </c>
      <c r="B502" s="87"/>
      <c r="C502" s="87"/>
      <c r="D502" s="87"/>
      <c r="E502" s="87"/>
      <c r="F502" s="87"/>
      <c r="G502" s="87"/>
      <c r="H502" s="87"/>
      <c r="I502" s="87"/>
      <c r="J502" s="87"/>
      <c r="K502" s="87"/>
      <c r="L502" s="491" t="s">
        <v>209</v>
      </c>
      <c r="M502" s="87"/>
      <c r="N502" s="87"/>
      <c r="O502" s="162" t="s">
        <v>241</v>
      </c>
      <c r="P502" s="87"/>
      <c r="Q502" s="87"/>
      <c r="R502" s="90"/>
    </row>
    <row r="503" spans="1:18" s="33" customFormat="1" ht="150" customHeight="1" x14ac:dyDescent="0.3">
      <c r="A503" s="119" t="s">
        <v>525</v>
      </c>
      <c r="B503" s="498" t="s">
        <v>526</v>
      </c>
      <c r="C503" s="467"/>
      <c r="D503" s="23" t="s">
        <v>527</v>
      </c>
      <c r="E503" s="69">
        <v>2019</v>
      </c>
      <c r="F503" s="69">
        <v>5115</v>
      </c>
      <c r="G503" s="24">
        <v>646.61</v>
      </c>
      <c r="H503" s="3">
        <v>0.93</v>
      </c>
      <c r="I503" s="24">
        <f>H503*G503</f>
        <v>601.34730000000002</v>
      </c>
      <c r="J503" s="100">
        <v>43808</v>
      </c>
      <c r="K503" s="30">
        <v>721015</v>
      </c>
      <c r="L503" s="492"/>
      <c r="M503" s="31">
        <f>I503</f>
        <v>601.34730000000002</v>
      </c>
      <c r="N503" s="119" t="s">
        <v>213</v>
      </c>
      <c r="O503" s="186" t="s">
        <v>528</v>
      </c>
      <c r="P503" s="119" t="s">
        <v>213</v>
      </c>
      <c r="Q503" s="142" t="s">
        <v>213</v>
      </c>
      <c r="R503" s="32" t="s">
        <v>529</v>
      </c>
    </row>
    <row r="504" spans="1:18" s="33" customFormat="1" ht="150" customHeight="1" x14ac:dyDescent="0.3">
      <c r="A504" s="119" t="s">
        <v>530</v>
      </c>
      <c r="B504" s="498" t="s">
        <v>531</v>
      </c>
      <c r="C504" s="467"/>
      <c r="D504" s="23" t="s">
        <v>532</v>
      </c>
      <c r="E504" s="69">
        <v>2019</v>
      </c>
      <c r="F504" s="69">
        <v>5115</v>
      </c>
      <c r="G504" s="24">
        <v>1014.67</v>
      </c>
      <c r="H504" s="3">
        <v>0.7</v>
      </c>
      <c r="I504" s="24">
        <f>H504*G504</f>
        <v>710.26899999999989</v>
      </c>
      <c r="J504" s="100">
        <v>43825</v>
      </c>
      <c r="K504" s="30">
        <v>721015</v>
      </c>
      <c r="L504" s="501"/>
      <c r="M504" s="31">
        <f>I504</f>
        <v>710.26899999999989</v>
      </c>
      <c r="N504" s="119" t="s">
        <v>213</v>
      </c>
      <c r="O504" s="186" t="s">
        <v>533</v>
      </c>
      <c r="P504" s="119" t="s">
        <v>213</v>
      </c>
      <c r="Q504" s="142" t="s">
        <v>213</v>
      </c>
      <c r="R504" s="32"/>
    </row>
    <row r="505" spans="1:18" s="33" customFormat="1" ht="48" customHeight="1" x14ac:dyDescent="0.3">
      <c r="A505" s="495" t="s">
        <v>249</v>
      </c>
      <c r="B505" s="485"/>
      <c r="C505" s="485"/>
      <c r="D505" s="485"/>
      <c r="E505" s="485"/>
      <c r="F505" s="485"/>
      <c r="G505" s="485"/>
      <c r="H505" s="486"/>
      <c r="I505" s="72">
        <f>SUM(I503:I504)</f>
        <v>1311.6162999999999</v>
      </c>
      <c r="J505" s="487" t="s">
        <v>250</v>
      </c>
      <c r="K505" s="488"/>
      <c r="L505" s="488"/>
      <c r="M505" s="488"/>
      <c r="N505" s="488"/>
      <c r="O505" s="488"/>
      <c r="P505" s="490"/>
      <c r="Q505" s="136"/>
      <c r="R505" s="92" t="s">
        <v>213</v>
      </c>
    </row>
    <row r="506" spans="1:18" ht="150.75" customHeight="1" x14ac:dyDescent="0.3">
      <c r="A506" s="7"/>
      <c r="B506" s="7"/>
      <c r="C506" s="7"/>
      <c r="D506" s="7"/>
      <c r="E506" s="7"/>
      <c r="F506" s="7"/>
      <c r="G506" s="7"/>
      <c r="H506" s="7"/>
      <c r="I506" s="4"/>
      <c r="J506" s="4"/>
      <c r="K506" s="4"/>
      <c r="L506" s="4"/>
      <c r="M506" s="4"/>
      <c r="N506" s="5"/>
      <c r="O506" s="5"/>
      <c r="P506" s="5"/>
      <c r="Q506" s="5"/>
      <c r="R506" s="5"/>
    </row>
    <row r="507" spans="1:18" ht="15.6" x14ac:dyDescent="0.3">
      <c r="A507" s="555" t="s">
        <v>534</v>
      </c>
      <c r="B507" s="556"/>
      <c r="C507" s="66">
        <v>0.5</v>
      </c>
      <c r="D507" s="66" t="s">
        <v>535</v>
      </c>
      <c r="E507" s="66" t="s">
        <v>536</v>
      </c>
      <c r="F507" s="66"/>
      <c r="G507" s="8" t="s">
        <v>537</v>
      </c>
      <c r="H507" s="8" t="s">
        <v>538</v>
      </c>
      <c r="I507" s="8" t="s">
        <v>539</v>
      </c>
      <c r="J507" s="4"/>
      <c r="K507" s="4"/>
      <c r="L507" s="4"/>
      <c r="M507" s="4"/>
      <c r="N507" s="5"/>
      <c r="O507" s="5"/>
      <c r="P507" s="5"/>
      <c r="Q507" s="5"/>
      <c r="R507" s="5"/>
    </row>
    <row r="508" spans="1:18" ht="21" x14ac:dyDescent="0.3">
      <c r="A508" s="34" t="s">
        <v>540</v>
      </c>
      <c r="B508" s="133">
        <v>1649608355</v>
      </c>
      <c r="C508" s="67">
        <f>+B508*50%</f>
        <v>824804177.5</v>
      </c>
      <c r="D508" s="35">
        <f>+$C$508/$E$566</f>
        <v>824.80417750000004</v>
      </c>
      <c r="E508" s="35">
        <f>$B$508/$E$566</f>
        <v>1649.6083550000001</v>
      </c>
      <c r="F508" s="35"/>
      <c r="G508" s="35">
        <f>E508*0.75</f>
        <v>1237.20626625</v>
      </c>
      <c r="H508" s="35">
        <f>E508*1.2</f>
        <v>1979.5300259999999</v>
      </c>
      <c r="I508" s="35">
        <f>E508*1.5</f>
        <v>2474.4125325</v>
      </c>
      <c r="J508" s="65"/>
      <c r="K508" s="4"/>
      <c r="L508" s="4"/>
      <c r="M508" s="4"/>
      <c r="N508" s="5"/>
      <c r="O508" s="5"/>
      <c r="P508" s="5"/>
      <c r="Q508" s="5"/>
      <c r="R508" s="5"/>
    </row>
    <row r="509" spans="1:18" ht="21" x14ac:dyDescent="0.3">
      <c r="A509" s="36"/>
      <c r="B509" s="37"/>
      <c r="C509" s="38"/>
      <c r="D509" s="39"/>
      <c r="E509" s="39"/>
      <c r="F509" s="39"/>
      <c r="G509" s="38"/>
      <c r="H509" s="39"/>
      <c r="I509" s="40"/>
      <c r="J509" s="41"/>
      <c r="K509" s="4"/>
      <c r="L509" s="4"/>
      <c r="M509" s="4"/>
      <c r="N509" s="5"/>
      <c r="O509" s="5"/>
      <c r="P509" s="5"/>
      <c r="Q509" s="5"/>
      <c r="R509" s="5"/>
    </row>
    <row r="510" spans="1:18" ht="21" x14ac:dyDescent="0.3">
      <c r="A510" s="42"/>
      <c r="B510" s="43"/>
      <c r="C510" s="38"/>
      <c r="D510" s="39"/>
      <c r="E510" s="39"/>
      <c r="F510" s="39"/>
      <c r="G510" s="38"/>
      <c r="H510" s="39"/>
      <c r="I510" s="40"/>
      <c r="J510" s="41"/>
      <c r="K510" s="4"/>
      <c r="L510" s="4"/>
      <c r="M510" s="4"/>
      <c r="N510" s="5"/>
      <c r="O510" s="5"/>
      <c r="P510" s="5"/>
      <c r="Q510" s="5"/>
      <c r="R510" s="5"/>
    </row>
    <row r="511" spans="1:18" ht="162.75" customHeight="1" x14ac:dyDescent="0.3">
      <c r="A511" s="552" t="s">
        <v>541</v>
      </c>
      <c r="B511" s="552"/>
      <c r="C511" s="552"/>
      <c r="D511" s="552"/>
      <c r="E511" s="552"/>
      <c r="F511" s="552"/>
      <c r="G511" s="552"/>
      <c r="H511" s="552"/>
      <c r="I511" s="552"/>
      <c r="J511" s="552"/>
      <c r="L511" s="553" t="s">
        <v>542</v>
      </c>
      <c r="M511" s="553"/>
      <c r="N511" s="44"/>
      <c r="O511" s="44"/>
      <c r="P511" s="44"/>
      <c r="Q511" s="44"/>
      <c r="R511" s="44"/>
    </row>
    <row r="512" spans="1:18" ht="22.5" customHeight="1" x14ac:dyDescent="0.3">
      <c r="A512" s="63"/>
      <c r="B512" s="63"/>
      <c r="C512" s="102"/>
      <c r="D512" s="1"/>
      <c r="E512" s="1"/>
      <c r="F512" s="1"/>
      <c r="G512" s="101"/>
      <c r="H512" s="101"/>
      <c r="I512" s="101"/>
      <c r="J512" s="101"/>
      <c r="K512" s="101"/>
      <c r="M512" s="44"/>
      <c r="N512" s="44"/>
      <c r="O512" s="44"/>
      <c r="P512" s="44"/>
      <c r="Q512" s="44"/>
      <c r="R512" s="44"/>
    </row>
    <row r="513" spans="1:18" ht="57" customHeight="1" x14ac:dyDescent="0.3">
      <c r="A513" s="45" t="s">
        <v>3</v>
      </c>
      <c r="B513" s="63"/>
      <c r="C513" s="102"/>
      <c r="D513" s="1"/>
      <c r="E513" s="1"/>
      <c r="F513" s="1"/>
      <c r="G513" s="101"/>
      <c r="H513" s="101"/>
      <c r="I513" s="101"/>
      <c r="J513" s="101"/>
      <c r="M513" s="44"/>
      <c r="N513" s="44"/>
      <c r="O513" s="44"/>
      <c r="P513" s="44"/>
      <c r="Q513" s="44"/>
      <c r="R513" s="44"/>
    </row>
    <row r="514" spans="1:18" ht="51.75" customHeight="1" x14ac:dyDescent="0.3">
      <c r="A514" s="553" t="s">
        <v>4</v>
      </c>
      <c r="B514" s="553"/>
      <c r="C514" s="102"/>
      <c r="D514" s="1"/>
      <c r="E514" s="1"/>
      <c r="F514" s="1"/>
      <c r="G514" s="101"/>
      <c r="H514" s="101"/>
      <c r="I514" s="101"/>
      <c r="J514" s="101"/>
      <c r="M514" s="44"/>
      <c r="N514" s="44"/>
      <c r="O514" s="44"/>
      <c r="P514" s="44"/>
      <c r="Q514" s="44"/>
      <c r="R514" s="44"/>
    </row>
    <row r="515" spans="1:18" ht="72.75" customHeight="1" x14ac:dyDescent="0.3">
      <c r="A515" s="554" t="s">
        <v>543</v>
      </c>
      <c r="B515" s="554"/>
      <c r="C515" s="554"/>
      <c r="D515" s="554"/>
      <c r="E515" s="554"/>
      <c r="F515" s="554"/>
      <c r="G515" s="554"/>
      <c r="H515" s="554"/>
      <c r="I515" s="554"/>
      <c r="J515" s="554"/>
      <c r="M515" s="44"/>
      <c r="N515" s="44"/>
      <c r="O515" s="44"/>
      <c r="P515" s="44"/>
      <c r="Q515" s="44"/>
      <c r="R515" s="44"/>
    </row>
    <row r="516" spans="1:18" ht="72.75" customHeight="1" x14ac:dyDescent="0.3">
      <c r="A516" s="554" t="s">
        <v>544</v>
      </c>
      <c r="B516" s="554"/>
      <c r="C516" s="554"/>
      <c r="D516" s="554"/>
      <c r="E516" s="554"/>
      <c r="F516" s="554"/>
      <c r="G516" s="554"/>
      <c r="H516" s="554"/>
      <c r="I516" s="554"/>
      <c r="J516" s="554"/>
      <c r="M516" s="44"/>
      <c r="N516" s="44"/>
      <c r="O516" s="44"/>
      <c r="P516" s="44"/>
      <c r="Q516" s="44"/>
      <c r="R516" s="44"/>
    </row>
    <row r="517" spans="1:18" ht="87.75" customHeight="1" x14ac:dyDescent="0.3">
      <c r="A517" s="554" t="s">
        <v>545</v>
      </c>
      <c r="B517" s="554"/>
      <c r="C517" s="554"/>
      <c r="D517" s="554"/>
      <c r="E517" s="554"/>
      <c r="F517" s="554"/>
      <c r="G517" s="554"/>
      <c r="H517" s="554"/>
      <c r="I517" s="554"/>
      <c r="J517" s="554"/>
      <c r="M517" s="44"/>
      <c r="N517" s="44"/>
      <c r="O517" s="44"/>
      <c r="P517" s="44"/>
      <c r="Q517" s="44"/>
      <c r="R517" s="44"/>
    </row>
    <row r="518" spans="1:18" ht="87.75" customHeight="1" x14ac:dyDescent="0.3">
      <c r="A518" s="554"/>
      <c r="B518" s="554"/>
      <c r="C518" s="554"/>
      <c r="D518" s="554"/>
      <c r="E518" s="554"/>
      <c r="F518" s="554"/>
      <c r="G518" s="554"/>
      <c r="H518" s="554"/>
      <c r="I518" s="554"/>
      <c r="J518" s="554"/>
      <c r="M518" s="44"/>
      <c r="N518" s="44"/>
      <c r="O518" s="44"/>
      <c r="P518" s="44"/>
      <c r="Q518" s="44"/>
      <c r="R518" s="44"/>
    </row>
    <row r="519" spans="1:18" ht="60" customHeight="1" x14ac:dyDescent="0.3">
      <c r="A519" s="64"/>
      <c r="B519" s="64"/>
      <c r="C519" s="102"/>
      <c r="D519" s="1"/>
      <c r="E519" s="1"/>
      <c r="F519" s="1"/>
      <c r="G519" s="101"/>
      <c r="H519" s="101"/>
      <c r="I519" s="101"/>
      <c r="J519" s="101"/>
      <c r="M519" s="44"/>
      <c r="N519" s="44"/>
      <c r="O519" s="44"/>
      <c r="P519" s="44"/>
      <c r="Q519" s="44"/>
      <c r="R519" s="44"/>
    </row>
    <row r="520" spans="1:18" ht="60" customHeight="1" x14ac:dyDescent="0.3">
      <c r="A520" s="553" t="s">
        <v>546</v>
      </c>
      <c r="B520" s="553"/>
      <c r="C520" s="102"/>
      <c r="D520" s="1"/>
      <c r="E520" s="1"/>
      <c r="F520" s="1"/>
      <c r="G520" s="101"/>
      <c r="H520" s="101"/>
      <c r="I520" s="101"/>
      <c r="J520" s="101"/>
      <c r="M520" s="44"/>
      <c r="N520" s="44"/>
      <c r="O520" s="44"/>
      <c r="P520" s="44"/>
      <c r="Q520" s="44"/>
      <c r="R520" s="44"/>
    </row>
    <row r="521" spans="1:18" ht="126.9" customHeight="1" x14ac:dyDescent="0.3">
      <c r="A521" s="554" t="s">
        <v>9</v>
      </c>
      <c r="B521" s="554"/>
      <c r="C521" s="554"/>
      <c r="D521" s="554"/>
      <c r="E521" s="554"/>
      <c r="F521" s="554"/>
      <c r="G521" s="554"/>
      <c r="H521" s="554"/>
      <c r="I521" s="554"/>
      <c r="J521" s="554"/>
      <c r="M521" s="44"/>
      <c r="N521" s="44"/>
      <c r="O521" s="44"/>
      <c r="P521" s="44"/>
      <c r="Q521" s="44"/>
      <c r="R521" s="44"/>
    </row>
    <row r="522" spans="1:18" ht="126.9" customHeight="1" x14ac:dyDescent="0.3">
      <c r="A522" s="134"/>
      <c r="B522" s="134"/>
      <c r="C522" s="134"/>
      <c r="D522" s="134"/>
      <c r="E522" s="134"/>
      <c r="F522" s="134"/>
      <c r="G522" s="134"/>
      <c r="H522" s="134"/>
      <c r="I522" s="134"/>
      <c r="J522" s="134"/>
      <c r="M522" s="44"/>
      <c r="N522" s="44"/>
      <c r="O522" s="44"/>
      <c r="P522" s="44"/>
      <c r="Q522" s="44"/>
      <c r="R522" s="44"/>
    </row>
    <row r="523" spans="1:18" ht="53.1" customHeight="1" x14ac:dyDescent="0.3">
      <c r="A523" s="553" t="s">
        <v>10</v>
      </c>
      <c r="B523" s="553"/>
      <c r="C523" s="134"/>
      <c r="D523" s="134"/>
      <c r="E523" s="134"/>
      <c r="F523" s="134"/>
      <c r="G523" s="134"/>
      <c r="H523" s="134"/>
      <c r="I523" s="134"/>
      <c r="J523" s="134"/>
      <c r="M523" s="44"/>
      <c r="N523" s="44"/>
      <c r="O523" s="44"/>
      <c r="P523" s="44"/>
      <c r="Q523" s="44"/>
      <c r="R523" s="44"/>
    </row>
    <row r="524" spans="1:18" ht="126.9" customHeight="1" x14ac:dyDescent="0.3">
      <c r="A524" s="554" t="s">
        <v>11</v>
      </c>
      <c r="B524" s="554"/>
      <c r="C524" s="554"/>
      <c r="D524" s="554"/>
      <c r="E524" s="554"/>
      <c r="F524" s="554"/>
      <c r="G524" s="554"/>
      <c r="H524" s="554"/>
      <c r="I524" s="554"/>
      <c r="J524" s="554"/>
      <c r="M524" s="44"/>
      <c r="N524" s="44"/>
      <c r="O524" s="44"/>
      <c r="P524" s="44"/>
      <c r="Q524" s="44"/>
      <c r="R524" s="44"/>
    </row>
    <row r="525" spans="1:18" ht="150" customHeight="1" x14ac:dyDescent="0.3">
      <c r="A525" s="554" t="s">
        <v>547</v>
      </c>
      <c r="B525" s="554"/>
      <c r="C525" s="554"/>
      <c r="D525" s="554"/>
      <c r="E525" s="554"/>
      <c r="F525" s="554"/>
      <c r="G525" s="554"/>
      <c r="H525" s="554"/>
      <c r="I525" s="554"/>
      <c r="J525" s="554"/>
      <c r="M525" s="44"/>
      <c r="N525" s="44"/>
      <c r="O525" s="44"/>
      <c r="P525" s="44"/>
      <c r="Q525" s="44"/>
      <c r="R525" s="44"/>
    </row>
    <row r="526" spans="1:18" ht="170.25" customHeight="1" x14ac:dyDescent="0.3">
      <c r="A526" s="559" t="s">
        <v>548</v>
      </c>
      <c r="B526" s="559"/>
      <c r="C526" s="559"/>
      <c r="D526" s="559"/>
      <c r="E526" s="559"/>
      <c r="F526" s="559"/>
      <c r="G526" s="559"/>
      <c r="H526" s="559"/>
      <c r="I526" s="559"/>
      <c r="J526" s="559"/>
      <c r="M526" s="44"/>
      <c r="N526" s="44"/>
      <c r="O526" s="44"/>
      <c r="P526" s="44"/>
      <c r="Q526" s="44"/>
      <c r="R526" s="44"/>
    </row>
    <row r="527" spans="1:18" ht="100.5" customHeight="1" x14ac:dyDescent="0.3">
      <c r="A527" s="557" t="s">
        <v>13</v>
      </c>
      <c r="B527" s="557"/>
      <c r="C527" s="557"/>
      <c r="D527" s="557"/>
      <c r="E527" s="557"/>
      <c r="F527" s="557"/>
      <c r="G527" s="557"/>
      <c r="H527" s="557"/>
      <c r="I527" s="557"/>
      <c r="J527" s="557"/>
      <c r="M527" s="44"/>
      <c r="N527" s="44"/>
      <c r="O527" s="44"/>
      <c r="P527" s="44"/>
      <c r="Q527" s="44"/>
      <c r="R527" s="44"/>
    </row>
    <row r="528" spans="1:18" ht="66.75" customHeight="1" x14ac:dyDescent="0.3">
      <c r="A528" s="559" t="s">
        <v>549</v>
      </c>
      <c r="B528" s="559"/>
      <c r="C528" s="559"/>
      <c r="D528" s="559"/>
      <c r="E528" s="559"/>
      <c r="F528" s="559"/>
      <c r="G528" s="559"/>
      <c r="H528" s="559"/>
      <c r="I528" s="559"/>
      <c r="J528" s="559"/>
      <c r="M528" s="44"/>
      <c r="N528" s="44"/>
      <c r="O528" s="44"/>
      <c r="P528" s="44"/>
      <c r="Q528" s="44"/>
      <c r="R528" s="44"/>
    </row>
    <row r="529" spans="1:18" ht="124.5" customHeight="1" x14ac:dyDescent="0.3">
      <c r="A529" s="559" t="s">
        <v>550</v>
      </c>
      <c r="B529" s="559"/>
      <c r="C529" s="559"/>
      <c r="D529" s="559"/>
      <c r="E529" s="559"/>
      <c r="F529" s="559"/>
      <c r="G529" s="559"/>
      <c r="H529" s="559"/>
      <c r="I529" s="559"/>
      <c r="J529" s="559"/>
      <c r="M529" s="44"/>
      <c r="N529" s="44"/>
      <c r="O529" s="44"/>
      <c r="P529" s="44"/>
      <c r="Q529" s="44"/>
      <c r="R529" s="44"/>
    </row>
    <row r="530" spans="1:18" ht="222.75" customHeight="1" x14ac:dyDescent="0.3">
      <c r="A530" s="559" t="s">
        <v>551</v>
      </c>
      <c r="B530" s="559"/>
      <c r="C530" s="559"/>
      <c r="D530" s="559"/>
      <c r="E530" s="559"/>
      <c r="F530" s="559"/>
      <c r="G530" s="559"/>
      <c r="H530" s="559"/>
      <c r="I530" s="559"/>
      <c r="J530" s="559"/>
      <c r="M530" s="44"/>
      <c r="N530" s="44"/>
      <c r="O530" s="44"/>
      <c r="P530" s="44"/>
      <c r="Q530" s="44"/>
      <c r="R530" s="44"/>
    </row>
    <row r="531" spans="1:18" ht="109.5" customHeight="1" x14ac:dyDescent="0.3">
      <c r="A531" s="559" t="s">
        <v>552</v>
      </c>
      <c r="B531" s="559"/>
      <c r="C531" s="559"/>
      <c r="D531" s="559"/>
      <c r="E531" s="559"/>
      <c r="F531" s="559"/>
      <c r="G531" s="559"/>
      <c r="H531" s="559"/>
      <c r="I531" s="559"/>
      <c r="J531" s="559"/>
      <c r="M531" s="44"/>
      <c r="N531" s="44"/>
      <c r="O531" s="44"/>
      <c r="P531" s="44"/>
      <c r="Q531" s="44"/>
      <c r="R531" s="44"/>
    </row>
    <row r="532" spans="1:18" ht="131.25" customHeight="1" x14ac:dyDescent="0.3">
      <c r="A532" s="557" t="s">
        <v>18</v>
      </c>
      <c r="B532" s="557"/>
      <c r="C532" s="557"/>
      <c r="D532" s="557"/>
      <c r="E532" s="557"/>
      <c r="F532" s="557"/>
      <c r="G532" s="557"/>
      <c r="H532" s="557"/>
      <c r="I532" s="557"/>
      <c r="J532" s="557"/>
      <c r="M532" s="44"/>
      <c r="N532" s="44"/>
      <c r="O532" s="44"/>
      <c r="P532" s="44"/>
      <c r="Q532" s="44"/>
      <c r="R532" s="44"/>
    </row>
    <row r="533" spans="1:18" ht="24" thickBot="1" x14ac:dyDescent="0.35">
      <c r="A533" s="44"/>
      <c r="B533" s="44"/>
      <c r="C533" s="46"/>
      <c r="D533" s="46"/>
      <c r="E533" s="46"/>
      <c r="F533" s="46"/>
      <c r="G533" s="558"/>
      <c r="H533" s="558"/>
      <c r="I533" s="558"/>
      <c r="J533" s="558"/>
      <c r="M533" s="44"/>
      <c r="N533" s="44"/>
      <c r="O533" s="44"/>
      <c r="P533" s="44"/>
      <c r="Q533" s="44"/>
      <c r="R533" s="44"/>
    </row>
    <row r="534" spans="1:18" ht="20.25" customHeight="1" thickBot="1" x14ac:dyDescent="0.35">
      <c r="D534" s="109" t="s">
        <v>553</v>
      </c>
      <c r="E534" s="105" t="s">
        <v>554</v>
      </c>
      <c r="F534" s="174"/>
      <c r="G534" s="104"/>
      <c r="M534" s="44"/>
      <c r="N534" s="44"/>
      <c r="O534" s="44"/>
      <c r="P534" s="44"/>
      <c r="Q534" s="44"/>
      <c r="R534" s="44"/>
    </row>
    <row r="535" spans="1:18" ht="20.25" customHeight="1" x14ac:dyDescent="0.3">
      <c r="D535" s="148">
        <v>1991</v>
      </c>
      <c r="E535" s="149">
        <v>51720</v>
      </c>
      <c r="F535" s="175"/>
      <c r="G535" s="47"/>
      <c r="M535" s="44"/>
      <c r="N535" s="44"/>
      <c r="O535" s="44"/>
      <c r="P535" s="44"/>
      <c r="Q535" s="44"/>
      <c r="R535" s="44"/>
    </row>
    <row r="536" spans="1:18" ht="20.25" customHeight="1" x14ac:dyDescent="0.3">
      <c r="D536" s="110">
        <v>1992</v>
      </c>
      <c r="E536" s="106">
        <v>65190</v>
      </c>
      <c r="F536" s="175"/>
      <c r="G536" s="47"/>
      <c r="M536" s="44"/>
      <c r="N536" s="44"/>
      <c r="O536" s="44"/>
      <c r="P536" s="44"/>
      <c r="Q536" s="44"/>
      <c r="R536" s="44"/>
    </row>
    <row r="537" spans="1:18" ht="20.25" customHeight="1" x14ac:dyDescent="0.3">
      <c r="D537" s="110">
        <v>1993</v>
      </c>
      <c r="E537" s="106">
        <v>81510</v>
      </c>
      <c r="F537" s="175"/>
      <c r="G537" s="47"/>
      <c r="M537" s="44"/>
      <c r="N537" s="44"/>
      <c r="O537" s="44"/>
      <c r="P537" s="44"/>
      <c r="Q537" s="44"/>
      <c r="R537" s="44"/>
    </row>
    <row r="538" spans="1:18" ht="20.25" customHeight="1" x14ac:dyDescent="0.3">
      <c r="D538" s="110">
        <v>1994</v>
      </c>
      <c r="E538" s="106">
        <v>98700</v>
      </c>
      <c r="F538" s="175"/>
      <c r="G538" s="47"/>
      <c r="M538" s="44"/>
      <c r="N538" s="44"/>
      <c r="O538" s="44"/>
      <c r="P538" s="44"/>
      <c r="Q538" s="44"/>
      <c r="R538" s="44"/>
    </row>
    <row r="539" spans="1:18" ht="20.25" customHeight="1" x14ac:dyDescent="0.3">
      <c r="D539" s="110">
        <v>1995</v>
      </c>
      <c r="E539" s="106">
        <v>118933</v>
      </c>
      <c r="F539" s="175"/>
      <c r="G539" s="47"/>
      <c r="M539" s="44"/>
      <c r="N539" s="44"/>
      <c r="O539" s="44"/>
      <c r="P539" s="44"/>
      <c r="Q539" s="44"/>
      <c r="R539" s="44"/>
    </row>
    <row r="540" spans="1:18" ht="20.25" customHeight="1" x14ac:dyDescent="0.3">
      <c r="D540" s="110">
        <v>1996</v>
      </c>
      <c r="E540" s="106">
        <v>142125</v>
      </c>
      <c r="F540" s="175"/>
      <c r="G540" s="47"/>
      <c r="M540" s="44"/>
      <c r="N540" s="44"/>
      <c r="O540" s="44"/>
      <c r="P540" s="44"/>
      <c r="Q540" s="44"/>
      <c r="R540" s="44"/>
    </row>
    <row r="541" spans="1:18" ht="20.25" customHeight="1" x14ac:dyDescent="0.3">
      <c r="D541" s="110">
        <v>1997</v>
      </c>
      <c r="E541" s="106">
        <v>172005</v>
      </c>
      <c r="F541" s="175"/>
      <c r="G541" s="47"/>
    </row>
    <row r="542" spans="1:18" ht="20.25" customHeight="1" x14ac:dyDescent="0.3">
      <c r="D542" s="111">
        <v>1998</v>
      </c>
      <c r="E542" s="107">
        <v>203826</v>
      </c>
      <c r="F542" s="176"/>
      <c r="G542" s="47"/>
    </row>
    <row r="543" spans="1:18" ht="20.25" customHeight="1" x14ac:dyDescent="0.3">
      <c r="D543" s="111">
        <v>1999</v>
      </c>
      <c r="E543" s="107">
        <v>236460</v>
      </c>
      <c r="F543" s="176"/>
      <c r="G543" s="47"/>
    </row>
    <row r="544" spans="1:18" ht="20.25" customHeight="1" x14ac:dyDescent="0.3">
      <c r="D544" s="111">
        <v>2000</v>
      </c>
      <c r="E544" s="107">
        <v>260100</v>
      </c>
      <c r="F544" s="176"/>
      <c r="G544" s="47"/>
    </row>
    <row r="545" spans="4:9" ht="20.25" customHeight="1" x14ac:dyDescent="0.3">
      <c r="D545" s="111">
        <v>2001</v>
      </c>
      <c r="E545" s="107">
        <v>286000</v>
      </c>
      <c r="F545" s="176"/>
      <c r="G545" s="47"/>
    </row>
    <row r="546" spans="4:9" ht="20.25" customHeight="1" x14ac:dyDescent="0.3">
      <c r="D546" s="111">
        <v>2002</v>
      </c>
      <c r="E546" s="107">
        <v>309000</v>
      </c>
      <c r="F546" s="176"/>
      <c r="G546" s="47"/>
    </row>
    <row r="547" spans="4:9" ht="20.25" customHeight="1" x14ac:dyDescent="0.3">
      <c r="D547" s="111">
        <v>2003</v>
      </c>
      <c r="E547" s="107">
        <v>332000</v>
      </c>
      <c r="F547" s="176"/>
      <c r="G547" s="47"/>
    </row>
    <row r="548" spans="4:9" ht="20.25" customHeight="1" x14ac:dyDescent="0.3">
      <c r="D548" s="111">
        <v>2004</v>
      </c>
      <c r="E548" s="107">
        <v>358000</v>
      </c>
      <c r="F548" s="176"/>
      <c r="G548" s="47"/>
    </row>
    <row r="549" spans="4:9" ht="20.25" customHeight="1" x14ac:dyDescent="0.3">
      <c r="D549" s="111">
        <v>2005</v>
      </c>
      <c r="E549" s="107">
        <v>381500</v>
      </c>
      <c r="F549" s="176"/>
      <c r="G549" s="47"/>
    </row>
    <row r="550" spans="4:9" ht="20.25" customHeight="1" x14ac:dyDescent="0.3">
      <c r="D550" s="111">
        <v>2006</v>
      </c>
      <c r="E550" s="107">
        <v>408000</v>
      </c>
      <c r="F550" s="176"/>
      <c r="G550" s="47"/>
    </row>
    <row r="551" spans="4:9" ht="20.25" customHeight="1" x14ac:dyDescent="0.3">
      <c r="D551" s="111">
        <v>2007</v>
      </c>
      <c r="E551" s="107">
        <v>433700</v>
      </c>
      <c r="F551" s="176"/>
      <c r="G551" s="47"/>
    </row>
    <row r="552" spans="4:9" ht="20.25" customHeight="1" x14ac:dyDescent="0.3">
      <c r="D552" s="111">
        <v>2008</v>
      </c>
      <c r="E552" s="107">
        <v>461500</v>
      </c>
      <c r="F552" s="176"/>
      <c r="G552" s="47"/>
    </row>
    <row r="553" spans="4:9" ht="20.25" customHeight="1" x14ac:dyDescent="0.3">
      <c r="D553" s="111">
        <v>2009</v>
      </c>
      <c r="E553" s="107">
        <v>496900</v>
      </c>
      <c r="F553" s="176"/>
      <c r="G553" s="47"/>
    </row>
    <row r="554" spans="4:9" ht="20.25" customHeight="1" x14ac:dyDescent="0.3">
      <c r="D554" s="111">
        <v>2010</v>
      </c>
      <c r="E554" s="107">
        <v>515000</v>
      </c>
      <c r="F554" s="176"/>
      <c r="G554" s="47"/>
    </row>
    <row r="555" spans="4:9" ht="20.25" customHeight="1" x14ac:dyDescent="0.3">
      <c r="D555" s="111">
        <v>2011</v>
      </c>
      <c r="E555" s="107">
        <v>535600</v>
      </c>
      <c r="F555" s="176"/>
      <c r="G555" s="47"/>
    </row>
    <row r="556" spans="4:9" ht="20.25" customHeight="1" x14ac:dyDescent="0.3">
      <c r="D556" s="111">
        <v>2012</v>
      </c>
      <c r="E556" s="107">
        <v>566700</v>
      </c>
      <c r="F556" s="176"/>
      <c r="G556" s="47"/>
    </row>
    <row r="557" spans="4:9" ht="20.25" customHeight="1" x14ac:dyDescent="0.3">
      <c r="D557" s="111">
        <v>2013</v>
      </c>
      <c r="E557" s="107">
        <v>589500</v>
      </c>
      <c r="F557" s="176"/>
      <c r="G557" s="47"/>
    </row>
    <row r="558" spans="4:9" ht="20.25" customHeight="1" x14ac:dyDescent="0.3">
      <c r="D558" s="111">
        <v>2014</v>
      </c>
      <c r="E558" s="107">
        <v>616000</v>
      </c>
      <c r="F558" s="176"/>
      <c r="G558" s="47"/>
    </row>
    <row r="559" spans="4:9" ht="20.25" customHeight="1" x14ac:dyDescent="0.3">
      <c r="D559" s="111">
        <v>2015</v>
      </c>
      <c r="E559" s="107">
        <v>644350</v>
      </c>
      <c r="F559" s="176"/>
      <c r="G559" s="47"/>
      <c r="I559" s="44"/>
    </row>
    <row r="560" spans="4:9" ht="20.25" customHeight="1" x14ac:dyDescent="0.3">
      <c r="D560" s="111">
        <v>2016</v>
      </c>
      <c r="E560" s="107">
        <v>689455</v>
      </c>
      <c r="F560" s="176"/>
      <c r="G560" s="47"/>
      <c r="I560" s="44"/>
    </row>
    <row r="561" spans="4:9" ht="20.25" customHeight="1" x14ac:dyDescent="0.3">
      <c r="D561" s="111">
        <v>2017</v>
      </c>
      <c r="E561" s="107">
        <v>737717</v>
      </c>
      <c r="F561" s="176"/>
      <c r="G561" s="47"/>
      <c r="I561" s="44"/>
    </row>
    <row r="562" spans="4:9" ht="20.25" customHeight="1" x14ac:dyDescent="0.3">
      <c r="D562" s="111">
        <v>2018</v>
      </c>
      <c r="E562" s="107">
        <v>781242</v>
      </c>
      <c r="F562" s="176"/>
      <c r="G562" s="47"/>
      <c r="I562" s="44"/>
    </row>
    <row r="563" spans="4:9" ht="20.25" customHeight="1" x14ac:dyDescent="0.3">
      <c r="D563" s="111">
        <v>2019</v>
      </c>
      <c r="E563" s="107">
        <v>828116</v>
      </c>
      <c r="F563" s="176"/>
      <c r="G563" s="47"/>
      <c r="I563" s="44"/>
    </row>
    <row r="564" spans="4:9" ht="20.25" customHeight="1" x14ac:dyDescent="0.3">
      <c r="D564" s="111">
        <v>2020</v>
      </c>
      <c r="E564" s="107">
        <v>877803</v>
      </c>
      <c r="F564" s="176"/>
      <c r="G564" s="47"/>
      <c r="I564" s="44"/>
    </row>
    <row r="565" spans="4:9" ht="20.25" customHeight="1" x14ac:dyDescent="0.3">
      <c r="D565" s="121">
        <v>2021</v>
      </c>
      <c r="E565" s="122">
        <v>908526</v>
      </c>
      <c r="F565" s="176"/>
      <c r="G565" s="47"/>
      <c r="I565" s="44"/>
    </row>
    <row r="566" spans="4:9" ht="20.25" customHeight="1" thickBot="1" x14ac:dyDescent="0.35">
      <c r="D566" s="112">
        <v>2022</v>
      </c>
      <c r="E566" s="108">
        <v>1000000</v>
      </c>
      <c r="F566" s="176"/>
      <c r="H566" s="44"/>
      <c r="I566" s="44"/>
    </row>
    <row r="567" spans="4:9" ht="15" customHeight="1" x14ac:dyDescent="0.3">
      <c r="H567" s="44"/>
      <c r="I567" s="44"/>
    </row>
    <row r="568" spans="4:9" ht="23.4" x14ac:dyDescent="0.3">
      <c r="H568" s="44"/>
      <c r="I568" s="44"/>
    </row>
    <row r="569" spans="4:9" ht="23.4" x14ac:dyDescent="0.3">
      <c r="H569" s="44"/>
      <c r="I569" s="44"/>
    </row>
    <row r="578" spans="8:8" x14ac:dyDescent="0.3">
      <c r="H578" s="47"/>
    </row>
  </sheetData>
  <sheetProtection formatCells="0" formatColumns="0" formatRows="0" insertColumns="0" insertRows="0" insertHyperlinks="0" deleteColumns="0" deleteRows="0" sort="0" autoFilter="0" pivotTables="0"/>
  <mergeCells count="785">
    <mergeCell ref="L147:L153"/>
    <mergeCell ref="B166:C166"/>
    <mergeCell ref="L163:L166"/>
    <mergeCell ref="A418:D418"/>
    <mergeCell ref="E418:R422"/>
    <mergeCell ref="A420:B420"/>
    <mergeCell ref="A421:B421"/>
    <mergeCell ref="J440:P440"/>
    <mergeCell ref="N423:N424"/>
    <mergeCell ref="R423:R424"/>
    <mergeCell ref="B424:C424"/>
    <mergeCell ref="Q423:Q424"/>
    <mergeCell ref="O423:P424"/>
    <mergeCell ref="L425:L427"/>
    <mergeCell ref="B426:C426"/>
    <mergeCell ref="B427:C427"/>
    <mergeCell ref="A428:H428"/>
    <mergeCell ref="J428:P428"/>
    <mergeCell ref="C421:D421"/>
    <mergeCell ref="A422:B422"/>
    <mergeCell ref="B436:C436"/>
    <mergeCell ref="Q435:Q436"/>
    <mergeCell ref="L412:L415"/>
    <mergeCell ref="B413:C413"/>
    <mergeCell ref="B414:C414"/>
    <mergeCell ref="B415:C415"/>
    <mergeCell ref="A416:H416"/>
    <mergeCell ref="J416:P416"/>
    <mergeCell ref="C422:D422"/>
    <mergeCell ref="A423:I423"/>
    <mergeCell ref="L423:M423"/>
    <mergeCell ref="A430:D430"/>
    <mergeCell ref="E430:R434"/>
    <mergeCell ref="A432:B432"/>
    <mergeCell ref="A433:B433"/>
    <mergeCell ref="C433:D433"/>
    <mergeCell ref="A434:B434"/>
    <mergeCell ref="C434:D434"/>
    <mergeCell ref="A405:D405"/>
    <mergeCell ref="E405:R409"/>
    <mergeCell ref="A407:B407"/>
    <mergeCell ref="A408:B408"/>
    <mergeCell ref="C408:D408"/>
    <mergeCell ref="A409:B409"/>
    <mergeCell ref="C409:D409"/>
    <mergeCell ref="A410:I410"/>
    <mergeCell ref="L410:M410"/>
    <mergeCell ref="N410:N411"/>
    <mergeCell ref="R410:R411"/>
    <mergeCell ref="B411:C411"/>
    <mergeCell ref="Q410:Q411"/>
    <mergeCell ref="O410:P411"/>
    <mergeCell ref="L397:L402"/>
    <mergeCell ref="B398:C398"/>
    <mergeCell ref="B402:C402"/>
    <mergeCell ref="A403:H403"/>
    <mergeCell ref="J403:P403"/>
    <mergeCell ref="A390:D390"/>
    <mergeCell ref="E390:R394"/>
    <mergeCell ref="A392:B392"/>
    <mergeCell ref="A393:B393"/>
    <mergeCell ref="C393:D393"/>
    <mergeCell ref="A394:B394"/>
    <mergeCell ref="C394:D394"/>
    <mergeCell ref="A395:I395"/>
    <mergeCell ref="L395:M395"/>
    <mergeCell ref="N395:N396"/>
    <mergeCell ref="R395:R396"/>
    <mergeCell ref="B396:C396"/>
    <mergeCell ref="Q395:Q396"/>
    <mergeCell ref="O395:P396"/>
    <mergeCell ref="A399:K399"/>
    <mergeCell ref="B401:C401"/>
    <mergeCell ref="L385:L387"/>
    <mergeCell ref="B386:C386"/>
    <mergeCell ref="B387:C387"/>
    <mergeCell ref="A388:H388"/>
    <mergeCell ref="J388:P388"/>
    <mergeCell ref="A378:D378"/>
    <mergeCell ref="E378:R382"/>
    <mergeCell ref="A380:B380"/>
    <mergeCell ref="A381:B381"/>
    <mergeCell ref="C381:D381"/>
    <mergeCell ref="A382:B382"/>
    <mergeCell ref="C382:D382"/>
    <mergeCell ref="A383:I383"/>
    <mergeCell ref="L383:M383"/>
    <mergeCell ref="N383:N384"/>
    <mergeCell ref="R383:R384"/>
    <mergeCell ref="B384:C384"/>
    <mergeCell ref="Q383:Q384"/>
    <mergeCell ref="O383:P384"/>
    <mergeCell ref="L374:L375"/>
    <mergeCell ref="B375:C375"/>
    <mergeCell ref="A376:H376"/>
    <mergeCell ref="J376:P376"/>
    <mergeCell ref="A367:D367"/>
    <mergeCell ref="E367:R371"/>
    <mergeCell ref="A369:B369"/>
    <mergeCell ref="A370:B370"/>
    <mergeCell ref="C370:D370"/>
    <mergeCell ref="A371:B371"/>
    <mergeCell ref="C371:D371"/>
    <mergeCell ref="A372:I372"/>
    <mergeCell ref="L372:M372"/>
    <mergeCell ref="N372:N373"/>
    <mergeCell ref="R372:R373"/>
    <mergeCell ref="B373:C373"/>
    <mergeCell ref="Q372:Q373"/>
    <mergeCell ref="O372:P373"/>
    <mergeCell ref="A374:K374"/>
    <mergeCell ref="B361:C361"/>
    <mergeCell ref="A365:H365"/>
    <mergeCell ref="J365:P365"/>
    <mergeCell ref="A353:D353"/>
    <mergeCell ref="E353:R357"/>
    <mergeCell ref="A355:B355"/>
    <mergeCell ref="C356:D356"/>
    <mergeCell ref="A357:B357"/>
    <mergeCell ref="C357:D357"/>
    <mergeCell ref="A358:I358"/>
    <mergeCell ref="L358:M358"/>
    <mergeCell ref="N358:N359"/>
    <mergeCell ref="R358:R359"/>
    <mergeCell ref="B359:C359"/>
    <mergeCell ref="Q358:Q359"/>
    <mergeCell ref="O358:P359"/>
    <mergeCell ref="L360:L364"/>
    <mergeCell ref="R361:R364"/>
    <mergeCell ref="B364:C364"/>
    <mergeCell ref="A360:K360"/>
    <mergeCell ref="B349:C349"/>
    <mergeCell ref="A351:H351"/>
    <mergeCell ref="J351:P351"/>
    <mergeCell ref="A341:D341"/>
    <mergeCell ref="E341:R345"/>
    <mergeCell ref="A343:B343"/>
    <mergeCell ref="A344:B344"/>
    <mergeCell ref="C344:D344"/>
    <mergeCell ref="A345:B345"/>
    <mergeCell ref="C345:D345"/>
    <mergeCell ref="A346:I346"/>
    <mergeCell ref="L346:M346"/>
    <mergeCell ref="N346:N347"/>
    <mergeCell ref="R346:R347"/>
    <mergeCell ref="B347:C347"/>
    <mergeCell ref="Q346:Q347"/>
    <mergeCell ref="O346:P347"/>
    <mergeCell ref="B332:C332"/>
    <mergeCell ref="B336:C336"/>
    <mergeCell ref="A339:H339"/>
    <mergeCell ref="J339:P339"/>
    <mergeCell ref="A324:D324"/>
    <mergeCell ref="E324:R328"/>
    <mergeCell ref="A326:B326"/>
    <mergeCell ref="A327:B327"/>
    <mergeCell ref="C327:D327"/>
    <mergeCell ref="A328:B328"/>
    <mergeCell ref="C328:D328"/>
    <mergeCell ref="A329:I329"/>
    <mergeCell ref="L329:M329"/>
    <mergeCell ref="N329:N330"/>
    <mergeCell ref="R329:R330"/>
    <mergeCell ref="B330:C330"/>
    <mergeCell ref="Q329:Q330"/>
    <mergeCell ref="B333:C333"/>
    <mergeCell ref="B334:C334"/>
    <mergeCell ref="B335:C335"/>
    <mergeCell ref="A337:K337"/>
    <mergeCell ref="O329:P330"/>
    <mergeCell ref="B338:C338"/>
    <mergeCell ref="B320:C320"/>
    <mergeCell ref="A322:H322"/>
    <mergeCell ref="J322:P322"/>
    <mergeCell ref="A312:D312"/>
    <mergeCell ref="E312:R316"/>
    <mergeCell ref="A314:B314"/>
    <mergeCell ref="A315:B315"/>
    <mergeCell ref="C315:D315"/>
    <mergeCell ref="A316:B316"/>
    <mergeCell ref="C316:D316"/>
    <mergeCell ref="A317:I317"/>
    <mergeCell ref="L317:M317"/>
    <mergeCell ref="N317:N318"/>
    <mergeCell ref="R317:R318"/>
    <mergeCell ref="B318:C318"/>
    <mergeCell ref="Q317:Q318"/>
    <mergeCell ref="B321:C321"/>
    <mergeCell ref="L319:L321"/>
    <mergeCell ref="B305:C305"/>
    <mergeCell ref="B309:C309"/>
    <mergeCell ref="A310:H310"/>
    <mergeCell ref="J310:P310"/>
    <mergeCell ref="A297:D297"/>
    <mergeCell ref="E297:R301"/>
    <mergeCell ref="A299:B299"/>
    <mergeCell ref="A300:B300"/>
    <mergeCell ref="C300:D300"/>
    <mergeCell ref="A301:B301"/>
    <mergeCell ref="C301:D301"/>
    <mergeCell ref="A302:I302"/>
    <mergeCell ref="L302:M302"/>
    <mergeCell ref="N302:N303"/>
    <mergeCell ref="R302:R303"/>
    <mergeCell ref="B303:C303"/>
    <mergeCell ref="Q302:Q303"/>
    <mergeCell ref="A307:K307"/>
    <mergeCell ref="A295:H295"/>
    <mergeCell ref="J295:P295"/>
    <mergeCell ref="A284:D284"/>
    <mergeCell ref="E284:R288"/>
    <mergeCell ref="A286:B286"/>
    <mergeCell ref="A287:B287"/>
    <mergeCell ref="C287:D287"/>
    <mergeCell ref="A288:B288"/>
    <mergeCell ref="C288:D288"/>
    <mergeCell ref="A289:I289"/>
    <mergeCell ref="L289:M289"/>
    <mergeCell ref="N289:N290"/>
    <mergeCell ref="R289:R290"/>
    <mergeCell ref="B290:C290"/>
    <mergeCell ref="Q289:Q290"/>
    <mergeCell ref="A277:B277"/>
    <mergeCell ref="C277:D277"/>
    <mergeCell ref="A278:I278"/>
    <mergeCell ref="L278:M278"/>
    <mergeCell ref="N278:N279"/>
    <mergeCell ref="R278:R279"/>
    <mergeCell ref="B279:C279"/>
    <mergeCell ref="A271:H271"/>
    <mergeCell ref="L291:L294"/>
    <mergeCell ref="B292:C292"/>
    <mergeCell ref="B281:C281"/>
    <mergeCell ref="A282:H282"/>
    <mergeCell ref="J282:P282"/>
    <mergeCell ref="A273:D273"/>
    <mergeCell ref="E273:R277"/>
    <mergeCell ref="A275:B275"/>
    <mergeCell ref="A276:B276"/>
    <mergeCell ref="C276:D276"/>
    <mergeCell ref="B269:C269"/>
    <mergeCell ref="J271:P271"/>
    <mergeCell ref="A261:D261"/>
    <mergeCell ref="E261:R265"/>
    <mergeCell ref="A263:B263"/>
    <mergeCell ref="A264:B264"/>
    <mergeCell ref="C264:D264"/>
    <mergeCell ref="A265:B265"/>
    <mergeCell ref="C265:D265"/>
    <mergeCell ref="A241:I241"/>
    <mergeCell ref="L241:M241"/>
    <mergeCell ref="N241:N242"/>
    <mergeCell ref="R241:R242"/>
    <mergeCell ref="B242:C242"/>
    <mergeCell ref="B244:C244"/>
    <mergeCell ref="B246:C246"/>
    <mergeCell ref="N255:N256"/>
    <mergeCell ref="Q255:Q256"/>
    <mergeCell ref="L243:L247"/>
    <mergeCell ref="B247:C247"/>
    <mergeCell ref="A248:H248"/>
    <mergeCell ref="J248:P248"/>
    <mergeCell ref="A250:D250"/>
    <mergeCell ref="E250:R254"/>
    <mergeCell ref="A252:B252"/>
    <mergeCell ref="A253:B253"/>
    <mergeCell ref="C253:D253"/>
    <mergeCell ref="A254:B254"/>
    <mergeCell ref="C254:D254"/>
    <mergeCell ref="R255:R256"/>
    <mergeCell ref="B256:C256"/>
    <mergeCell ref="A255:I255"/>
    <mergeCell ref="A211:D211"/>
    <mergeCell ref="E211:R215"/>
    <mergeCell ref="A213:B213"/>
    <mergeCell ref="A214:B214"/>
    <mergeCell ref="C214:D214"/>
    <mergeCell ref="A215:B215"/>
    <mergeCell ref="C215:D215"/>
    <mergeCell ref="R229:R230"/>
    <mergeCell ref="B230:C230"/>
    <mergeCell ref="A216:I216"/>
    <mergeCell ref="L216:M216"/>
    <mergeCell ref="N216:N217"/>
    <mergeCell ref="R216:R217"/>
    <mergeCell ref="B217:C217"/>
    <mergeCell ref="B219:C219"/>
    <mergeCell ref="C131:D131"/>
    <mergeCell ref="A132:B132"/>
    <mergeCell ref="C132:D132"/>
    <mergeCell ref="N133:N134"/>
    <mergeCell ref="R133:R134"/>
    <mergeCell ref="B177:C177"/>
    <mergeCell ref="B178:C178"/>
    <mergeCell ref="A185:H185"/>
    <mergeCell ref="J185:P185"/>
    <mergeCell ref="B182:C182"/>
    <mergeCell ref="B183:C183"/>
    <mergeCell ref="B179:C179"/>
    <mergeCell ref="B184:C184"/>
    <mergeCell ref="B180:C180"/>
    <mergeCell ref="L176:L184"/>
    <mergeCell ref="B134:C134"/>
    <mergeCell ref="Q133:Q134"/>
    <mergeCell ref="A145:I145"/>
    <mergeCell ref="A133:I133"/>
    <mergeCell ref="L133:M133"/>
    <mergeCell ref="B136:C136"/>
    <mergeCell ref="A138:H138"/>
    <mergeCell ref="B164:C164"/>
    <mergeCell ref="A154:H154"/>
    <mergeCell ref="B121:C121"/>
    <mergeCell ref="E113:R117"/>
    <mergeCell ref="C116:D116"/>
    <mergeCell ref="A118:I118"/>
    <mergeCell ref="L118:M118"/>
    <mergeCell ref="N118:N119"/>
    <mergeCell ref="R118:R119"/>
    <mergeCell ref="B119:C119"/>
    <mergeCell ref="A167:H167"/>
    <mergeCell ref="J167:P167"/>
    <mergeCell ref="A126:H126"/>
    <mergeCell ref="A140:D140"/>
    <mergeCell ref="E140:R144"/>
    <mergeCell ref="Q145:Q146"/>
    <mergeCell ref="L145:M145"/>
    <mergeCell ref="N145:N146"/>
    <mergeCell ref="B146:C146"/>
    <mergeCell ref="A143:B143"/>
    <mergeCell ref="A144:B144"/>
    <mergeCell ref="C144:D144"/>
    <mergeCell ref="A128:D128"/>
    <mergeCell ref="E128:R132"/>
    <mergeCell ref="A130:B130"/>
    <mergeCell ref="A131:B131"/>
    <mergeCell ref="B70:C70"/>
    <mergeCell ref="B67:C67"/>
    <mergeCell ref="E59:R63"/>
    <mergeCell ref="A61:B61"/>
    <mergeCell ref="A62:B62"/>
    <mergeCell ref="C62:D62"/>
    <mergeCell ref="A63:B63"/>
    <mergeCell ref="C63:D63"/>
    <mergeCell ref="A64:I64"/>
    <mergeCell ref="L64:M64"/>
    <mergeCell ref="N64:N65"/>
    <mergeCell ref="L66:L71"/>
    <mergeCell ref="B71:C71"/>
    <mergeCell ref="B69:C69"/>
    <mergeCell ref="Q64:Q65"/>
    <mergeCell ref="C36:D36"/>
    <mergeCell ref="L39:L42"/>
    <mergeCell ref="B40:C40"/>
    <mergeCell ref="B42:C42"/>
    <mergeCell ref="A85:D85"/>
    <mergeCell ref="E85:R89"/>
    <mergeCell ref="A87:B87"/>
    <mergeCell ref="A88:B88"/>
    <mergeCell ref="C88:D88"/>
    <mergeCell ref="A89:B89"/>
    <mergeCell ref="C89:D89"/>
    <mergeCell ref="B80:C80"/>
    <mergeCell ref="B82:C82"/>
    <mergeCell ref="R79:R80"/>
    <mergeCell ref="L81:L82"/>
    <mergeCell ref="A74:D74"/>
    <mergeCell ref="A83:H83"/>
    <mergeCell ref="J83:P83"/>
    <mergeCell ref="A76:B76"/>
    <mergeCell ref="A77:B77"/>
    <mergeCell ref="C77:D77"/>
    <mergeCell ref="A78:B78"/>
    <mergeCell ref="Q37:Q38"/>
    <mergeCell ref="B68:C68"/>
    <mergeCell ref="C24:D24"/>
    <mergeCell ref="A25:B25"/>
    <mergeCell ref="C25:D25"/>
    <mergeCell ref="A26:I26"/>
    <mergeCell ref="L26:M26"/>
    <mergeCell ref="N26:N27"/>
    <mergeCell ref="A59:D59"/>
    <mergeCell ref="R64:R65"/>
    <mergeCell ref="R26:R27"/>
    <mergeCell ref="A37:I37"/>
    <mergeCell ref="L37:M37"/>
    <mergeCell ref="N37:N38"/>
    <mergeCell ref="R37:R38"/>
    <mergeCell ref="B38:C38"/>
    <mergeCell ref="B27:C27"/>
    <mergeCell ref="L28:L29"/>
    <mergeCell ref="A30:H30"/>
    <mergeCell ref="J30:P30"/>
    <mergeCell ref="A32:D32"/>
    <mergeCell ref="E32:R36"/>
    <mergeCell ref="A34:B34"/>
    <mergeCell ref="A35:B35"/>
    <mergeCell ref="C35:D35"/>
    <mergeCell ref="A36:B36"/>
    <mergeCell ref="A100:D100"/>
    <mergeCell ref="J138:P138"/>
    <mergeCell ref="A142:B142"/>
    <mergeCell ref="C143:D143"/>
    <mergeCell ref="E8:R12"/>
    <mergeCell ref="A10:B10"/>
    <mergeCell ref="A11:B11"/>
    <mergeCell ref="C11:D11"/>
    <mergeCell ref="A12:B12"/>
    <mergeCell ref="C12:D12"/>
    <mergeCell ref="A21:D21"/>
    <mergeCell ref="A43:H43"/>
    <mergeCell ref="J43:P43"/>
    <mergeCell ref="B41:C41"/>
    <mergeCell ref="A13:I13"/>
    <mergeCell ref="L13:M13"/>
    <mergeCell ref="N13:N14"/>
    <mergeCell ref="R13:R14"/>
    <mergeCell ref="A19:H19"/>
    <mergeCell ref="J19:P19"/>
    <mergeCell ref="E21:R25"/>
    <mergeCell ref="A23:B23"/>
    <mergeCell ref="A24:B24"/>
    <mergeCell ref="B29:C29"/>
    <mergeCell ref="A1:R1"/>
    <mergeCell ref="A2:R2"/>
    <mergeCell ref="A3:R3"/>
    <mergeCell ref="A4:R4"/>
    <mergeCell ref="Q13:Q14"/>
    <mergeCell ref="Q26:Q27"/>
    <mergeCell ref="Q105:Q106"/>
    <mergeCell ref="Q118:Q119"/>
    <mergeCell ref="B95:C95"/>
    <mergeCell ref="R50:R51"/>
    <mergeCell ref="L52:L56"/>
    <mergeCell ref="B53:C53"/>
    <mergeCell ref="B14:C14"/>
    <mergeCell ref="B16:C16"/>
    <mergeCell ref="A113:D113"/>
    <mergeCell ref="B110:C110"/>
    <mergeCell ref="L107:L110"/>
    <mergeCell ref="B109:C109"/>
    <mergeCell ref="A115:B115"/>
    <mergeCell ref="A111:H111"/>
    <mergeCell ref="J111:P111"/>
    <mergeCell ref="A8:D8"/>
    <mergeCell ref="A103:B103"/>
    <mergeCell ref="C103:D103"/>
    <mergeCell ref="A104:B104"/>
    <mergeCell ref="C104:D104"/>
    <mergeCell ref="L511:M511"/>
    <mergeCell ref="A511:J511"/>
    <mergeCell ref="A187:D187"/>
    <mergeCell ref="E187:R191"/>
    <mergeCell ref="A189:B189"/>
    <mergeCell ref="A190:B190"/>
    <mergeCell ref="C190:D190"/>
    <mergeCell ref="A191:B191"/>
    <mergeCell ref="C191:D191"/>
    <mergeCell ref="A192:I192"/>
    <mergeCell ref="L192:M192"/>
    <mergeCell ref="N192:N193"/>
    <mergeCell ref="B306:C306"/>
    <mergeCell ref="B308:C308"/>
    <mergeCell ref="B233:C233"/>
    <mergeCell ref="O229:P230"/>
    <mergeCell ref="A234:H234"/>
    <mergeCell ref="R161:R162"/>
    <mergeCell ref="Q161:Q162"/>
    <mergeCell ref="A169:D169"/>
    <mergeCell ref="E169:R173"/>
    <mergeCell ref="A171:B171"/>
    <mergeCell ref="Q50:Q51"/>
    <mergeCell ref="R145:R146"/>
    <mergeCell ref="R204:R205"/>
    <mergeCell ref="O241:P242"/>
    <mergeCell ref="J154:P154"/>
    <mergeCell ref="Q79:Q80"/>
    <mergeCell ref="Q90:Q91"/>
    <mergeCell ref="A72:H72"/>
    <mergeCell ref="J72:P72"/>
    <mergeCell ref="B97:C97"/>
    <mergeCell ref="A98:H98"/>
    <mergeCell ref="J98:P98"/>
    <mergeCell ref="L79:M79"/>
    <mergeCell ref="N79:N80"/>
    <mergeCell ref="A79:I79"/>
    <mergeCell ref="C78:D78"/>
    <mergeCell ref="A90:I90"/>
    <mergeCell ref="L90:M90"/>
    <mergeCell ref="Q174:Q175"/>
    <mergeCell ref="B175:C175"/>
    <mergeCell ref="R174:R175"/>
    <mergeCell ref="A197:H197"/>
    <mergeCell ref="J197:P197"/>
    <mergeCell ref="B148:C148"/>
    <mergeCell ref="C48:D48"/>
    <mergeCell ref="B65:C65"/>
    <mergeCell ref="B51:C51"/>
    <mergeCell ref="A47:B47"/>
    <mergeCell ref="B54:C54"/>
    <mergeCell ref="N50:N51"/>
    <mergeCell ref="A48:B48"/>
    <mergeCell ref="A49:B49"/>
    <mergeCell ref="C49:D49"/>
    <mergeCell ref="B56:C56"/>
    <mergeCell ref="A50:I50"/>
    <mergeCell ref="L50:M50"/>
    <mergeCell ref="A57:H57"/>
    <mergeCell ref="J57:P57"/>
    <mergeCell ref="B55:C55"/>
    <mergeCell ref="G533:J533"/>
    <mergeCell ref="A507:B507"/>
    <mergeCell ref="A527:J527"/>
    <mergeCell ref="A528:J528"/>
    <mergeCell ref="A529:J529"/>
    <mergeCell ref="A530:J530"/>
    <mergeCell ref="A531:J531"/>
    <mergeCell ref="A532:J532"/>
    <mergeCell ref="A520:B520"/>
    <mergeCell ref="A526:J526"/>
    <mergeCell ref="A521:J521"/>
    <mergeCell ref="A517:J517"/>
    <mergeCell ref="A515:J515"/>
    <mergeCell ref="A518:J518"/>
    <mergeCell ref="A514:B514"/>
    <mergeCell ref="A523:B523"/>
    <mergeCell ref="A524:J524"/>
    <mergeCell ref="A516:J516"/>
    <mergeCell ref="A525:J525"/>
    <mergeCell ref="A161:I161"/>
    <mergeCell ref="L161:M161"/>
    <mergeCell ref="N161:N162"/>
    <mergeCell ref="A199:D199"/>
    <mergeCell ref="E199:R203"/>
    <mergeCell ref="A201:B201"/>
    <mergeCell ref="A202:B202"/>
    <mergeCell ref="L204:M204"/>
    <mergeCell ref="N204:N205"/>
    <mergeCell ref="L174:M174"/>
    <mergeCell ref="N174:N175"/>
    <mergeCell ref="C173:D173"/>
    <mergeCell ref="A174:I174"/>
    <mergeCell ref="B205:C205"/>
    <mergeCell ref="C202:D202"/>
    <mergeCell ref="C203:D203"/>
    <mergeCell ref="A204:I204"/>
    <mergeCell ref="A203:B203"/>
    <mergeCell ref="O145:P146"/>
    <mergeCell ref="O161:P162"/>
    <mergeCell ref="O174:P175"/>
    <mergeCell ref="O192:P193"/>
    <mergeCell ref="O204:P205"/>
    <mergeCell ref="O216:P217"/>
    <mergeCell ref="A172:B172"/>
    <mergeCell ref="C172:D172"/>
    <mergeCell ref="A173:B173"/>
    <mergeCell ref="A156:D156"/>
    <mergeCell ref="L194:L196"/>
    <mergeCell ref="B196:C196"/>
    <mergeCell ref="B195:C195"/>
    <mergeCell ref="B153:C153"/>
    <mergeCell ref="B152:C152"/>
    <mergeCell ref="B151:C151"/>
    <mergeCell ref="B150:C150"/>
    <mergeCell ref="B162:C162"/>
    <mergeCell ref="E156:R160"/>
    <mergeCell ref="A158:B158"/>
    <mergeCell ref="A159:B159"/>
    <mergeCell ref="C159:D159"/>
    <mergeCell ref="A160:B160"/>
    <mergeCell ref="C160:D160"/>
    <mergeCell ref="O13:P14"/>
    <mergeCell ref="O26:P27"/>
    <mergeCell ref="O37:P38"/>
    <mergeCell ref="O50:P51"/>
    <mergeCell ref="O64:P65"/>
    <mergeCell ref="O79:P80"/>
    <mergeCell ref="O90:P91"/>
    <mergeCell ref="O105:P106"/>
    <mergeCell ref="O118:P119"/>
    <mergeCell ref="E74:R78"/>
    <mergeCell ref="A105:I105"/>
    <mergeCell ref="L105:M105"/>
    <mergeCell ref="N105:N106"/>
    <mergeCell ref="A116:B116"/>
    <mergeCell ref="A117:B117"/>
    <mergeCell ref="C117:D117"/>
    <mergeCell ref="N90:N91"/>
    <mergeCell ref="R90:R91"/>
    <mergeCell ref="B93:C93"/>
    <mergeCell ref="B91:C91"/>
    <mergeCell ref="L92:L97"/>
    <mergeCell ref="B94:C94"/>
    <mergeCell ref="A45:D45"/>
    <mergeCell ref="E45:R49"/>
    <mergeCell ref="A454:D454"/>
    <mergeCell ref="E454:R458"/>
    <mergeCell ref="L257:L258"/>
    <mergeCell ref="L255:M255"/>
    <mergeCell ref="L280:L281"/>
    <mergeCell ref="L304:L309"/>
    <mergeCell ref="L331:L338"/>
    <mergeCell ref="L348:L350"/>
    <mergeCell ref="L449:L451"/>
    <mergeCell ref="B450:C450"/>
    <mergeCell ref="B451:C451"/>
    <mergeCell ref="B293:C293"/>
    <mergeCell ref="B294:C294"/>
    <mergeCell ref="A348:G348"/>
    <mergeCell ref="B350:C350"/>
    <mergeCell ref="B258:C258"/>
    <mergeCell ref="A259:H259"/>
    <mergeCell ref="J259:P259"/>
    <mergeCell ref="A266:I266"/>
    <mergeCell ref="L266:M266"/>
    <mergeCell ref="N266:N267"/>
    <mergeCell ref="L268:L270"/>
    <mergeCell ref="R266:R267"/>
    <mergeCell ref="B267:C267"/>
    <mergeCell ref="J452:P452"/>
    <mergeCell ref="O435:P436"/>
    <mergeCell ref="A442:D442"/>
    <mergeCell ref="E442:R446"/>
    <mergeCell ref="A444:B444"/>
    <mergeCell ref="A445:B445"/>
    <mergeCell ref="C445:D445"/>
    <mergeCell ref="A446:B446"/>
    <mergeCell ref="C446:D446"/>
    <mergeCell ref="A447:I447"/>
    <mergeCell ref="L447:M447"/>
    <mergeCell ref="N447:N448"/>
    <mergeCell ref="O447:P448"/>
    <mergeCell ref="Q447:Q448"/>
    <mergeCell ref="R447:R448"/>
    <mergeCell ref="B448:C448"/>
    <mergeCell ref="L437:L439"/>
    <mergeCell ref="B438:C438"/>
    <mergeCell ref="B439:C439"/>
    <mergeCell ref="A440:H440"/>
    <mergeCell ref="A435:I435"/>
    <mergeCell ref="L435:M435"/>
    <mergeCell ref="N435:N436"/>
    <mergeCell ref="R435:R436"/>
    <mergeCell ref="Q487:Q488"/>
    <mergeCell ref="A456:B456"/>
    <mergeCell ref="A457:B457"/>
    <mergeCell ref="C457:D457"/>
    <mergeCell ref="A458:B458"/>
    <mergeCell ref="C458:D458"/>
    <mergeCell ref="A459:I459"/>
    <mergeCell ref="A465:H465"/>
    <mergeCell ref="J465:P465"/>
    <mergeCell ref="L459:M459"/>
    <mergeCell ref="N459:N460"/>
    <mergeCell ref="O459:P460"/>
    <mergeCell ref="B462:C462"/>
    <mergeCell ref="B464:C464"/>
    <mergeCell ref="A469:B469"/>
    <mergeCell ref="A470:B470"/>
    <mergeCell ref="C470:D470"/>
    <mergeCell ref="A471:B471"/>
    <mergeCell ref="C471:D471"/>
    <mergeCell ref="A472:I472"/>
    <mergeCell ref="Q472:Q473"/>
    <mergeCell ref="O472:P473"/>
    <mergeCell ref="N472:N473"/>
    <mergeCell ref="B476:C476"/>
    <mergeCell ref="B479:C479"/>
    <mergeCell ref="A480:H480"/>
    <mergeCell ref="J480:P480"/>
    <mergeCell ref="A482:D482"/>
    <mergeCell ref="E482:R486"/>
    <mergeCell ref="A484:B484"/>
    <mergeCell ref="A485:B485"/>
    <mergeCell ref="C485:D485"/>
    <mergeCell ref="A486:B486"/>
    <mergeCell ref="C486:D486"/>
    <mergeCell ref="A505:H505"/>
    <mergeCell ref="J505:P505"/>
    <mergeCell ref="A500:I500"/>
    <mergeCell ref="L500:M500"/>
    <mergeCell ref="N500:N501"/>
    <mergeCell ref="O500:P501"/>
    <mergeCell ref="A487:I487"/>
    <mergeCell ref="L487:M487"/>
    <mergeCell ref="N487:N488"/>
    <mergeCell ref="O487:P488"/>
    <mergeCell ref="L502:L504"/>
    <mergeCell ref="B503:C503"/>
    <mergeCell ref="B504:C504"/>
    <mergeCell ref="A493:H493"/>
    <mergeCell ref="J493:P493"/>
    <mergeCell ref="A495:D495"/>
    <mergeCell ref="E495:R499"/>
    <mergeCell ref="A497:B497"/>
    <mergeCell ref="A498:B498"/>
    <mergeCell ref="C498:D498"/>
    <mergeCell ref="A499:B499"/>
    <mergeCell ref="C499:D499"/>
    <mergeCell ref="R487:R488"/>
    <mergeCell ref="B488:C488"/>
    <mergeCell ref="Q500:Q501"/>
    <mergeCell ref="B501:C501"/>
    <mergeCell ref="R500:R501"/>
    <mergeCell ref="O255:P256"/>
    <mergeCell ref="O266:P267"/>
    <mergeCell ref="O278:P279"/>
    <mergeCell ref="O289:P290"/>
    <mergeCell ref="O302:P303"/>
    <mergeCell ref="O317:P318"/>
    <mergeCell ref="A452:H452"/>
    <mergeCell ref="L472:M472"/>
    <mergeCell ref="Q459:Q460"/>
    <mergeCell ref="R459:R460"/>
    <mergeCell ref="B460:C460"/>
    <mergeCell ref="L461:L464"/>
    <mergeCell ref="B463:C463"/>
    <mergeCell ref="A467:D467"/>
    <mergeCell ref="E467:R471"/>
    <mergeCell ref="R472:R473"/>
    <mergeCell ref="B473:C473"/>
    <mergeCell ref="L489:L492"/>
    <mergeCell ref="B490:C490"/>
    <mergeCell ref="B492:C492"/>
    <mergeCell ref="L474:L479"/>
    <mergeCell ref="A240:B240"/>
    <mergeCell ref="C240:D240"/>
    <mergeCell ref="L218:L221"/>
    <mergeCell ref="B221:C221"/>
    <mergeCell ref="A222:H222"/>
    <mergeCell ref="J222:P222"/>
    <mergeCell ref="A224:D224"/>
    <mergeCell ref="E224:R228"/>
    <mergeCell ref="A226:B226"/>
    <mergeCell ref="B220:C220"/>
    <mergeCell ref="B232:C232"/>
    <mergeCell ref="Q229:Q230"/>
    <mergeCell ref="C239:D239"/>
    <mergeCell ref="B17:C17"/>
    <mergeCell ref="B18:C18"/>
    <mergeCell ref="L15:L18"/>
    <mergeCell ref="B362:C362"/>
    <mergeCell ref="B363:C363"/>
    <mergeCell ref="J126:P126"/>
    <mergeCell ref="B123:C123"/>
    <mergeCell ref="B125:C125"/>
    <mergeCell ref="B108:C108"/>
    <mergeCell ref="E100:R104"/>
    <mergeCell ref="A102:B102"/>
    <mergeCell ref="Q192:Q193"/>
    <mergeCell ref="Q204:Q205"/>
    <mergeCell ref="Q216:Q217"/>
    <mergeCell ref="Q266:Q267"/>
    <mergeCell ref="Q278:Q279"/>
    <mergeCell ref="B207:C207"/>
    <mergeCell ref="L206:L208"/>
    <mergeCell ref="B208:C208"/>
    <mergeCell ref="A209:H209"/>
    <mergeCell ref="J209:P209"/>
    <mergeCell ref="B106:C106"/>
    <mergeCell ref="R192:R193"/>
    <mergeCell ref="O133:P134"/>
    <mergeCell ref="R105:R106"/>
    <mergeCell ref="Q241:Q242"/>
    <mergeCell ref="B477:C477"/>
    <mergeCell ref="B478:C478"/>
    <mergeCell ref="B491:C491"/>
    <mergeCell ref="B96:C96"/>
    <mergeCell ref="B137:C137"/>
    <mergeCell ref="L135:L137"/>
    <mergeCell ref="L120:L125"/>
    <mergeCell ref="B270:C270"/>
    <mergeCell ref="B193:C193"/>
    <mergeCell ref="A227:B227"/>
    <mergeCell ref="C227:D227"/>
    <mergeCell ref="A229:I229"/>
    <mergeCell ref="L229:M229"/>
    <mergeCell ref="L231:L233"/>
    <mergeCell ref="A236:D236"/>
    <mergeCell ref="E236:R240"/>
    <mergeCell ref="A238:B238"/>
    <mergeCell ref="A239:B239"/>
    <mergeCell ref="J234:P234"/>
    <mergeCell ref="N229:N230"/>
    <mergeCell ref="A228:B228"/>
    <mergeCell ref="C228:D228"/>
  </mergeCells>
  <conditionalFormatting sqref="R19">
    <cfRule type="containsText" dxfId="169" priority="159" operator="containsText" text="NO CUMPLE">
      <formula>NOT(ISERROR(SEARCH("NO CUMPLE",R19)))</formula>
    </cfRule>
    <cfRule type="containsText" dxfId="168" priority="160" operator="containsText" text="CUMPLE">
      <formula>NOT(ISERROR(SEARCH("CUMPLE",R19)))</formula>
    </cfRule>
  </conditionalFormatting>
  <conditionalFormatting sqref="R30">
    <cfRule type="containsText" dxfId="167" priority="107" operator="containsText" text="NO CUMPLE">
      <formula>NOT(ISERROR(SEARCH("NO CUMPLE",R30)))</formula>
    </cfRule>
    <cfRule type="containsText" dxfId="166" priority="108" operator="containsText" text="CUMPLE">
      <formula>NOT(ISERROR(SEARCH("CUMPLE",R30)))</formula>
    </cfRule>
  </conditionalFormatting>
  <conditionalFormatting sqref="R43">
    <cfRule type="containsText" dxfId="165" priority="105" operator="containsText" text="NO CUMPLE">
      <formula>NOT(ISERROR(SEARCH("NO CUMPLE",R43)))</formula>
    </cfRule>
    <cfRule type="containsText" dxfId="164" priority="106" operator="containsText" text="CUMPLE">
      <formula>NOT(ISERROR(SEARCH("CUMPLE",R43)))</formula>
    </cfRule>
  </conditionalFormatting>
  <conditionalFormatting sqref="R57">
    <cfRule type="containsText" dxfId="163" priority="103" operator="containsText" text="NO CUMPLE">
      <formula>NOT(ISERROR(SEARCH("NO CUMPLE",R57)))</formula>
    </cfRule>
    <cfRule type="containsText" dxfId="162" priority="104" operator="containsText" text="CUMPLE">
      <formula>NOT(ISERROR(SEARCH("CUMPLE",R57)))</formula>
    </cfRule>
  </conditionalFormatting>
  <conditionalFormatting sqref="R72">
    <cfRule type="containsText" dxfId="161" priority="101" operator="containsText" text="NO CUMPLE">
      <formula>NOT(ISERROR(SEARCH("NO CUMPLE",R72)))</formula>
    </cfRule>
    <cfRule type="containsText" dxfId="160" priority="102" operator="containsText" text="CUMPLE">
      <formula>NOT(ISERROR(SEARCH("CUMPLE",R72)))</formula>
    </cfRule>
  </conditionalFormatting>
  <conditionalFormatting sqref="R83">
    <cfRule type="containsText" dxfId="159" priority="99" operator="containsText" text="NO CUMPLE">
      <formula>NOT(ISERROR(SEARCH("NO CUMPLE",R83)))</formula>
    </cfRule>
    <cfRule type="containsText" dxfId="158" priority="100" operator="containsText" text="CUMPLE">
      <formula>NOT(ISERROR(SEARCH("CUMPLE",R83)))</formula>
    </cfRule>
  </conditionalFormatting>
  <conditionalFormatting sqref="R98">
    <cfRule type="containsText" dxfId="157" priority="97" operator="containsText" text="NO CUMPLE">
      <formula>NOT(ISERROR(SEARCH("NO CUMPLE",R98)))</formula>
    </cfRule>
    <cfRule type="containsText" dxfId="156" priority="98" operator="containsText" text="CUMPLE">
      <formula>NOT(ISERROR(SEARCH("CUMPLE",R98)))</formula>
    </cfRule>
  </conditionalFormatting>
  <conditionalFormatting sqref="R111">
    <cfRule type="containsText" dxfId="155" priority="95" operator="containsText" text="NO CUMPLE">
      <formula>NOT(ISERROR(SEARCH("NO CUMPLE",R111)))</formula>
    </cfRule>
    <cfRule type="containsText" dxfId="154" priority="96" operator="containsText" text="CUMPLE">
      <formula>NOT(ISERROR(SEARCH("CUMPLE",R111)))</formula>
    </cfRule>
  </conditionalFormatting>
  <conditionalFormatting sqref="R126">
    <cfRule type="containsText" dxfId="153" priority="93" operator="containsText" text="NO CUMPLE">
      <formula>NOT(ISERROR(SEARCH("NO CUMPLE",R126)))</formula>
    </cfRule>
    <cfRule type="containsText" dxfId="152" priority="94" operator="containsText" text="CUMPLE">
      <formula>NOT(ISERROR(SEARCH("CUMPLE",R126)))</formula>
    </cfRule>
  </conditionalFormatting>
  <conditionalFormatting sqref="R138">
    <cfRule type="containsText" dxfId="151" priority="91" operator="containsText" text="NO CUMPLE">
      <formula>NOT(ISERROR(SEARCH("NO CUMPLE",R138)))</formula>
    </cfRule>
    <cfRule type="containsText" dxfId="150" priority="92" operator="containsText" text="CUMPLE">
      <formula>NOT(ISERROR(SEARCH("CUMPLE",R138)))</formula>
    </cfRule>
  </conditionalFormatting>
  <conditionalFormatting sqref="R154">
    <cfRule type="containsText" dxfId="149" priority="89" operator="containsText" text="NO CUMPLE">
      <formula>NOT(ISERROR(SEARCH("NO CUMPLE",R154)))</formula>
    </cfRule>
    <cfRule type="containsText" dxfId="148" priority="90" operator="containsText" text="CUMPLE">
      <formula>NOT(ISERROR(SEARCH("CUMPLE",R154)))</formula>
    </cfRule>
  </conditionalFormatting>
  <conditionalFormatting sqref="R167">
    <cfRule type="containsText" dxfId="147" priority="87" operator="containsText" text="NO CUMPLE">
      <formula>NOT(ISERROR(SEARCH("NO CUMPLE",R167)))</formula>
    </cfRule>
    <cfRule type="containsText" dxfId="146" priority="88" operator="containsText" text="CUMPLE">
      <formula>NOT(ISERROR(SEARCH("CUMPLE",R167)))</formula>
    </cfRule>
  </conditionalFormatting>
  <conditionalFormatting sqref="R185">
    <cfRule type="containsText" dxfId="145" priority="85" operator="containsText" text="NO CUMPLE">
      <formula>NOT(ISERROR(SEARCH("NO CUMPLE",R185)))</formula>
    </cfRule>
    <cfRule type="containsText" dxfId="144" priority="86" operator="containsText" text="CUMPLE">
      <formula>NOT(ISERROR(SEARCH("CUMPLE",R185)))</formula>
    </cfRule>
  </conditionalFormatting>
  <conditionalFormatting sqref="R197">
    <cfRule type="containsText" dxfId="143" priority="83" operator="containsText" text="NO CUMPLE">
      <formula>NOT(ISERROR(SEARCH("NO CUMPLE",R197)))</formula>
    </cfRule>
    <cfRule type="containsText" dxfId="142" priority="84" operator="containsText" text="CUMPLE">
      <formula>NOT(ISERROR(SEARCH("CUMPLE",R197)))</formula>
    </cfRule>
  </conditionalFormatting>
  <conditionalFormatting sqref="R209">
    <cfRule type="containsText" dxfId="141" priority="81" operator="containsText" text="NO CUMPLE">
      <formula>NOT(ISERROR(SEARCH("NO CUMPLE",R209)))</formula>
    </cfRule>
    <cfRule type="containsText" dxfId="140" priority="82" operator="containsText" text="CUMPLE">
      <formula>NOT(ISERROR(SEARCH("CUMPLE",R209)))</formula>
    </cfRule>
  </conditionalFormatting>
  <conditionalFormatting sqref="R222">
    <cfRule type="containsText" dxfId="139" priority="79" operator="containsText" text="NO CUMPLE">
      <formula>NOT(ISERROR(SEARCH("NO CUMPLE",R222)))</formula>
    </cfRule>
    <cfRule type="containsText" dxfId="138" priority="80" operator="containsText" text="CUMPLE">
      <formula>NOT(ISERROR(SEARCH("CUMPLE",R222)))</formula>
    </cfRule>
  </conditionalFormatting>
  <conditionalFormatting sqref="R234">
    <cfRule type="containsText" dxfId="137" priority="77" operator="containsText" text="NO CUMPLE">
      <formula>NOT(ISERROR(SEARCH("NO CUMPLE",R234)))</formula>
    </cfRule>
    <cfRule type="containsText" dxfId="136" priority="78" operator="containsText" text="CUMPLE">
      <formula>NOT(ISERROR(SEARCH("CUMPLE",R234)))</formula>
    </cfRule>
  </conditionalFormatting>
  <conditionalFormatting sqref="R248">
    <cfRule type="containsText" dxfId="135" priority="75" operator="containsText" text="NO CUMPLE">
      <formula>NOT(ISERROR(SEARCH("NO CUMPLE",R248)))</formula>
    </cfRule>
    <cfRule type="containsText" dxfId="134" priority="76" operator="containsText" text="CUMPLE">
      <formula>NOT(ISERROR(SEARCH("CUMPLE",R248)))</formula>
    </cfRule>
  </conditionalFormatting>
  <conditionalFormatting sqref="R259">
    <cfRule type="containsText" dxfId="133" priority="73" operator="containsText" text="NO CUMPLE">
      <formula>NOT(ISERROR(SEARCH("NO CUMPLE",R259)))</formula>
    </cfRule>
    <cfRule type="containsText" dxfId="132" priority="74" operator="containsText" text="CUMPLE">
      <formula>NOT(ISERROR(SEARCH("CUMPLE",R259)))</formula>
    </cfRule>
  </conditionalFormatting>
  <conditionalFormatting sqref="R271">
    <cfRule type="containsText" dxfId="131" priority="71" operator="containsText" text="NO CUMPLE">
      <formula>NOT(ISERROR(SEARCH("NO CUMPLE",R271)))</formula>
    </cfRule>
    <cfRule type="containsText" dxfId="130" priority="72" operator="containsText" text="CUMPLE">
      <formula>NOT(ISERROR(SEARCH("CUMPLE",R271)))</formula>
    </cfRule>
  </conditionalFormatting>
  <conditionalFormatting sqref="R282">
    <cfRule type="containsText" dxfId="129" priority="69" operator="containsText" text="NO CUMPLE">
      <formula>NOT(ISERROR(SEARCH("NO CUMPLE",R282)))</formula>
    </cfRule>
    <cfRule type="containsText" dxfId="128" priority="70" operator="containsText" text="CUMPLE">
      <formula>NOT(ISERROR(SEARCH("CUMPLE",R282)))</formula>
    </cfRule>
  </conditionalFormatting>
  <conditionalFormatting sqref="R295">
    <cfRule type="containsText" dxfId="127" priority="67" operator="containsText" text="NO CUMPLE">
      <formula>NOT(ISERROR(SEARCH("NO CUMPLE",R295)))</formula>
    </cfRule>
    <cfRule type="containsText" dxfId="126" priority="68" operator="containsText" text="CUMPLE">
      <formula>NOT(ISERROR(SEARCH("CUMPLE",R295)))</formula>
    </cfRule>
  </conditionalFormatting>
  <conditionalFormatting sqref="R310">
    <cfRule type="containsText" dxfId="125" priority="65" operator="containsText" text="NO CUMPLE">
      <formula>NOT(ISERROR(SEARCH("NO CUMPLE",R310)))</formula>
    </cfRule>
    <cfRule type="containsText" dxfId="124" priority="66" operator="containsText" text="CUMPLE">
      <formula>NOT(ISERROR(SEARCH("CUMPLE",R310)))</formula>
    </cfRule>
  </conditionalFormatting>
  <conditionalFormatting sqref="R322">
    <cfRule type="containsText" dxfId="123" priority="63" operator="containsText" text="NO CUMPLE">
      <formula>NOT(ISERROR(SEARCH("NO CUMPLE",R322)))</formula>
    </cfRule>
    <cfRule type="containsText" dxfId="122" priority="64" operator="containsText" text="CUMPLE">
      <formula>NOT(ISERROR(SEARCH("CUMPLE",R322)))</formula>
    </cfRule>
  </conditionalFormatting>
  <conditionalFormatting sqref="R339">
    <cfRule type="containsText" dxfId="121" priority="61" operator="containsText" text="NO CUMPLE">
      <formula>NOT(ISERROR(SEARCH("NO CUMPLE",R339)))</formula>
    </cfRule>
    <cfRule type="containsText" dxfId="120" priority="62" operator="containsText" text="CUMPLE">
      <formula>NOT(ISERROR(SEARCH("CUMPLE",R339)))</formula>
    </cfRule>
  </conditionalFormatting>
  <conditionalFormatting sqref="R351">
    <cfRule type="containsText" dxfId="119" priority="59" operator="containsText" text="NO CUMPLE">
      <formula>NOT(ISERROR(SEARCH("NO CUMPLE",R351)))</formula>
    </cfRule>
    <cfRule type="containsText" dxfId="118" priority="60" operator="containsText" text="CUMPLE">
      <formula>NOT(ISERROR(SEARCH("CUMPLE",R351)))</formula>
    </cfRule>
  </conditionalFormatting>
  <conditionalFormatting sqref="R365">
    <cfRule type="containsText" dxfId="117" priority="57" operator="containsText" text="NO CUMPLE">
      <formula>NOT(ISERROR(SEARCH("NO CUMPLE",R365)))</formula>
    </cfRule>
    <cfRule type="containsText" dxfId="116" priority="58" operator="containsText" text="CUMPLE">
      <formula>NOT(ISERROR(SEARCH("CUMPLE",R365)))</formula>
    </cfRule>
  </conditionalFormatting>
  <conditionalFormatting sqref="R376">
    <cfRule type="containsText" dxfId="115" priority="55" operator="containsText" text="NO CUMPLE">
      <formula>NOT(ISERROR(SEARCH("NO CUMPLE",R376)))</formula>
    </cfRule>
    <cfRule type="containsText" dxfId="114" priority="56" operator="containsText" text="CUMPLE">
      <formula>NOT(ISERROR(SEARCH("CUMPLE",R376)))</formula>
    </cfRule>
  </conditionalFormatting>
  <conditionalFormatting sqref="R388">
    <cfRule type="containsText" dxfId="113" priority="53" operator="containsText" text="NO CUMPLE">
      <formula>NOT(ISERROR(SEARCH("NO CUMPLE",R388)))</formula>
    </cfRule>
    <cfRule type="containsText" dxfId="112" priority="54" operator="containsText" text="CUMPLE">
      <formula>NOT(ISERROR(SEARCH("CUMPLE",R388)))</formula>
    </cfRule>
  </conditionalFormatting>
  <conditionalFormatting sqref="R403">
    <cfRule type="containsText" dxfId="111" priority="51" operator="containsText" text="NO CUMPLE">
      <formula>NOT(ISERROR(SEARCH("NO CUMPLE",R403)))</formula>
    </cfRule>
    <cfRule type="containsText" dxfId="110" priority="52" operator="containsText" text="CUMPLE">
      <formula>NOT(ISERROR(SEARCH("CUMPLE",R403)))</formula>
    </cfRule>
  </conditionalFormatting>
  <conditionalFormatting sqref="R416">
    <cfRule type="containsText" dxfId="109" priority="49" operator="containsText" text="NO CUMPLE">
      <formula>NOT(ISERROR(SEARCH("NO CUMPLE",R416)))</formula>
    </cfRule>
    <cfRule type="containsText" dxfId="108" priority="50" operator="containsText" text="CUMPLE">
      <formula>NOT(ISERROR(SEARCH("CUMPLE",R416)))</formula>
    </cfRule>
  </conditionalFormatting>
  <conditionalFormatting sqref="R428">
    <cfRule type="containsText" dxfId="107" priority="47" operator="containsText" text="NO CUMPLE">
      <formula>NOT(ISERROR(SEARCH("NO CUMPLE",R428)))</formula>
    </cfRule>
    <cfRule type="containsText" dxfId="106" priority="48" operator="containsText" text="CUMPLE">
      <formula>NOT(ISERROR(SEARCH("CUMPLE",R428)))</formula>
    </cfRule>
  </conditionalFormatting>
  <conditionalFormatting sqref="R440">
    <cfRule type="containsText" dxfId="105" priority="45" operator="containsText" text="NO CUMPLE">
      <formula>NOT(ISERROR(SEARCH("NO CUMPLE",R440)))</formula>
    </cfRule>
    <cfRule type="containsText" dxfId="104" priority="46" operator="containsText" text="CUMPLE">
      <formula>NOT(ISERROR(SEARCH("CUMPLE",R440)))</formula>
    </cfRule>
  </conditionalFormatting>
  <conditionalFormatting sqref="R452">
    <cfRule type="containsText" dxfId="103" priority="9" operator="containsText" text="NO CUMPLE">
      <formula>NOT(ISERROR(SEARCH("NO CUMPLE",R452)))</formula>
    </cfRule>
    <cfRule type="containsText" dxfId="102" priority="10" operator="containsText" text="CUMPLE">
      <formula>NOT(ISERROR(SEARCH("CUMPLE",R452)))</formula>
    </cfRule>
  </conditionalFormatting>
  <conditionalFormatting sqref="R465">
    <cfRule type="containsText" dxfId="101" priority="7" operator="containsText" text="NO CUMPLE">
      <formula>NOT(ISERROR(SEARCH("NO CUMPLE",R465)))</formula>
    </cfRule>
    <cfRule type="containsText" dxfId="100" priority="8" operator="containsText" text="CUMPLE">
      <formula>NOT(ISERROR(SEARCH("CUMPLE",R465)))</formula>
    </cfRule>
  </conditionalFormatting>
  <conditionalFormatting sqref="R480">
    <cfRule type="containsText" dxfId="99" priority="5" operator="containsText" text="NO CUMPLE">
      <formula>NOT(ISERROR(SEARCH("NO CUMPLE",R480)))</formula>
    </cfRule>
    <cfRule type="containsText" dxfId="98" priority="6" operator="containsText" text="CUMPLE">
      <formula>NOT(ISERROR(SEARCH("CUMPLE",R480)))</formula>
    </cfRule>
  </conditionalFormatting>
  <conditionalFormatting sqref="R493">
    <cfRule type="containsText" dxfId="97" priority="3" operator="containsText" text="NO CUMPLE">
      <formula>NOT(ISERROR(SEARCH("NO CUMPLE",R493)))</formula>
    </cfRule>
    <cfRule type="containsText" dxfId="96" priority="4" operator="containsText" text="CUMPLE">
      <formula>NOT(ISERROR(SEARCH("CUMPLE",R493)))</formula>
    </cfRule>
  </conditionalFormatting>
  <conditionalFormatting sqref="R505">
    <cfRule type="containsText" dxfId="95" priority="1" operator="containsText" text="NO CUMPLE">
      <formula>NOT(ISERROR(SEARCH("NO CUMPLE",R505)))</formula>
    </cfRule>
    <cfRule type="containsText" dxfId="94" priority="2" operator="containsText" text="CUMPLE">
      <formula>NOT(ISERROR(SEARCH("CUMPLE",R505)))</formula>
    </cfRule>
  </conditionalFormatting>
  <dataValidations count="1">
    <dataValidation type="list" allowBlank="1" showInputMessage="1" showErrorMessage="1" sqref="P29:Q29 P16:Q16 N332:N336 N29 N438:N439 N426:N427 N415 N413 P402:Q402 N375 N361:N364 N349:N350 N320:N321 P308:Q309 N292:N294 N269:N270 N258 P246:Q247 N207:N208 N195:N196 N177:N180 P164:Q164 P148:Q148 P136:Q137 N125 N110 N108 P97:Q97 N82 P70:Q71 N53:N56 N42 N40 N93 N232:N233 P232:Q233 P93:Q93 R19 R30 R43 P40:Q40 P42:Q42 R57 P53:Q56 R72 N150:N153 R83 R98 P82:Q82 N246:N247 R111 P108:Q108 P110:Q110 R126 N97 R138 P125:Q125 R154 P503:Q504 R167 N70:N71 R185 N386:N387 R197 P195:Q196 R209 P207:Q208 R222 R234 R248 P219:Q221 R259 P258:Q258 R271 P269:Q270 R282 R295 P292:Q294 R310 P150:Q153 R322 P320:Q321 R339 R351 P349:Q350 R365 P361:Q364 R376 P375:Q375 R388 R403 P182:Q184 R416 P413:Q413 P415:Q415 R428 P426:Q427 R440 P438:Q439 N450:N451 R452 N490:N492 N462:N464 R465 P462:Q464 R480 N136:N137 R493 P476:Q479 N503:N504 R505 N148 N18 P305:Q306 N305:N306 N308:N309 P281:Q281 N281 P332:Q336 N16 P18:Q18 P67:Q68 N67:N68 N164 P166:Q166 N166 P386:Q387 N182:N184 N402 P398:Q398 N398 P177:Q180 N219:N221 P244:Q244 N244 P95:Q95 N95 P121:Q121 N121 N123 P123:Q123 N476:N479 P490:Q492 P450:Q451" xr:uid="{00000000-0002-0000-0100-000000000000}">
      <formula1>$S$3:$S$4</formula1>
    </dataValidation>
  </dataValidations>
  <pageMargins left="0.7" right="0.7" top="0.75" bottom="0.75" header="0.51180555555555496" footer="0.51180555555555496"/>
  <pageSetup scale="56" firstPageNumber="0" orientation="portrait" r:id="rId1"/>
  <colBreaks count="1" manualBreakCount="1">
    <brk id="12" max="618"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AQ878"/>
  <sheetViews>
    <sheetView topLeftCell="A633" zoomScale="110" zoomScaleNormal="110" zoomScalePageLayoutView="70" workbookViewId="0">
      <selection activeCell="P649" sqref="P649:P671"/>
    </sheetView>
  </sheetViews>
  <sheetFormatPr baseColWidth="10" defaultColWidth="11.44140625" defaultRowHeight="14.4" x14ac:dyDescent="0.3"/>
  <cols>
    <col min="1" max="1" width="6.33203125" style="2" customWidth="1"/>
    <col min="2" max="13" width="8.88671875" style="2" customWidth="1"/>
    <col min="14" max="14" width="22.109375" style="2" customWidth="1"/>
    <col min="15" max="15" width="25.6640625" style="51" customWidth="1"/>
    <col min="16" max="16" width="51" style="2" customWidth="1"/>
    <col min="17" max="16384" width="11.44140625" style="2"/>
  </cols>
  <sheetData>
    <row r="1" spans="1:43" ht="39.9" customHeight="1" x14ac:dyDescent="0.3">
      <c r="A1" s="610" t="s">
        <v>19</v>
      </c>
      <c r="B1" s="611"/>
      <c r="C1" s="611"/>
      <c r="D1" s="611"/>
      <c r="E1" s="611"/>
      <c r="F1" s="611"/>
      <c r="G1" s="611"/>
      <c r="H1" s="611"/>
      <c r="I1" s="611"/>
      <c r="J1" s="611"/>
      <c r="K1" s="611"/>
      <c r="L1" s="611"/>
      <c r="M1" s="611"/>
      <c r="N1" s="612"/>
      <c r="O1" s="613"/>
      <c r="P1" s="48"/>
      <c r="Q1" s="48"/>
    </row>
    <row r="2" spans="1:43" ht="39.9" customHeight="1" x14ac:dyDescent="0.3">
      <c r="A2" s="614" t="s">
        <v>635</v>
      </c>
      <c r="B2" s="600"/>
      <c r="C2" s="600"/>
      <c r="D2" s="600"/>
      <c r="E2" s="600"/>
      <c r="F2" s="600"/>
      <c r="G2" s="600"/>
      <c r="H2" s="600"/>
      <c r="I2" s="600"/>
      <c r="J2" s="600"/>
      <c r="K2" s="600"/>
      <c r="L2" s="600"/>
      <c r="M2" s="600"/>
      <c r="N2" s="615"/>
      <c r="O2" s="616"/>
      <c r="P2" s="49"/>
      <c r="Q2" s="49"/>
    </row>
    <row r="3" spans="1:43" ht="39.9" customHeight="1" x14ac:dyDescent="0.3">
      <c r="A3" s="617" t="s">
        <v>636</v>
      </c>
      <c r="B3" s="618"/>
      <c r="C3" s="618"/>
      <c r="D3" s="618"/>
      <c r="E3" s="618"/>
      <c r="F3" s="618"/>
      <c r="G3" s="618"/>
      <c r="H3" s="618"/>
      <c r="I3" s="618"/>
      <c r="J3" s="618"/>
      <c r="K3" s="618"/>
      <c r="L3" s="618"/>
      <c r="M3" s="618"/>
      <c r="N3" s="619"/>
      <c r="O3" s="620"/>
      <c r="P3" s="50"/>
      <c r="Q3" s="50"/>
    </row>
    <row r="4" spans="1:43" ht="48" customHeight="1" x14ac:dyDescent="0.3">
      <c r="A4" s="622"/>
      <c r="B4" s="622"/>
      <c r="C4" s="622"/>
      <c r="D4" s="622"/>
      <c r="E4" s="622"/>
      <c r="F4" s="622"/>
      <c r="G4" s="622"/>
      <c r="H4" s="622"/>
      <c r="I4" s="622"/>
      <c r="J4" s="622"/>
      <c r="K4" s="622"/>
      <c r="L4" s="622"/>
      <c r="M4" s="622"/>
      <c r="N4" s="622"/>
      <c r="O4" s="622"/>
      <c r="P4" s="232" t="s">
        <v>637</v>
      </c>
    </row>
    <row r="5" spans="1:43" ht="15" customHeight="1" x14ac:dyDescent="0.3">
      <c r="A5" s="603">
        <v>1</v>
      </c>
      <c r="B5" s="621" t="s">
        <v>638</v>
      </c>
      <c r="C5" s="621"/>
      <c r="D5" s="621"/>
      <c r="E5" s="621"/>
      <c r="F5" s="621"/>
      <c r="G5" s="621"/>
      <c r="H5" s="621"/>
      <c r="I5" s="621"/>
      <c r="J5" s="621"/>
      <c r="K5" s="621"/>
      <c r="L5" s="621"/>
      <c r="M5" s="621"/>
      <c r="N5" s="607" t="s">
        <v>213</v>
      </c>
      <c r="O5" s="605" t="str">
        <f>VLOOKUP(A5,'LISTA DE OFERENTES'!$A$6:$B$38,2,FALSE)</f>
        <v>CONSORCIO ESTRUCTURAS Y OBRAS</v>
      </c>
      <c r="P5" s="676" t="s">
        <v>639</v>
      </c>
    </row>
    <row r="6" spans="1:43" ht="15" customHeight="1" x14ac:dyDescent="0.3">
      <c r="A6" s="603"/>
      <c r="B6" s="621"/>
      <c r="C6" s="621"/>
      <c r="D6" s="621"/>
      <c r="E6" s="621"/>
      <c r="F6" s="621"/>
      <c r="G6" s="621"/>
      <c r="H6" s="621"/>
      <c r="I6" s="621"/>
      <c r="J6" s="621"/>
      <c r="K6" s="621"/>
      <c r="L6" s="621"/>
      <c r="M6" s="621"/>
      <c r="N6" s="608"/>
      <c r="O6" s="605"/>
      <c r="P6" s="677"/>
    </row>
    <row r="7" spans="1:43" ht="15" customHeight="1" x14ac:dyDescent="0.3">
      <c r="A7" s="603"/>
      <c r="B7" s="621"/>
      <c r="C7" s="621"/>
      <c r="D7" s="621"/>
      <c r="E7" s="621"/>
      <c r="F7" s="621"/>
      <c r="G7" s="621"/>
      <c r="H7" s="621"/>
      <c r="I7" s="621"/>
      <c r="J7" s="621"/>
      <c r="K7" s="621"/>
      <c r="L7" s="621"/>
      <c r="M7" s="621"/>
      <c r="N7" s="608"/>
      <c r="O7" s="605"/>
      <c r="P7" s="677"/>
    </row>
    <row r="8" spans="1:43" ht="15" customHeight="1" x14ac:dyDescent="0.3">
      <c r="A8" s="603"/>
      <c r="B8" s="621"/>
      <c r="C8" s="621"/>
      <c r="D8" s="621"/>
      <c r="E8" s="621"/>
      <c r="F8" s="621"/>
      <c r="G8" s="621"/>
      <c r="H8" s="621"/>
      <c r="I8" s="621"/>
      <c r="J8" s="621"/>
      <c r="K8" s="621"/>
      <c r="L8" s="621"/>
      <c r="M8" s="621"/>
      <c r="N8" s="608"/>
      <c r="O8" s="605"/>
      <c r="P8" s="677"/>
    </row>
    <row r="9" spans="1:43" ht="15" customHeight="1" x14ac:dyDescent="0.3">
      <c r="A9" s="603"/>
      <c r="B9" s="621"/>
      <c r="C9" s="621"/>
      <c r="D9" s="621"/>
      <c r="E9" s="621"/>
      <c r="F9" s="621"/>
      <c r="G9" s="621"/>
      <c r="H9" s="621"/>
      <c r="I9" s="621"/>
      <c r="J9" s="621"/>
      <c r="K9" s="621"/>
      <c r="L9" s="621"/>
      <c r="M9" s="621"/>
      <c r="N9" s="608"/>
      <c r="O9" s="605"/>
      <c r="P9" s="677"/>
      <c r="AQ9" s="144" t="s">
        <v>213</v>
      </c>
    </row>
    <row r="10" spans="1:43" ht="15" customHeight="1" x14ac:dyDescent="0.3">
      <c r="A10" s="603"/>
      <c r="B10" s="621"/>
      <c r="C10" s="621"/>
      <c r="D10" s="621"/>
      <c r="E10" s="621"/>
      <c r="F10" s="621"/>
      <c r="G10" s="621"/>
      <c r="H10" s="621"/>
      <c r="I10" s="621"/>
      <c r="J10" s="621"/>
      <c r="K10" s="621"/>
      <c r="L10" s="621"/>
      <c r="M10" s="621"/>
      <c r="N10" s="608"/>
      <c r="O10" s="605"/>
      <c r="P10" s="677"/>
      <c r="AQ10" s="145" t="s">
        <v>214</v>
      </c>
    </row>
    <row r="11" spans="1:43" ht="15" customHeight="1" x14ac:dyDescent="0.3">
      <c r="A11" s="603"/>
      <c r="B11" s="621"/>
      <c r="C11" s="621"/>
      <c r="D11" s="621"/>
      <c r="E11" s="621"/>
      <c r="F11" s="621"/>
      <c r="G11" s="621"/>
      <c r="H11" s="621"/>
      <c r="I11" s="621"/>
      <c r="J11" s="621"/>
      <c r="K11" s="621"/>
      <c r="L11" s="621"/>
      <c r="M11" s="621"/>
      <c r="N11" s="608"/>
      <c r="O11" s="605"/>
      <c r="P11" s="677"/>
    </row>
    <row r="12" spans="1:43" ht="15" customHeight="1" x14ac:dyDescent="0.3">
      <c r="A12" s="603"/>
      <c r="B12" s="621"/>
      <c r="C12" s="621"/>
      <c r="D12" s="621"/>
      <c r="E12" s="621"/>
      <c r="F12" s="621"/>
      <c r="G12" s="621"/>
      <c r="H12" s="621"/>
      <c r="I12" s="621"/>
      <c r="J12" s="621"/>
      <c r="K12" s="621"/>
      <c r="L12" s="621"/>
      <c r="M12" s="621"/>
      <c r="N12" s="608"/>
      <c r="O12" s="605"/>
      <c r="P12" s="677"/>
    </row>
    <row r="13" spans="1:43" ht="15" customHeight="1" x14ac:dyDescent="0.3">
      <c r="A13" s="603"/>
      <c r="B13" s="621"/>
      <c r="C13" s="621"/>
      <c r="D13" s="621"/>
      <c r="E13" s="621"/>
      <c r="F13" s="621"/>
      <c r="G13" s="621"/>
      <c r="H13" s="621"/>
      <c r="I13" s="621"/>
      <c r="J13" s="621"/>
      <c r="K13" s="621"/>
      <c r="L13" s="621"/>
      <c r="M13" s="621"/>
      <c r="N13" s="608"/>
      <c r="O13" s="605"/>
      <c r="P13" s="677"/>
    </row>
    <row r="14" spans="1:43" ht="15" customHeight="1" x14ac:dyDescent="0.3">
      <c r="A14" s="603"/>
      <c r="B14" s="621"/>
      <c r="C14" s="621"/>
      <c r="D14" s="621"/>
      <c r="E14" s="621"/>
      <c r="F14" s="621"/>
      <c r="G14" s="621"/>
      <c r="H14" s="621"/>
      <c r="I14" s="621"/>
      <c r="J14" s="621"/>
      <c r="K14" s="621"/>
      <c r="L14" s="621"/>
      <c r="M14" s="621"/>
      <c r="N14" s="608"/>
      <c r="O14" s="605"/>
      <c r="P14" s="677"/>
    </row>
    <row r="15" spans="1:43" ht="15" customHeight="1" x14ac:dyDescent="0.3">
      <c r="A15" s="603"/>
      <c r="B15" s="621"/>
      <c r="C15" s="621"/>
      <c r="D15" s="621"/>
      <c r="E15" s="621"/>
      <c r="F15" s="621"/>
      <c r="G15" s="621"/>
      <c r="H15" s="621"/>
      <c r="I15" s="621"/>
      <c r="J15" s="621"/>
      <c r="K15" s="621"/>
      <c r="L15" s="621"/>
      <c r="M15" s="621"/>
      <c r="N15" s="608"/>
      <c r="O15" s="605"/>
      <c r="P15" s="677"/>
    </row>
    <row r="16" spans="1:43" ht="15" customHeight="1" x14ac:dyDescent="0.3">
      <c r="A16" s="603"/>
      <c r="B16" s="621"/>
      <c r="C16" s="621"/>
      <c r="D16" s="621"/>
      <c r="E16" s="621"/>
      <c r="F16" s="621"/>
      <c r="G16" s="621"/>
      <c r="H16" s="621"/>
      <c r="I16" s="621"/>
      <c r="J16" s="621"/>
      <c r="K16" s="621"/>
      <c r="L16" s="621"/>
      <c r="M16" s="621"/>
      <c r="N16" s="608"/>
      <c r="O16" s="605"/>
      <c r="P16" s="677"/>
    </row>
    <row r="17" spans="1:16" ht="15" customHeight="1" x14ac:dyDescent="0.3">
      <c r="A17" s="603"/>
      <c r="B17" s="621"/>
      <c r="C17" s="621"/>
      <c r="D17" s="621"/>
      <c r="E17" s="621"/>
      <c r="F17" s="621"/>
      <c r="G17" s="621"/>
      <c r="H17" s="621"/>
      <c r="I17" s="621"/>
      <c r="J17" s="621"/>
      <c r="K17" s="621"/>
      <c r="L17" s="621"/>
      <c r="M17" s="621"/>
      <c r="N17" s="608"/>
      <c r="O17" s="605"/>
      <c r="P17" s="677"/>
    </row>
    <row r="18" spans="1:16" ht="15" customHeight="1" x14ac:dyDescent="0.3">
      <c r="A18" s="603"/>
      <c r="B18" s="621"/>
      <c r="C18" s="621"/>
      <c r="D18" s="621"/>
      <c r="E18" s="621"/>
      <c r="F18" s="621"/>
      <c r="G18" s="621"/>
      <c r="H18" s="621"/>
      <c r="I18" s="621"/>
      <c r="J18" s="621"/>
      <c r="K18" s="621"/>
      <c r="L18" s="621"/>
      <c r="M18" s="621"/>
      <c r="N18" s="608"/>
      <c r="O18" s="605"/>
      <c r="P18" s="677"/>
    </row>
    <row r="19" spans="1:16" ht="15" customHeight="1" x14ac:dyDescent="0.3">
      <c r="A19" s="603"/>
      <c r="B19" s="621"/>
      <c r="C19" s="621"/>
      <c r="D19" s="621"/>
      <c r="E19" s="621"/>
      <c r="F19" s="621"/>
      <c r="G19" s="621"/>
      <c r="H19" s="621"/>
      <c r="I19" s="621"/>
      <c r="J19" s="621"/>
      <c r="K19" s="621"/>
      <c r="L19" s="621"/>
      <c r="M19" s="621"/>
      <c r="N19" s="608"/>
      <c r="O19" s="605"/>
      <c r="P19" s="677"/>
    </row>
    <row r="20" spans="1:16" ht="15" customHeight="1" x14ac:dyDescent="0.3">
      <c r="A20" s="603"/>
      <c r="B20" s="621"/>
      <c r="C20" s="621"/>
      <c r="D20" s="621"/>
      <c r="E20" s="621"/>
      <c r="F20" s="621"/>
      <c r="G20" s="621"/>
      <c r="H20" s="621"/>
      <c r="I20" s="621"/>
      <c r="J20" s="621"/>
      <c r="K20" s="621"/>
      <c r="L20" s="621"/>
      <c r="M20" s="621"/>
      <c r="N20" s="608"/>
      <c r="O20" s="605"/>
      <c r="P20" s="677"/>
    </row>
    <row r="21" spans="1:16" ht="15" customHeight="1" x14ac:dyDescent="0.3">
      <c r="A21" s="603"/>
      <c r="B21" s="621"/>
      <c r="C21" s="621"/>
      <c r="D21" s="621"/>
      <c r="E21" s="621"/>
      <c r="F21" s="621"/>
      <c r="G21" s="621"/>
      <c r="H21" s="621"/>
      <c r="I21" s="621"/>
      <c r="J21" s="621"/>
      <c r="K21" s="621"/>
      <c r="L21" s="621"/>
      <c r="M21" s="621"/>
      <c r="N21" s="608"/>
      <c r="O21" s="605"/>
      <c r="P21" s="677"/>
    </row>
    <row r="22" spans="1:16" ht="15" customHeight="1" x14ac:dyDescent="0.3">
      <c r="A22" s="603"/>
      <c r="B22" s="621"/>
      <c r="C22" s="621"/>
      <c r="D22" s="621"/>
      <c r="E22" s="621"/>
      <c r="F22" s="621"/>
      <c r="G22" s="621"/>
      <c r="H22" s="621"/>
      <c r="I22" s="621"/>
      <c r="J22" s="621"/>
      <c r="K22" s="621"/>
      <c r="L22" s="621"/>
      <c r="M22" s="621"/>
      <c r="N22" s="608"/>
      <c r="O22" s="605"/>
      <c r="P22" s="677"/>
    </row>
    <row r="23" spans="1:16" ht="15" customHeight="1" x14ac:dyDescent="0.3">
      <c r="A23" s="603"/>
      <c r="B23" s="621"/>
      <c r="C23" s="621"/>
      <c r="D23" s="621"/>
      <c r="E23" s="621"/>
      <c r="F23" s="621"/>
      <c r="G23" s="621"/>
      <c r="H23" s="621"/>
      <c r="I23" s="621"/>
      <c r="J23" s="621"/>
      <c r="K23" s="621"/>
      <c r="L23" s="621"/>
      <c r="M23" s="621"/>
      <c r="N23" s="608"/>
      <c r="O23" s="605"/>
      <c r="P23" s="677"/>
    </row>
    <row r="24" spans="1:16" ht="15" customHeight="1" x14ac:dyDescent="0.3">
      <c r="A24" s="603"/>
      <c r="B24" s="621"/>
      <c r="C24" s="621"/>
      <c r="D24" s="621"/>
      <c r="E24" s="621"/>
      <c r="F24" s="621"/>
      <c r="G24" s="621"/>
      <c r="H24" s="621"/>
      <c r="I24" s="621"/>
      <c r="J24" s="621"/>
      <c r="K24" s="621"/>
      <c r="L24" s="621"/>
      <c r="M24" s="621"/>
      <c r="N24" s="608"/>
      <c r="O24" s="605"/>
      <c r="P24" s="677"/>
    </row>
    <row r="25" spans="1:16" ht="15" customHeight="1" x14ac:dyDescent="0.3">
      <c r="A25" s="603"/>
      <c r="B25" s="621"/>
      <c r="C25" s="621"/>
      <c r="D25" s="621"/>
      <c r="E25" s="621"/>
      <c r="F25" s="621"/>
      <c r="G25" s="621"/>
      <c r="H25" s="621"/>
      <c r="I25" s="621"/>
      <c r="J25" s="621"/>
      <c r="K25" s="621"/>
      <c r="L25" s="621"/>
      <c r="M25" s="621"/>
      <c r="N25" s="608"/>
      <c r="O25" s="605"/>
      <c r="P25" s="677"/>
    </row>
    <row r="26" spans="1:16" ht="15" customHeight="1" x14ac:dyDescent="0.3">
      <c r="A26" s="603"/>
      <c r="B26" s="621"/>
      <c r="C26" s="621"/>
      <c r="D26" s="621"/>
      <c r="E26" s="621"/>
      <c r="F26" s="621"/>
      <c r="G26" s="621"/>
      <c r="H26" s="621"/>
      <c r="I26" s="621"/>
      <c r="J26" s="621"/>
      <c r="K26" s="621"/>
      <c r="L26" s="621"/>
      <c r="M26" s="621"/>
      <c r="N26" s="608"/>
      <c r="O26" s="605"/>
      <c r="P26" s="677"/>
    </row>
    <row r="27" spans="1:16" ht="15" customHeight="1" x14ac:dyDescent="0.3">
      <c r="A27" s="603"/>
      <c r="B27" s="621"/>
      <c r="C27" s="621"/>
      <c r="D27" s="621"/>
      <c r="E27" s="621"/>
      <c r="F27" s="621"/>
      <c r="G27" s="621"/>
      <c r="H27" s="621"/>
      <c r="I27" s="621"/>
      <c r="J27" s="621"/>
      <c r="K27" s="621"/>
      <c r="L27" s="621"/>
      <c r="M27" s="621"/>
      <c r="N27" s="609"/>
      <c r="O27" s="605"/>
      <c r="P27" s="677"/>
    </row>
    <row r="28" spans="1:16" ht="15" customHeight="1" x14ac:dyDescent="0.3">
      <c r="A28" s="603">
        <v>2</v>
      </c>
      <c r="B28" s="606"/>
      <c r="C28" s="606"/>
      <c r="D28" s="606"/>
      <c r="E28" s="606"/>
      <c r="F28" s="606"/>
      <c r="G28" s="606"/>
      <c r="H28" s="606"/>
      <c r="I28" s="606"/>
      <c r="J28" s="606"/>
      <c r="K28" s="606"/>
      <c r="L28" s="606"/>
      <c r="M28" s="606"/>
      <c r="N28" s="607" t="s">
        <v>213</v>
      </c>
      <c r="O28" s="605" t="str">
        <f>VLOOKUP(A28,'LISTA DE OFERENTES'!$A$6:$B$38,2,FALSE)</f>
        <v>HAPIL INGENIERIA SAS</v>
      </c>
      <c r="P28" s="676" t="s">
        <v>640</v>
      </c>
    </row>
    <row r="29" spans="1:16" ht="15" customHeight="1" x14ac:dyDescent="0.3">
      <c r="A29" s="603"/>
      <c r="B29" s="606"/>
      <c r="C29" s="606"/>
      <c r="D29" s="606"/>
      <c r="E29" s="606"/>
      <c r="F29" s="606"/>
      <c r="G29" s="606"/>
      <c r="H29" s="606"/>
      <c r="I29" s="606"/>
      <c r="J29" s="606"/>
      <c r="K29" s="606"/>
      <c r="L29" s="606"/>
      <c r="M29" s="606"/>
      <c r="N29" s="608"/>
      <c r="O29" s="605"/>
      <c r="P29" s="677"/>
    </row>
    <row r="30" spans="1:16" ht="15" customHeight="1" x14ac:dyDescent="0.3">
      <c r="A30" s="603"/>
      <c r="B30" s="606"/>
      <c r="C30" s="606"/>
      <c r="D30" s="606"/>
      <c r="E30" s="606"/>
      <c r="F30" s="606"/>
      <c r="G30" s="606"/>
      <c r="H30" s="606"/>
      <c r="I30" s="606"/>
      <c r="J30" s="606"/>
      <c r="K30" s="606"/>
      <c r="L30" s="606"/>
      <c r="M30" s="606"/>
      <c r="N30" s="608"/>
      <c r="O30" s="605"/>
      <c r="P30" s="677"/>
    </row>
    <row r="31" spans="1:16" ht="15" customHeight="1" x14ac:dyDescent="0.3">
      <c r="A31" s="603"/>
      <c r="B31" s="606"/>
      <c r="C31" s="606"/>
      <c r="D31" s="606"/>
      <c r="E31" s="606"/>
      <c r="F31" s="606"/>
      <c r="G31" s="606"/>
      <c r="H31" s="606"/>
      <c r="I31" s="606"/>
      <c r="J31" s="606"/>
      <c r="K31" s="606"/>
      <c r="L31" s="606"/>
      <c r="M31" s="606"/>
      <c r="N31" s="608"/>
      <c r="O31" s="605"/>
      <c r="P31" s="677"/>
    </row>
    <row r="32" spans="1:16" ht="15" customHeight="1" x14ac:dyDescent="0.3">
      <c r="A32" s="603"/>
      <c r="B32" s="606"/>
      <c r="C32" s="606"/>
      <c r="D32" s="606"/>
      <c r="E32" s="606"/>
      <c r="F32" s="606"/>
      <c r="G32" s="606"/>
      <c r="H32" s="606"/>
      <c r="I32" s="606"/>
      <c r="J32" s="606"/>
      <c r="K32" s="606"/>
      <c r="L32" s="606"/>
      <c r="M32" s="606"/>
      <c r="N32" s="608"/>
      <c r="O32" s="605"/>
      <c r="P32" s="677"/>
    </row>
    <row r="33" spans="1:16" ht="15" customHeight="1" x14ac:dyDescent="0.3">
      <c r="A33" s="603"/>
      <c r="B33" s="606"/>
      <c r="C33" s="606"/>
      <c r="D33" s="606"/>
      <c r="E33" s="606"/>
      <c r="F33" s="606"/>
      <c r="G33" s="606"/>
      <c r="H33" s="606"/>
      <c r="I33" s="606"/>
      <c r="J33" s="606"/>
      <c r="K33" s="606"/>
      <c r="L33" s="606"/>
      <c r="M33" s="606"/>
      <c r="N33" s="608"/>
      <c r="O33" s="605"/>
      <c r="P33" s="677"/>
    </row>
    <row r="34" spans="1:16" ht="15" customHeight="1" x14ac:dyDescent="0.3">
      <c r="A34" s="603"/>
      <c r="B34" s="606"/>
      <c r="C34" s="606"/>
      <c r="D34" s="606"/>
      <c r="E34" s="606"/>
      <c r="F34" s="606"/>
      <c r="G34" s="606"/>
      <c r="H34" s="606"/>
      <c r="I34" s="606"/>
      <c r="J34" s="606"/>
      <c r="K34" s="606"/>
      <c r="L34" s="606"/>
      <c r="M34" s="606"/>
      <c r="N34" s="608"/>
      <c r="O34" s="605"/>
      <c r="P34" s="677"/>
    </row>
    <row r="35" spans="1:16" ht="15" customHeight="1" x14ac:dyDescent="0.3">
      <c r="A35" s="603"/>
      <c r="B35" s="606"/>
      <c r="C35" s="606"/>
      <c r="D35" s="606"/>
      <c r="E35" s="606"/>
      <c r="F35" s="606"/>
      <c r="G35" s="606"/>
      <c r="H35" s="606"/>
      <c r="I35" s="606"/>
      <c r="J35" s="606"/>
      <c r="K35" s="606"/>
      <c r="L35" s="606"/>
      <c r="M35" s="606"/>
      <c r="N35" s="608"/>
      <c r="O35" s="605"/>
      <c r="P35" s="677"/>
    </row>
    <row r="36" spans="1:16" ht="15" customHeight="1" x14ac:dyDescent="0.3">
      <c r="A36" s="603"/>
      <c r="B36" s="606"/>
      <c r="C36" s="606"/>
      <c r="D36" s="606"/>
      <c r="E36" s="606"/>
      <c r="F36" s="606"/>
      <c r="G36" s="606"/>
      <c r="H36" s="606"/>
      <c r="I36" s="606"/>
      <c r="J36" s="606"/>
      <c r="K36" s="606"/>
      <c r="L36" s="606"/>
      <c r="M36" s="606"/>
      <c r="N36" s="608"/>
      <c r="O36" s="605"/>
      <c r="P36" s="677"/>
    </row>
    <row r="37" spans="1:16" ht="15" customHeight="1" x14ac:dyDescent="0.3">
      <c r="A37" s="603"/>
      <c r="B37" s="606"/>
      <c r="C37" s="606"/>
      <c r="D37" s="606"/>
      <c r="E37" s="606"/>
      <c r="F37" s="606"/>
      <c r="G37" s="606"/>
      <c r="H37" s="606"/>
      <c r="I37" s="606"/>
      <c r="J37" s="606"/>
      <c r="K37" s="606"/>
      <c r="L37" s="606"/>
      <c r="M37" s="606"/>
      <c r="N37" s="608"/>
      <c r="O37" s="605"/>
      <c r="P37" s="677"/>
    </row>
    <row r="38" spans="1:16" ht="15" customHeight="1" x14ac:dyDescent="0.3">
      <c r="A38" s="603"/>
      <c r="B38" s="606"/>
      <c r="C38" s="606"/>
      <c r="D38" s="606"/>
      <c r="E38" s="606"/>
      <c r="F38" s="606"/>
      <c r="G38" s="606"/>
      <c r="H38" s="606"/>
      <c r="I38" s="606"/>
      <c r="J38" s="606"/>
      <c r="K38" s="606"/>
      <c r="L38" s="606"/>
      <c r="M38" s="606"/>
      <c r="N38" s="608"/>
      <c r="O38" s="605"/>
      <c r="P38" s="677"/>
    </row>
    <row r="39" spans="1:16" ht="15" customHeight="1" x14ac:dyDescent="0.3">
      <c r="A39" s="603"/>
      <c r="B39" s="606"/>
      <c r="C39" s="606"/>
      <c r="D39" s="606"/>
      <c r="E39" s="606"/>
      <c r="F39" s="606"/>
      <c r="G39" s="606"/>
      <c r="H39" s="606"/>
      <c r="I39" s="606"/>
      <c r="J39" s="606"/>
      <c r="K39" s="606"/>
      <c r="L39" s="606"/>
      <c r="M39" s="606"/>
      <c r="N39" s="608"/>
      <c r="O39" s="605"/>
      <c r="P39" s="677"/>
    </row>
    <row r="40" spans="1:16" ht="15" customHeight="1" x14ac:dyDescent="0.3">
      <c r="A40" s="603"/>
      <c r="B40" s="606"/>
      <c r="C40" s="606"/>
      <c r="D40" s="606"/>
      <c r="E40" s="606"/>
      <c r="F40" s="606"/>
      <c r="G40" s="606"/>
      <c r="H40" s="606"/>
      <c r="I40" s="606"/>
      <c r="J40" s="606"/>
      <c r="K40" s="606"/>
      <c r="L40" s="606"/>
      <c r="M40" s="606"/>
      <c r="N40" s="608"/>
      <c r="O40" s="605"/>
      <c r="P40" s="677"/>
    </row>
    <row r="41" spans="1:16" ht="15" customHeight="1" x14ac:dyDescent="0.3">
      <c r="A41" s="603"/>
      <c r="B41" s="606"/>
      <c r="C41" s="606"/>
      <c r="D41" s="606"/>
      <c r="E41" s="606"/>
      <c r="F41" s="606"/>
      <c r="G41" s="606"/>
      <c r="H41" s="606"/>
      <c r="I41" s="606"/>
      <c r="J41" s="606"/>
      <c r="K41" s="606"/>
      <c r="L41" s="606"/>
      <c r="M41" s="606"/>
      <c r="N41" s="608"/>
      <c r="O41" s="605"/>
      <c r="P41" s="677"/>
    </row>
    <row r="42" spans="1:16" ht="15" customHeight="1" x14ac:dyDescent="0.3">
      <c r="A42" s="603"/>
      <c r="B42" s="606"/>
      <c r="C42" s="606"/>
      <c r="D42" s="606"/>
      <c r="E42" s="606"/>
      <c r="F42" s="606"/>
      <c r="G42" s="606"/>
      <c r="H42" s="606"/>
      <c r="I42" s="606"/>
      <c r="J42" s="606"/>
      <c r="K42" s="606"/>
      <c r="L42" s="606"/>
      <c r="M42" s="606"/>
      <c r="N42" s="608"/>
      <c r="O42" s="605"/>
      <c r="P42" s="677"/>
    </row>
    <row r="43" spans="1:16" ht="15" customHeight="1" x14ac:dyDescent="0.3">
      <c r="A43" s="603"/>
      <c r="B43" s="606"/>
      <c r="C43" s="606"/>
      <c r="D43" s="606"/>
      <c r="E43" s="606"/>
      <c r="F43" s="606"/>
      <c r="G43" s="606"/>
      <c r="H43" s="606"/>
      <c r="I43" s="606"/>
      <c r="J43" s="606"/>
      <c r="K43" s="606"/>
      <c r="L43" s="606"/>
      <c r="M43" s="606"/>
      <c r="N43" s="608"/>
      <c r="O43" s="605"/>
      <c r="P43" s="677"/>
    </row>
    <row r="44" spans="1:16" ht="15" customHeight="1" x14ac:dyDescent="0.3">
      <c r="A44" s="603"/>
      <c r="B44" s="606"/>
      <c r="C44" s="606"/>
      <c r="D44" s="606"/>
      <c r="E44" s="606"/>
      <c r="F44" s="606"/>
      <c r="G44" s="606"/>
      <c r="H44" s="606"/>
      <c r="I44" s="606"/>
      <c r="J44" s="606"/>
      <c r="K44" s="606"/>
      <c r="L44" s="606"/>
      <c r="M44" s="606"/>
      <c r="N44" s="608"/>
      <c r="O44" s="605"/>
      <c r="P44" s="677"/>
    </row>
    <row r="45" spans="1:16" ht="15" customHeight="1" x14ac:dyDescent="0.3">
      <c r="A45" s="603"/>
      <c r="B45" s="606"/>
      <c r="C45" s="606"/>
      <c r="D45" s="606"/>
      <c r="E45" s="606"/>
      <c r="F45" s="606"/>
      <c r="G45" s="606"/>
      <c r="H45" s="606"/>
      <c r="I45" s="606"/>
      <c r="J45" s="606"/>
      <c r="K45" s="606"/>
      <c r="L45" s="606"/>
      <c r="M45" s="606"/>
      <c r="N45" s="608"/>
      <c r="O45" s="605"/>
      <c r="P45" s="677"/>
    </row>
    <row r="46" spans="1:16" ht="15" customHeight="1" x14ac:dyDescent="0.3">
      <c r="A46" s="603"/>
      <c r="B46" s="606"/>
      <c r="C46" s="606"/>
      <c r="D46" s="606"/>
      <c r="E46" s="606"/>
      <c r="F46" s="606"/>
      <c r="G46" s="606"/>
      <c r="H46" s="606"/>
      <c r="I46" s="606"/>
      <c r="J46" s="606"/>
      <c r="K46" s="606"/>
      <c r="L46" s="606"/>
      <c r="M46" s="606"/>
      <c r="N46" s="608"/>
      <c r="O46" s="605"/>
      <c r="P46" s="677"/>
    </row>
    <row r="47" spans="1:16" ht="15" customHeight="1" x14ac:dyDescent="0.3">
      <c r="A47" s="603"/>
      <c r="B47" s="606"/>
      <c r="C47" s="606"/>
      <c r="D47" s="606"/>
      <c r="E47" s="606"/>
      <c r="F47" s="606"/>
      <c r="G47" s="606"/>
      <c r="H47" s="606"/>
      <c r="I47" s="606"/>
      <c r="J47" s="606"/>
      <c r="K47" s="606"/>
      <c r="L47" s="606"/>
      <c r="M47" s="606"/>
      <c r="N47" s="608"/>
      <c r="O47" s="605"/>
      <c r="P47" s="677"/>
    </row>
    <row r="48" spans="1:16" ht="15" customHeight="1" x14ac:dyDescent="0.3">
      <c r="A48" s="603"/>
      <c r="B48" s="606"/>
      <c r="C48" s="606"/>
      <c r="D48" s="606"/>
      <c r="E48" s="606"/>
      <c r="F48" s="606"/>
      <c r="G48" s="606"/>
      <c r="H48" s="606"/>
      <c r="I48" s="606"/>
      <c r="J48" s="606"/>
      <c r="K48" s="606"/>
      <c r="L48" s="606"/>
      <c r="M48" s="606"/>
      <c r="N48" s="608"/>
      <c r="O48" s="605"/>
      <c r="P48" s="677"/>
    </row>
    <row r="49" spans="1:16" ht="15" customHeight="1" x14ac:dyDescent="0.3">
      <c r="A49" s="603"/>
      <c r="B49" s="606"/>
      <c r="C49" s="606"/>
      <c r="D49" s="606"/>
      <c r="E49" s="606"/>
      <c r="F49" s="606"/>
      <c r="G49" s="606"/>
      <c r="H49" s="606"/>
      <c r="I49" s="606"/>
      <c r="J49" s="606"/>
      <c r="K49" s="606"/>
      <c r="L49" s="606"/>
      <c r="M49" s="606"/>
      <c r="N49" s="608"/>
      <c r="O49" s="605"/>
      <c r="P49" s="677"/>
    </row>
    <row r="50" spans="1:16" ht="15" customHeight="1" x14ac:dyDescent="0.3">
      <c r="A50" s="603"/>
      <c r="B50" s="606"/>
      <c r="C50" s="606"/>
      <c r="D50" s="606"/>
      <c r="E50" s="606"/>
      <c r="F50" s="606"/>
      <c r="G50" s="606"/>
      <c r="H50" s="606"/>
      <c r="I50" s="606"/>
      <c r="J50" s="606"/>
      <c r="K50" s="606"/>
      <c r="L50" s="606"/>
      <c r="M50" s="606"/>
      <c r="N50" s="609"/>
      <c r="O50" s="605"/>
      <c r="P50" s="677"/>
    </row>
    <row r="51" spans="1:16" ht="15" customHeight="1" x14ac:dyDescent="0.3">
      <c r="A51" s="603">
        <v>3</v>
      </c>
      <c r="B51" s="606"/>
      <c r="C51" s="606"/>
      <c r="D51" s="606"/>
      <c r="E51" s="606"/>
      <c r="F51" s="606"/>
      <c r="G51" s="606"/>
      <c r="H51" s="606"/>
      <c r="I51" s="606"/>
      <c r="J51" s="606"/>
      <c r="K51" s="606"/>
      <c r="L51" s="606"/>
      <c r="M51" s="606"/>
      <c r="N51" s="607" t="s">
        <v>213</v>
      </c>
      <c r="O51" s="605" t="str">
        <f>VLOOKUP(A51,'LISTA DE OFERENTES'!$A$6:$B$38,2,FALSE)</f>
        <v>CONSORCIO SAN FIORANO</v>
      </c>
      <c r="P51" s="676" t="s">
        <v>641</v>
      </c>
    </row>
    <row r="52" spans="1:16" ht="15" customHeight="1" x14ac:dyDescent="0.3">
      <c r="A52" s="603"/>
      <c r="B52" s="606"/>
      <c r="C52" s="606"/>
      <c r="D52" s="606"/>
      <c r="E52" s="606"/>
      <c r="F52" s="606"/>
      <c r="G52" s="606"/>
      <c r="H52" s="606"/>
      <c r="I52" s="606"/>
      <c r="J52" s="606"/>
      <c r="K52" s="606"/>
      <c r="L52" s="606"/>
      <c r="M52" s="606"/>
      <c r="N52" s="608"/>
      <c r="O52" s="605"/>
      <c r="P52" s="677"/>
    </row>
    <row r="53" spans="1:16" ht="15" customHeight="1" x14ac:dyDescent="0.3">
      <c r="A53" s="603"/>
      <c r="B53" s="606"/>
      <c r="C53" s="606"/>
      <c r="D53" s="606"/>
      <c r="E53" s="606"/>
      <c r="F53" s="606"/>
      <c r="G53" s="606"/>
      <c r="H53" s="606"/>
      <c r="I53" s="606"/>
      <c r="J53" s="606"/>
      <c r="K53" s="606"/>
      <c r="L53" s="606"/>
      <c r="M53" s="606"/>
      <c r="N53" s="608"/>
      <c r="O53" s="605"/>
      <c r="P53" s="677"/>
    </row>
    <row r="54" spans="1:16" ht="15" customHeight="1" x14ac:dyDescent="0.3">
      <c r="A54" s="603"/>
      <c r="B54" s="606"/>
      <c r="C54" s="606"/>
      <c r="D54" s="606"/>
      <c r="E54" s="606"/>
      <c r="F54" s="606"/>
      <c r="G54" s="606"/>
      <c r="H54" s="606"/>
      <c r="I54" s="606"/>
      <c r="J54" s="606"/>
      <c r="K54" s="606"/>
      <c r="L54" s="606"/>
      <c r="M54" s="606"/>
      <c r="N54" s="608"/>
      <c r="O54" s="605"/>
      <c r="P54" s="677"/>
    </row>
    <row r="55" spans="1:16" ht="15" customHeight="1" x14ac:dyDescent="0.3">
      <c r="A55" s="603"/>
      <c r="B55" s="606"/>
      <c r="C55" s="606"/>
      <c r="D55" s="606"/>
      <c r="E55" s="606"/>
      <c r="F55" s="606"/>
      <c r="G55" s="606"/>
      <c r="H55" s="606"/>
      <c r="I55" s="606"/>
      <c r="J55" s="606"/>
      <c r="K55" s="606"/>
      <c r="L55" s="606"/>
      <c r="M55" s="606"/>
      <c r="N55" s="608"/>
      <c r="O55" s="605"/>
      <c r="P55" s="677"/>
    </row>
    <row r="56" spans="1:16" ht="15" customHeight="1" x14ac:dyDescent="0.3">
      <c r="A56" s="603"/>
      <c r="B56" s="606"/>
      <c r="C56" s="606"/>
      <c r="D56" s="606"/>
      <c r="E56" s="606"/>
      <c r="F56" s="606"/>
      <c r="G56" s="606"/>
      <c r="H56" s="606"/>
      <c r="I56" s="606"/>
      <c r="J56" s="606"/>
      <c r="K56" s="606"/>
      <c r="L56" s="606"/>
      <c r="M56" s="606"/>
      <c r="N56" s="608"/>
      <c r="O56" s="605"/>
      <c r="P56" s="677"/>
    </row>
    <row r="57" spans="1:16" ht="15" customHeight="1" x14ac:dyDescent="0.3">
      <c r="A57" s="603"/>
      <c r="B57" s="606"/>
      <c r="C57" s="606"/>
      <c r="D57" s="606"/>
      <c r="E57" s="606"/>
      <c r="F57" s="606"/>
      <c r="G57" s="606"/>
      <c r="H57" s="606"/>
      <c r="I57" s="606"/>
      <c r="J57" s="606"/>
      <c r="K57" s="606"/>
      <c r="L57" s="606"/>
      <c r="M57" s="606"/>
      <c r="N57" s="608"/>
      <c r="O57" s="605"/>
      <c r="P57" s="677"/>
    </row>
    <row r="58" spans="1:16" ht="15" customHeight="1" x14ac:dyDescent="0.3">
      <c r="A58" s="603"/>
      <c r="B58" s="606"/>
      <c r="C58" s="606"/>
      <c r="D58" s="606"/>
      <c r="E58" s="606"/>
      <c r="F58" s="606"/>
      <c r="G58" s="606"/>
      <c r="H58" s="606"/>
      <c r="I58" s="606"/>
      <c r="J58" s="606"/>
      <c r="K58" s="606"/>
      <c r="L58" s="606"/>
      <c r="M58" s="606"/>
      <c r="N58" s="608"/>
      <c r="O58" s="605"/>
      <c r="P58" s="677"/>
    </row>
    <row r="59" spans="1:16" ht="15" customHeight="1" x14ac:dyDescent="0.3">
      <c r="A59" s="603"/>
      <c r="B59" s="606"/>
      <c r="C59" s="606"/>
      <c r="D59" s="606"/>
      <c r="E59" s="606"/>
      <c r="F59" s="606"/>
      <c r="G59" s="606"/>
      <c r="H59" s="606"/>
      <c r="I59" s="606"/>
      <c r="J59" s="606"/>
      <c r="K59" s="606"/>
      <c r="L59" s="606"/>
      <c r="M59" s="606"/>
      <c r="N59" s="608"/>
      <c r="O59" s="605"/>
      <c r="P59" s="677"/>
    </row>
    <row r="60" spans="1:16" ht="15" customHeight="1" x14ac:dyDescent="0.3">
      <c r="A60" s="603"/>
      <c r="B60" s="606"/>
      <c r="C60" s="606"/>
      <c r="D60" s="606"/>
      <c r="E60" s="606"/>
      <c r="F60" s="606"/>
      <c r="G60" s="606"/>
      <c r="H60" s="606"/>
      <c r="I60" s="606"/>
      <c r="J60" s="606"/>
      <c r="K60" s="606"/>
      <c r="L60" s="606"/>
      <c r="M60" s="606"/>
      <c r="N60" s="608"/>
      <c r="O60" s="605"/>
      <c r="P60" s="677"/>
    </row>
    <row r="61" spans="1:16" ht="15" customHeight="1" x14ac:dyDescent="0.3">
      <c r="A61" s="603"/>
      <c r="B61" s="606"/>
      <c r="C61" s="606"/>
      <c r="D61" s="606"/>
      <c r="E61" s="606"/>
      <c r="F61" s="606"/>
      <c r="G61" s="606"/>
      <c r="H61" s="606"/>
      <c r="I61" s="606"/>
      <c r="J61" s="606"/>
      <c r="K61" s="606"/>
      <c r="L61" s="606"/>
      <c r="M61" s="606"/>
      <c r="N61" s="608"/>
      <c r="O61" s="605"/>
      <c r="P61" s="677"/>
    </row>
    <row r="62" spans="1:16" ht="15" customHeight="1" x14ac:dyDescent="0.3">
      <c r="A62" s="603"/>
      <c r="B62" s="606"/>
      <c r="C62" s="606"/>
      <c r="D62" s="606"/>
      <c r="E62" s="606"/>
      <c r="F62" s="606"/>
      <c r="G62" s="606"/>
      <c r="H62" s="606"/>
      <c r="I62" s="606"/>
      <c r="J62" s="606"/>
      <c r="K62" s="606"/>
      <c r="L62" s="606"/>
      <c r="M62" s="606"/>
      <c r="N62" s="608"/>
      <c r="O62" s="605"/>
      <c r="P62" s="677"/>
    </row>
    <row r="63" spans="1:16" ht="15" customHeight="1" x14ac:dyDescent="0.3">
      <c r="A63" s="603"/>
      <c r="B63" s="606"/>
      <c r="C63" s="606"/>
      <c r="D63" s="606"/>
      <c r="E63" s="606"/>
      <c r="F63" s="606"/>
      <c r="G63" s="606"/>
      <c r="H63" s="606"/>
      <c r="I63" s="606"/>
      <c r="J63" s="606"/>
      <c r="K63" s="606"/>
      <c r="L63" s="606"/>
      <c r="M63" s="606"/>
      <c r="N63" s="608"/>
      <c r="O63" s="605"/>
      <c r="P63" s="677"/>
    </row>
    <row r="64" spans="1:16" ht="15" customHeight="1" x14ac:dyDescent="0.3">
      <c r="A64" s="603"/>
      <c r="B64" s="606"/>
      <c r="C64" s="606"/>
      <c r="D64" s="606"/>
      <c r="E64" s="606"/>
      <c r="F64" s="606"/>
      <c r="G64" s="606"/>
      <c r="H64" s="606"/>
      <c r="I64" s="606"/>
      <c r="J64" s="606"/>
      <c r="K64" s="606"/>
      <c r="L64" s="606"/>
      <c r="M64" s="606"/>
      <c r="N64" s="608"/>
      <c r="O64" s="605"/>
      <c r="P64" s="677"/>
    </row>
    <row r="65" spans="1:16" ht="15" customHeight="1" x14ac:dyDescent="0.3">
      <c r="A65" s="603"/>
      <c r="B65" s="606"/>
      <c r="C65" s="606"/>
      <c r="D65" s="606"/>
      <c r="E65" s="606"/>
      <c r="F65" s="606"/>
      <c r="G65" s="606"/>
      <c r="H65" s="606"/>
      <c r="I65" s="606"/>
      <c r="J65" s="606"/>
      <c r="K65" s="606"/>
      <c r="L65" s="606"/>
      <c r="M65" s="606"/>
      <c r="N65" s="608"/>
      <c r="O65" s="605"/>
      <c r="P65" s="677"/>
    </row>
    <row r="66" spans="1:16" ht="15" customHeight="1" x14ac:dyDescent="0.3">
      <c r="A66" s="603"/>
      <c r="B66" s="606"/>
      <c r="C66" s="606"/>
      <c r="D66" s="606"/>
      <c r="E66" s="606"/>
      <c r="F66" s="606"/>
      <c r="G66" s="606"/>
      <c r="H66" s="606"/>
      <c r="I66" s="606"/>
      <c r="J66" s="606"/>
      <c r="K66" s="606"/>
      <c r="L66" s="606"/>
      <c r="M66" s="606"/>
      <c r="N66" s="608"/>
      <c r="O66" s="605"/>
      <c r="P66" s="677"/>
    </row>
    <row r="67" spans="1:16" ht="15" customHeight="1" x14ac:dyDescent="0.3">
      <c r="A67" s="603"/>
      <c r="B67" s="606"/>
      <c r="C67" s="606"/>
      <c r="D67" s="606"/>
      <c r="E67" s="606"/>
      <c r="F67" s="606"/>
      <c r="G67" s="606"/>
      <c r="H67" s="606"/>
      <c r="I67" s="606"/>
      <c r="J67" s="606"/>
      <c r="K67" s="606"/>
      <c r="L67" s="606"/>
      <c r="M67" s="606"/>
      <c r="N67" s="608"/>
      <c r="O67" s="605"/>
      <c r="P67" s="677"/>
    </row>
    <row r="68" spans="1:16" ht="15" customHeight="1" x14ac:dyDescent="0.3">
      <c r="A68" s="603"/>
      <c r="B68" s="606"/>
      <c r="C68" s="606"/>
      <c r="D68" s="606"/>
      <c r="E68" s="606"/>
      <c r="F68" s="606"/>
      <c r="G68" s="606"/>
      <c r="H68" s="606"/>
      <c r="I68" s="606"/>
      <c r="J68" s="606"/>
      <c r="K68" s="606"/>
      <c r="L68" s="606"/>
      <c r="M68" s="606"/>
      <c r="N68" s="608"/>
      <c r="O68" s="605"/>
      <c r="P68" s="677"/>
    </row>
    <row r="69" spans="1:16" ht="15" customHeight="1" x14ac:dyDescent="0.3">
      <c r="A69" s="603"/>
      <c r="B69" s="606"/>
      <c r="C69" s="606"/>
      <c r="D69" s="606"/>
      <c r="E69" s="606"/>
      <c r="F69" s="606"/>
      <c r="G69" s="606"/>
      <c r="H69" s="606"/>
      <c r="I69" s="606"/>
      <c r="J69" s="606"/>
      <c r="K69" s="606"/>
      <c r="L69" s="606"/>
      <c r="M69" s="606"/>
      <c r="N69" s="608"/>
      <c r="O69" s="605"/>
      <c r="P69" s="677"/>
    </row>
    <row r="70" spans="1:16" ht="15" customHeight="1" x14ac:dyDescent="0.3">
      <c r="A70" s="603"/>
      <c r="B70" s="606"/>
      <c r="C70" s="606"/>
      <c r="D70" s="606"/>
      <c r="E70" s="606"/>
      <c r="F70" s="606"/>
      <c r="G70" s="606"/>
      <c r="H70" s="606"/>
      <c r="I70" s="606"/>
      <c r="J70" s="606"/>
      <c r="K70" s="606"/>
      <c r="L70" s="606"/>
      <c r="M70" s="606"/>
      <c r="N70" s="608"/>
      <c r="O70" s="605"/>
      <c r="P70" s="677"/>
    </row>
    <row r="71" spans="1:16" ht="15" customHeight="1" x14ac:dyDescent="0.3">
      <c r="A71" s="603"/>
      <c r="B71" s="606"/>
      <c r="C71" s="606"/>
      <c r="D71" s="606"/>
      <c r="E71" s="606"/>
      <c r="F71" s="606"/>
      <c r="G71" s="606"/>
      <c r="H71" s="606"/>
      <c r="I71" s="606"/>
      <c r="J71" s="606"/>
      <c r="K71" s="606"/>
      <c r="L71" s="606"/>
      <c r="M71" s="606"/>
      <c r="N71" s="608"/>
      <c r="O71" s="605"/>
      <c r="P71" s="677"/>
    </row>
    <row r="72" spans="1:16" ht="15" customHeight="1" x14ac:dyDescent="0.3">
      <c r="A72" s="603"/>
      <c r="B72" s="606"/>
      <c r="C72" s="606"/>
      <c r="D72" s="606"/>
      <c r="E72" s="606"/>
      <c r="F72" s="606"/>
      <c r="G72" s="606"/>
      <c r="H72" s="606"/>
      <c r="I72" s="606"/>
      <c r="J72" s="606"/>
      <c r="K72" s="606"/>
      <c r="L72" s="606"/>
      <c r="M72" s="606"/>
      <c r="N72" s="608"/>
      <c r="O72" s="605"/>
      <c r="P72" s="677"/>
    </row>
    <row r="73" spans="1:16" ht="15" customHeight="1" x14ac:dyDescent="0.3">
      <c r="A73" s="603"/>
      <c r="B73" s="606"/>
      <c r="C73" s="606"/>
      <c r="D73" s="606"/>
      <c r="E73" s="606"/>
      <c r="F73" s="606"/>
      <c r="G73" s="606"/>
      <c r="H73" s="606"/>
      <c r="I73" s="606"/>
      <c r="J73" s="606"/>
      <c r="K73" s="606"/>
      <c r="L73" s="606"/>
      <c r="M73" s="606"/>
      <c r="N73" s="609"/>
      <c r="O73" s="605"/>
      <c r="P73" s="677"/>
    </row>
    <row r="74" spans="1:16" ht="15" customHeight="1" x14ac:dyDescent="0.3">
      <c r="A74" s="603">
        <v>4</v>
      </c>
      <c r="B74" s="604"/>
      <c r="C74" s="604"/>
      <c r="D74" s="604"/>
      <c r="E74" s="604"/>
      <c r="F74" s="604"/>
      <c r="G74" s="604"/>
      <c r="H74" s="604"/>
      <c r="I74" s="604"/>
      <c r="J74" s="604"/>
      <c r="K74" s="604"/>
      <c r="L74" s="604"/>
      <c r="M74" s="604"/>
      <c r="N74" s="607" t="s">
        <v>213</v>
      </c>
      <c r="O74" s="605" t="str">
        <f>VLOOKUP(A74,'LISTA DE OFERENTES'!$A$6:$B$38,2,FALSE)</f>
        <v>INVERSIONES GUERFOR S.A.S</v>
      </c>
      <c r="P74" s="676" t="s">
        <v>639</v>
      </c>
    </row>
    <row r="75" spans="1:16" ht="15" customHeight="1" x14ac:dyDescent="0.3">
      <c r="A75" s="603"/>
      <c r="B75" s="604"/>
      <c r="C75" s="604"/>
      <c r="D75" s="604"/>
      <c r="E75" s="604"/>
      <c r="F75" s="604"/>
      <c r="G75" s="604"/>
      <c r="H75" s="604"/>
      <c r="I75" s="604"/>
      <c r="J75" s="604"/>
      <c r="K75" s="604"/>
      <c r="L75" s="604"/>
      <c r="M75" s="604"/>
      <c r="N75" s="608"/>
      <c r="O75" s="605"/>
      <c r="P75" s="677"/>
    </row>
    <row r="76" spans="1:16" ht="15" customHeight="1" x14ac:dyDescent="0.3">
      <c r="A76" s="603"/>
      <c r="B76" s="604"/>
      <c r="C76" s="604"/>
      <c r="D76" s="604"/>
      <c r="E76" s="604"/>
      <c r="F76" s="604"/>
      <c r="G76" s="604"/>
      <c r="H76" s="604"/>
      <c r="I76" s="604"/>
      <c r="J76" s="604"/>
      <c r="K76" s="604"/>
      <c r="L76" s="604"/>
      <c r="M76" s="604"/>
      <c r="N76" s="608"/>
      <c r="O76" s="605"/>
      <c r="P76" s="677"/>
    </row>
    <row r="77" spans="1:16" ht="15" customHeight="1" x14ac:dyDescent="0.3">
      <c r="A77" s="603"/>
      <c r="B77" s="604"/>
      <c r="C77" s="604"/>
      <c r="D77" s="604"/>
      <c r="E77" s="604"/>
      <c r="F77" s="604"/>
      <c r="G77" s="604"/>
      <c r="H77" s="604"/>
      <c r="I77" s="604"/>
      <c r="J77" s="604"/>
      <c r="K77" s="604"/>
      <c r="L77" s="604"/>
      <c r="M77" s="604"/>
      <c r="N77" s="608"/>
      <c r="O77" s="605"/>
      <c r="P77" s="677"/>
    </row>
    <row r="78" spans="1:16" ht="15" customHeight="1" x14ac:dyDescent="0.3">
      <c r="A78" s="603"/>
      <c r="B78" s="604"/>
      <c r="C78" s="604"/>
      <c r="D78" s="604"/>
      <c r="E78" s="604"/>
      <c r="F78" s="604"/>
      <c r="G78" s="604"/>
      <c r="H78" s="604"/>
      <c r="I78" s="604"/>
      <c r="J78" s="604"/>
      <c r="K78" s="604"/>
      <c r="L78" s="604"/>
      <c r="M78" s="604"/>
      <c r="N78" s="608"/>
      <c r="O78" s="605"/>
      <c r="P78" s="677"/>
    </row>
    <row r="79" spans="1:16" ht="15" customHeight="1" x14ac:dyDescent="0.3">
      <c r="A79" s="603"/>
      <c r="B79" s="604"/>
      <c r="C79" s="604"/>
      <c r="D79" s="604"/>
      <c r="E79" s="604"/>
      <c r="F79" s="604"/>
      <c r="G79" s="604"/>
      <c r="H79" s="604"/>
      <c r="I79" s="604"/>
      <c r="J79" s="604"/>
      <c r="K79" s="604"/>
      <c r="L79" s="604"/>
      <c r="M79" s="604"/>
      <c r="N79" s="608"/>
      <c r="O79" s="605"/>
      <c r="P79" s="677"/>
    </row>
    <row r="80" spans="1:16" ht="15" customHeight="1" x14ac:dyDescent="0.3">
      <c r="A80" s="603"/>
      <c r="B80" s="604"/>
      <c r="C80" s="604"/>
      <c r="D80" s="604"/>
      <c r="E80" s="604"/>
      <c r="F80" s="604"/>
      <c r="G80" s="604"/>
      <c r="H80" s="604"/>
      <c r="I80" s="604"/>
      <c r="J80" s="604"/>
      <c r="K80" s="604"/>
      <c r="L80" s="604"/>
      <c r="M80" s="604"/>
      <c r="N80" s="608"/>
      <c r="O80" s="605"/>
      <c r="P80" s="677"/>
    </row>
    <row r="81" spans="1:16" ht="15" customHeight="1" x14ac:dyDescent="0.3">
      <c r="A81" s="603"/>
      <c r="B81" s="604"/>
      <c r="C81" s="604"/>
      <c r="D81" s="604"/>
      <c r="E81" s="604"/>
      <c r="F81" s="604"/>
      <c r="G81" s="604"/>
      <c r="H81" s="604"/>
      <c r="I81" s="604"/>
      <c r="J81" s="604"/>
      <c r="K81" s="604"/>
      <c r="L81" s="604"/>
      <c r="M81" s="604"/>
      <c r="N81" s="608"/>
      <c r="O81" s="605"/>
      <c r="P81" s="677"/>
    </row>
    <row r="82" spans="1:16" ht="15" customHeight="1" x14ac:dyDescent="0.3">
      <c r="A82" s="603"/>
      <c r="B82" s="604"/>
      <c r="C82" s="604"/>
      <c r="D82" s="604"/>
      <c r="E82" s="604"/>
      <c r="F82" s="604"/>
      <c r="G82" s="604"/>
      <c r="H82" s="604"/>
      <c r="I82" s="604"/>
      <c r="J82" s="604"/>
      <c r="K82" s="604"/>
      <c r="L82" s="604"/>
      <c r="M82" s="604"/>
      <c r="N82" s="608"/>
      <c r="O82" s="605"/>
      <c r="P82" s="677"/>
    </row>
    <row r="83" spans="1:16" ht="15" customHeight="1" x14ac:dyDescent="0.3">
      <c r="A83" s="603"/>
      <c r="B83" s="604"/>
      <c r="C83" s="604"/>
      <c r="D83" s="604"/>
      <c r="E83" s="604"/>
      <c r="F83" s="604"/>
      <c r="G83" s="604"/>
      <c r="H83" s="604"/>
      <c r="I83" s="604"/>
      <c r="J83" s="604"/>
      <c r="K83" s="604"/>
      <c r="L83" s="604"/>
      <c r="M83" s="604"/>
      <c r="N83" s="608"/>
      <c r="O83" s="605"/>
      <c r="P83" s="677"/>
    </row>
    <row r="84" spans="1:16" ht="15" customHeight="1" x14ac:dyDescent="0.3">
      <c r="A84" s="603"/>
      <c r="B84" s="604"/>
      <c r="C84" s="604"/>
      <c r="D84" s="604"/>
      <c r="E84" s="604"/>
      <c r="F84" s="604"/>
      <c r="G84" s="604"/>
      <c r="H84" s="604"/>
      <c r="I84" s="604"/>
      <c r="J84" s="604"/>
      <c r="K84" s="604"/>
      <c r="L84" s="604"/>
      <c r="M84" s="604"/>
      <c r="N84" s="608"/>
      <c r="O84" s="605"/>
      <c r="P84" s="677"/>
    </row>
    <row r="85" spans="1:16" ht="15" customHeight="1" x14ac:dyDescent="0.3">
      <c r="A85" s="603"/>
      <c r="B85" s="604"/>
      <c r="C85" s="604"/>
      <c r="D85" s="604"/>
      <c r="E85" s="604"/>
      <c r="F85" s="604"/>
      <c r="G85" s="604"/>
      <c r="H85" s="604"/>
      <c r="I85" s="604"/>
      <c r="J85" s="604"/>
      <c r="K85" s="604"/>
      <c r="L85" s="604"/>
      <c r="M85" s="604"/>
      <c r="N85" s="608"/>
      <c r="O85" s="605"/>
      <c r="P85" s="677"/>
    </row>
    <row r="86" spans="1:16" ht="15" customHeight="1" x14ac:dyDescent="0.3">
      <c r="A86" s="603"/>
      <c r="B86" s="604"/>
      <c r="C86" s="604"/>
      <c r="D86" s="604"/>
      <c r="E86" s="604"/>
      <c r="F86" s="604"/>
      <c r="G86" s="604"/>
      <c r="H86" s="604"/>
      <c r="I86" s="604"/>
      <c r="J86" s="604"/>
      <c r="K86" s="604"/>
      <c r="L86" s="604"/>
      <c r="M86" s="604"/>
      <c r="N86" s="608"/>
      <c r="O86" s="605"/>
      <c r="P86" s="677"/>
    </row>
    <row r="87" spans="1:16" ht="15" customHeight="1" x14ac:dyDescent="0.3">
      <c r="A87" s="603"/>
      <c r="B87" s="604"/>
      <c r="C87" s="604"/>
      <c r="D87" s="604"/>
      <c r="E87" s="604"/>
      <c r="F87" s="604"/>
      <c r="G87" s="604"/>
      <c r="H87" s="604"/>
      <c r="I87" s="604"/>
      <c r="J87" s="604"/>
      <c r="K87" s="604"/>
      <c r="L87" s="604"/>
      <c r="M87" s="604"/>
      <c r="N87" s="608"/>
      <c r="O87" s="605"/>
      <c r="P87" s="677"/>
    </row>
    <row r="88" spans="1:16" ht="15" customHeight="1" x14ac:dyDescent="0.3">
      <c r="A88" s="603"/>
      <c r="B88" s="604"/>
      <c r="C88" s="604"/>
      <c r="D88" s="604"/>
      <c r="E88" s="604"/>
      <c r="F88" s="604"/>
      <c r="G88" s="604"/>
      <c r="H88" s="604"/>
      <c r="I88" s="604"/>
      <c r="J88" s="604"/>
      <c r="K88" s="604"/>
      <c r="L88" s="604"/>
      <c r="M88" s="604"/>
      <c r="N88" s="608"/>
      <c r="O88" s="605"/>
      <c r="P88" s="677"/>
    </row>
    <row r="89" spans="1:16" ht="15" customHeight="1" x14ac:dyDescent="0.3">
      <c r="A89" s="603"/>
      <c r="B89" s="604"/>
      <c r="C89" s="604"/>
      <c r="D89" s="604"/>
      <c r="E89" s="604"/>
      <c r="F89" s="604"/>
      <c r="G89" s="604"/>
      <c r="H89" s="604"/>
      <c r="I89" s="604"/>
      <c r="J89" s="604"/>
      <c r="K89" s="604"/>
      <c r="L89" s="604"/>
      <c r="M89" s="604"/>
      <c r="N89" s="608"/>
      <c r="O89" s="605"/>
      <c r="P89" s="677"/>
    </row>
    <row r="90" spans="1:16" ht="15" customHeight="1" x14ac:dyDescent="0.3">
      <c r="A90" s="603"/>
      <c r="B90" s="604"/>
      <c r="C90" s="604"/>
      <c r="D90" s="604"/>
      <c r="E90" s="604"/>
      <c r="F90" s="604"/>
      <c r="G90" s="604"/>
      <c r="H90" s="604"/>
      <c r="I90" s="604"/>
      <c r="J90" s="604"/>
      <c r="K90" s="604"/>
      <c r="L90" s="604"/>
      <c r="M90" s="604"/>
      <c r="N90" s="608"/>
      <c r="O90" s="605"/>
      <c r="P90" s="677"/>
    </row>
    <row r="91" spans="1:16" ht="15" customHeight="1" x14ac:dyDescent="0.3">
      <c r="A91" s="603"/>
      <c r="B91" s="604"/>
      <c r="C91" s="604"/>
      <c r="D91" s="604"/>
      <c r="E91" s="604"/>
      <c r="F91" s="604"/>
      <c r="G91" s="604"/>
      <c r="H91" s="604"/>
      <c r="I91" s="604"/>
      <c r="J91" s="604"/>
      <c r="K91" s="604"/>
      <c r="L91" s="604"/>
      <c r="M91" s="604"/>
      <c r="N91" s="608"/>
      <c r="O91" s="605"/>
      <c r="P91" s="677"/>
    </row>
    <row r="92" spans="1:16" ht="15" customHeight="1" x14ac:dyDescent="0.3">
      <c r="A92" s="603"/>
      <c r="B92" s="604"/>
      <c r="C92" s="604"/>
      <c r="D92" s="604"/>
      <c r="E92" s="604"/>
      <c r="F92" s="604"/>
      <c r="G92" s="604"/>
      <c r="H92" s="604"/>
      <c r="I92" s="604"/>
      <c r="J92" s="604"/>
      <c r="K92" s="604"/>
      <c r="L92" s="604"/>
      <c r="M92" s="604"/>
      <c r="N92" s="608"/>
      <c r="O92" s="605"/>
      <c r="P92" s="677"/>
    </row>
    <row r="93" spans="1:16" ht="15" customHeight="1" x14ac:dyDescent="0.3">
      <c r="A93" s="603"/>
      <c r="B93" s="604"/>
      <c r="C93" s="604"/>
      <c r="D93" s="604"/>
      <c r="E93" s="604"/>
      <c r="F93" s="604"/>
      <c r="G93" s="604"/>
      <c r="H93" s="604"/>
      <c r="I93" s="604"/>
      <c r="J93" s="604"/>
      <c r="K93" s="604"/>
      <c r="L93" s="604"/>
      <c r="M93" s="604"/>
      <c r="N93" s="608"/>
      <c r="O93" s="605"/>
      <c r="P93" s="677"/>
    </row>
    <row r="94" spans="1:16" ht="15" customHeight="1" x14ac:dyDescent="0.3">
      <c r="A94" s="603"/>
      <c r="B94" s="604"/>
      <c r="C94" s="604"/>
      <c r="D94" s="604"/>
      <c r="E94" s="604"/>
      <c r="F94" s="604"/>
      <c r="G94" s="604"/>
      <c r="H94" s="604"/>
      <c r="I94" s="604"/>
      <c r="J94" s="604"/>
      <c r="K94" s="604"/>
      <c r="L94" s="604"/>
      <c r="M94" s="604"/>
      <c r="N94" s="608"/>
      <c r="O94" s="605"/>
      <c r="P94" s="677"/>
    </row>
    <row r="95" spans="1:16" ht="15" customHeight="1" x14ac:dyDescent="0.3">
      <c r="A95" s="603"/>
      <c r="B95" s="604"/>
      <c r="C95" s="604"/>
      <c r="D95" s="604"/>
      <c r="E95" s="604"/>
      <c r="F95" s="604"/>
      <c r="G95" s="604"/>
      <c r="H95" s="604"/>
      <c r="I95" s="604"/>
      <c r="J95" s="604"/>
      <c r="K95" s="604"/>
      <c r="L95" s="604"/>
      <c r="M95" s="604"/>
      <c r="N95" s="608"/>
      <c r="O95" s="605"/>
      <c r="P95" s="677"/>
    </row>
    <row r="96" spans="1:16" ht="15" customHeight="1" x14ac:dyDescent="0.3">
      <c r="A96" s="603"/>
      <c r="B96" s="604"/>
      <c r="C96" s="604"/>
      <c r="D96" s="604"/>
      <c r="E96" s="604"/>
      <c r="F96" s="604"/>
      <c r="G96" s="604"/>
      <c r="H96" s="604"/>
      <c r="I96" s="604"/>
      <c r="J96" s="604"/>
      <c r="K96" s="604"/>
      <c r="L96" s="604"/>
      <c r="M96" s="604"/>
      <c r="N96" s="609"/>
      <c r="O96" s="605"/>
      <c r="P96" s="677"/>
    </row>
    <row r="97" spans="1:16" ht="15" customHeight="1" x14ac:dyDescent="0.3">
      <c r="A97" s="603">
        <v>5</v>
      </c>
      <c r="B97" s="604"/>
      <c r="C97" s="604"/>
      <c r="D97" s="604"/>
      <c r="E97" s="604"/>
      <c r="F97" s="604"/>
      <c r="G97" s="604"/>
      <c r="H97" s="604"/>
      <c r="I97" s="604"/>
      <c r="J97" s="604"/>
      <c r="K97" s="604"/>
      <c r="L97" s="604"/>
      <c r="M97" s="604"/>
      <c r="N97" s="607" t="s">
        <v>213</v>
      </c>
      <c r="O97" s="605" t="str">
        <f>VLOOKUP(A97,'LISTA DE OFERENTES'!$A$6:$B$38,2,FALSE)</f>
        <v>CONSORCIO PARQUES C&amp;A</v>
      </c>
      <c r="P97" s="676" t="s">
        <v>642</v>
      </c>
    </row>
    <row r="98" spans="1:16" ht="15" customHeight="1" x14ac:dyDescent="0.3">
      <c r="A98" s="603"/>
      <c r="B98" s="604"/>
      <c r="C98" s="604"/>
      <c r="D98" s="604"/>
      <c r="E98" s="604"/>
      <c r="F98" s="604"/>
      <c r="G98" s="604"/>
      <c r="H98" s="604"/>
      <c r="I98" s="604"/>
      <c r="J98" s="604"/>
      <c r="K98" s="604"/>
      <c r="L98" s="604"/>
      <c r="M98" s="604"/>
      <c r="N98" s="608"/>
      <c r="O98" s="605"/>
      <c r="P98" s="677"/>
    </row>
    <row r="99" spans="1:16" ht="15" customHeight="1" x14ac:dyDescent="0.3">
      <c r="A99" s="603"/>
      <c r="B99" s="604"/>
      <c r="C99" s="604"/>
      <c r="D99" s="604"/>
      <c r="E99" s="604"/>
      <c r="F99" s="604"/>
      <c r="G99" s="604"/>
      <c r="H99" s="604"/>
      <c r="I99" s="604"/>
      <c r="J99" s="604"/>
      <c r="K99" s="604"/>
      <c r="L99" s="604"/>
      <c r="M99" s="604"/>
      <c r="N99" s="608"/>
      <c r="O99" s="605"/>
      <c r="P99" s="677"/>
    </row>
    <row r="100" spans="1:16" ht="15" customHeight="1" x14ac:dyDescent="0.3">
      <c r="A100" s="603"/>
      <c r="B100" s="604"/>
      <c r="C100" s="604"/>
      <c r="D100" s="604"/>
      <c r="E100" s="604"/>
      <c r="F100" s="604"/>
      <c r="G100" s="604"/>
      <c r="H100" s="604"/>
      <c r="I100" s="604"/>
      <c r="J100" s="604"/>
      <c r="K100" s="604"/>
      <c r="L100" s="604"/>
      <c r="M100" s="604"/>
      <c r="N100" s="608"/>
      <c r="O100" s="605"/>
      <c r="P100" s="677"/>
    </row>
    <row r="101" spans="1:16" ht="15" customHeight="1" x14ac:dyDescent="0.3">
      <c r="A101" s="603"/>
      <c r="B101" s="604"/>
      <c r="C101" s="604"/>
      <c r="D101" s="604"/>
      <c r="E101" s="604"/>
      <c r="F101" s="604"/>
      <c r="G101" s="604"/>
      <c r="H101" s="604"/>
      <c r="I101" s="604"/>
      <c r="J101" s="604"/>
      <c r="K101" s="604"/>
      <c r="L101" s="604"/>
      <c r="M101" s="604"/>
      <c r="N101" s="608"/>
      <c r="O101" s="605"/>
      <c r="P101" s="677"/>
    </row>
    <row r="102" spans="1:16" ht="15" customHeight="1" x14ac:dyDescent="0.3">
      <c r="A102" s="603"/>
      <c r="B102" s="604"/>
      <c r="C102" s="604"/>
      <c r="D102" s="604"/>
      <c r="E102" s="604"/>
      <c r="F102" s="604"/>
      <c r="G102" s="604"/>
      <c r="H102" s="604"/>
      <c r="I102" s="604"/>
      <c r="J102" s="604"/>
      <c r="K102" s="604"/>
      <c r="L102" s="604"/>
      <c r="M102" s="604"/>
      <c r="N102" s="608"/>
      <c r="O102" s="605"/>
      <c r="P102" s="677"/>
    </row>
    <row r="103" spans="1:16" ht="15" customHeight="1" x14ac:dyDescent="0.3">
      <c r="A103" s="603"/>
      <c r="B103" s="604"/>
      <c r="C103" s="604"/>
      <c r="D103" s="604"/>
      <c r="E103" s="604"/>
      <c r="F103" s="604"/>
      <c r="G103" s="604"/>
      <c r="H103" s="604"/>
      <c r="I103" s="604"/>
      <c r="J103" s="604"/>
      <c r="K103" s="604"/>
      <c r="L103" s="604"/>
      <c r="M103" s="604"/>
      <c r="N103" s="608"/>
      <c r="O103" s="605"/>
      <c r="P103" s="677"/>
    </row>
    <row r="104" spans="1:16" ht="15" customHeight="1" x14ac:dyDescent="0.3">
      <c r="A104" s="603"/>
      <c r="B104" s="604"/>
      <c r="C104" s="604"/>
      <c r="D104" s="604"/>
      <c r="E104" s="604"/>
      <c r="F104" s="604"/>
      <c r="G104" s="604"/>
      <c r="H104" s="604"/>
      <c r="I104" s="604"/>
      <c r="J104" s="604"/>
      <c r="K104" s="604"/>
      <c r="L104" s="604"/>
      <c r="M104" s="604"/>
      <c r="N104" s="608"/>
      <c r="O104" s="605"/>
      <c r="P104" s="677"/>
    </row>
    <row r="105" spans="1:16" ht="15" customHeight="1" x14ac:dyDescent="0.3">
      <c r="A105" s="603"/>
      <c r="B105" s="604"/>
      <c r="C105" s="604"/>
      <c r="D105" s="604"/>
      <c r="E105" s="604"/>
      <c r="F105" s="604"/>
      <c r="G105" s="604"/>
      <c r="H105" s="604"/>
      <c r="I105" s="604"/>
      <c r="J105" s="604"/>
      <c r="K105" s="604"/>
      <c r="L105" s="604"/>
      <c r="M105" s="604"/>
      <c r="N105" s="608"/>
      <c r="O105" s="605"/>
      <c r="P105" s="677"/>
    </row>
    <row r="106" spans="1:16" ht="15" customHeight="1" x14ac:dyDescent="0.3">
      <c r="A106" s="603"/>
      <c r="B106" s="604"/>
      <c r="C106" s="604"/>
      <c r="D106" s="604"/>
      <c r="E106" s="604"/>
      <c r="F106" s="604"/>
      <c r="G106" s="604"/>
      <c r="H106" s="604"/>
      <c r="I106" s="604"/>
      <c r="J106" s="604"/>
      <c r="K106" s="604"/>
      <c r="L106" s="604"/>
      <c r="M106" s="604"/>
      <c r="N106" s="608"/>
      <c r="O106" s="605"/>
      <c r="P106" s="677"/>
    </row>
    <row r="107" spans="1:16" ht="15" customHeight="1" x14ac:dyDescent="0.3">
      <c r="A107" s="603"/>
      <c r="B107" s="604"/>
      <c r="C107" s="604"/>
      <c r="D107" s="604"/>
      <c r="E107" s="604"/>
      <c r="F107" s="604"/>
      <c r="G107" s="604"/>
      <c r="H107" s="604"/>
      <c r="I107" s="604"/>
      <c r="J107" s="604"/>
      <c r="K107" s="604"/>
      <c r="L107" s="604"/>
      <c r="M107" s="604"/>
      <c r="N107" s="608"/>
      <c r="O107" s="605"/>
      <c r="P107" s="677"/>
    </row>
    <row r="108" spans="1:16" ht="15" customHeight="1" x14ac:dyDescent="0.3">
      <c r="A108" s="603"/>
      <c r="B108" s="604"/>
      <c r="C108" s="604"/>
      <c r="D108" s="604"/>
      <c r="E108" s="604"/>
      <c r="F108" s="604"/>
      <c r="G108" s="604"/>
      <c r="H108" s="604"/>
      <c r="I108" s="604"/>
      <c r="J108" s="604"/>
      <c r="K108" s="604"/>
      <c r="L108" s="604"/>
      <c r="M108" s="604"/>
      <c r="N108" s="608"/>
      <c r="O108" s="605"/>
      <c r="P108" s="677"/>
    </row>
    <row r="109" spans="1:16" ht="15" customHeight="1" x14ac:dyDescent="0.3">
      <c r="A109" s="603"/>
      <c r="B109" s="604"/>
      <c r="C109" s="604"/>
      <c r="D109" s="604"/>
      <c r="E109" s="604"/>
      <c r="F109" s="604"/>
      <c r="G109" s="604"/>
      <c r="H109" s="604"/>
      <c r="I109" s="604"/>
      <c r="J109" s="604"/>
      <c r="K109" s="604"/>
      <c r="L109" s="604"/>
      <c r="M109" s="604"/>
      <c r="N109" s="608"/>
      <c r="O109" s="605"/>
      <c r="P109" s="677"/>
    </row>
    <row r="110" spans="1:16" ht="15" customHeight="1" x14ac:dyDescent="0.3">
      <c r="A110" s="603"/>
      <c r="B110" s="604"/>
      <c r="C110" s="604"/>
      <c r="D110" s="604"/>
      <c r="E110" s="604"/>
      <c r="F110" s="604"/>
      <c r="G110" s="604"/>
      <c r="H110" s="604"/>
      <c r="I110" s="604"/>
      <c r="J110" s="604"/>
      <c r="K110" s="604"/>
      <c r="L110" s="604"/>
      <c r="M110" s="604"/>
      <c r="N110" s="608"/>
      <c r="O110" s="605"/>
      <c r="P110" s="677"/>
    </row>
    <row r="111" spans="1:16" ht="15" customHeight="1" x14ac:dyDescent="0.3">
      <c r="A111" s="603"/>
      <c r="B111" s="604"/>
      <c r="C111" s="604"/>
      <c r="D111" s="604"/>
      <c r="E111" s="604"/>
      <c r="F111" s="604"/>
      <c r="G111" s="604"/>
      <c r="H111" s="604"/>
      <c r="I111" s="604"/>
      <c r="J111" s="604"/>
      <c r="K111" s="604"/>
      <c r="L111" s="604"/>
      <c r="M111" s="604"/>
      <c r="N111" s="608"/>
      <c r="O111" s="605"/>
      <c r="P111" s="677"/>
    </row>
    <row r="112" spans="1:16" ht="15" customHeight="1" x14ac:dyDescent="0.3">
      <c r="A112" s="603"/>
      <c r="B112" s="604"/>
      <c r="C112" s="604"/>
      <c r="D112" s="604"/>
      <c r="E112" s="604"/>
      <c r="F112" s="604"/>
      <c r="G112" s="604"/>
      <c r="H112" s="604"/>
      <c r="I112" s="604"/>
      <c r="J112" s="604"/>
      <c r="K112" s="604"/>
      <c r="L112" s="604"/>
      <c r="M112" s="604"/>
      <c r="N112" s="608"/>
      <c r="O112" s="605"/>
      <c r="P112" s="677"/>
    </row>
    <row r="113" spans="1:16" ht="15" customHeight="1" x14ac:dyDescent="0.3">
      <c r="A113" s="603"/>
      <c r="B113" s="604"/>
      <c r="C113" s="604"/>
      <c r="D113" s="604"/>
      <c r="E113" s="604"/>
      <c r="F113" s="604"/>
      <c r="G113" s="604"/>
      <c r="H113" s="604"/>
      <c r="I113" s="604"/>
      <c r="J113" s="604"/>
      <c r="K113" s="604"/>
      <c r="L113" s="604"/>
      <c r="M113" s="604"/>
      <c r="N113" s="608"/>
      <c r="O113" s="605"/>
      <c r="P113" s="677"/>
    </row>
    <row r="114" spans="1:16" ht="15" customHeight="1" x14ac:dyDescent="0.3">
      <c r="A114" s="603"/>
      <c r="B114" s="604"/>
      <c r="C114" s="604"/>
      <c r="D114" s="604"/>
      <c r="E114" s="604"/>
      <c r="F114" s="604"/>
      <c r="G114" s="604"/>
      <c r="H114" s="604"/>
      <c r="I114" s="604"/>
      <c r="J114" s="604"/>
      <c r="K114" s="604"/>
      <c r="L114" s="604"/>
      <c r="M114" s="604"/>
      <c r="N114" s="608"/>
      <c r="O114" s="605"/>
      <c r="P114" s="677"/>
    </row>
    <row r="115" spans="1:16" ht="15" customHeight="1" x14ac:dyDescent="0.3">
      <c r="A115" s="603"/>
      <c r="B115" s="604"/>
      <c r="C115" s="604"/>
      <c r="D115" s="604"/>
      <c r="E115" s="604"/>
      <c r="F115" s="604"/>
      <c r="G115" s="604"/>
      <c r="H115" s="604"/>
      <c r="I115" s="604"/>
      <c r="J115" s="604"/>
      <c r="K115" s="604"/>
      <c r="L115" s="604"/>
      <c r="M115" s="604"/>
      <c r="N115" s="608"/>
      <c r="O115" s="605"/>
      <c r="P115" s="677"/>
    </row>
    <row r="116" spans="1:16" ht="15" customHeight="1" x14ac:dyDescent="0.3">
      <c r="A116" s="603"/>
      <c r="B116" s="604"/>
      <c r="C116" s="604"/>
      <c r="D116" s="604"/>
      <c r="E116" s="604"/>
      <c r="F116" s="604"/>
      <c r="G116" s="604"/>
      <c r="H116" s="604"/>
      <c r="I116" s="604"/>
      <c r="J116" s="604"/>
      <c r="K116" s="604"/>
      <c r="L116" s="604"/>
      <c r="M116" s="604"/>
      <c r="N116" s="608"/>
      <c r="O116" s="605"/>
      <c r="P116" s="677"/>
    </row>
    <row r="117" spans="1:16" ht="15" customHeight="1" x14ac:dyDescent="0.3">
      <c r="A117" s="603"/>
      <c r="B117" s="604"/>
      <c r="C117" s="604"/>
      <c r="D117" s="604"/>
      <c r="E117" s="604"/>
      <c r="F117" s="604"/>
      <c r="G117" s="604"/>
      <c r="H117" s="604"/>
      <c r="I117" s="604"/>
      <c r="J117" s="604"/>
      <c r="K117" s="604"/>
      <c r="L117" s="604"/>
      <c r="M117" s="604"/>
      <c r="N117" s="608"/>
      <c r="O117" s="605"/>
      <c r="P117" s="677"/>
    </row>
    <row r="118" spans="1:16" ht="15" customHeight="1" x14ac:dyDescent="0.3">
      <c r="A118" s="603"/>
      <c r="B118" s="604"/>
      <c r="C118" s="604"/>
      <c r="D118" s="604"/>
      <c r="E118" s="604"/>
      <c r="F118" s="604"/>
      <c r="G118" s="604"/>
      <c r="H118" s="604"/>
      <c r="I118" s="604"/>
      <c r="J118" s="604"/>
      <c r="K118" s="604"/>
      <c r="L118" s="604"/>
      <c r="M118" s="604"/>
      <c r="N118" s="608"/>
      <c r="O118" s="605"/>
      <c r="P118" s="677"/>
    </row>
    <row r="119" spans="1:16" ht="15" customHeight="1" x14ac:dyDescent="0.3">
      <c r="A119" s="603"/>
      <c r="B119" s="604"/>
      <c r="C119" s="604"/>
      <c r="D119" s="604"/>
      <c r="E119" s="604"/>
      <c r="F119" s="604"/>
      <c r="G119" s="604"/>
      <c r="H119" s="604"/>
      <c r="I119" s="604"/>
      <c r="J119" s="604"/>
      <c r="K119" s="604"/>
      <c r="L119" s="604"/>
      <c r="M119" s="604"/>
      <c r="N119" s="609"/>
      <c r="O119" s="605"/>
      <c r="P119" s="677"/>
    </row>
    <row r="120" spans="1:16" ht="15" customHeight="1" x14ac:dyDescent="0.3">
      <c r="A120" s="603">
        <v>6</v>
      </c>
      <c r="B120" s="604"/>
      <c r="C120" s="604"/>
      <c r="D120" s="604"/>
      <c r="E120" s="604"/>
      <c r="F120" s="604"/>
      <c r="G120" s="604"/>
      <c r="H120" s="604"/>
      <c r="I120" s="604"/>
      <c r="J120" s="604"/>
      <c r="K120" s="604"/>
      <c r="L120" s="604"/>
      <c r="M120" s="604"/>
      <c r="N120" s="607" t="s">
        <v>213</v>
      </c>
      <c r="O120" s="605" t="str">
        <f>VLOOKUP(A120,'LISTA DE OFERENTES'!$A$6:$B$38,2,FALSE)</f>
        <v>UNION TEMPORAL TUNAL 2022</v>
      </c>
      <c r="P120" s="676" t="s">
        <v>640</v>
      </c>
    </row>
    <row r="121" spans="1:16" ht="15" customHeight="1" x14ac:dyDescent="0.3">
      <c r="A121" s="603"/>
      <c r="B121" s="604"/>
      <c r="C121" s="604"/>
      <c r="D121" s="604"/>
      <c r="E121" s="604"/>
      <c r="F121" s="604"/>
      <c r="G121" s="604"/>
      <c r="H121" s="604"/>
      <c r="I121" s="604"/>
      <c r="J121" s="604"/>
      <c r="K121" s="604"/>
      <c r="L121" s="604"/>
      <c r="M121" s="604"/>
      <c r="N121" s="608"/>
      <c r="O121" s="605"/>
      <c r="P121" s="677"/>
    </row>
    <row r="122" spans="1:16" ht="15" customHeight="1" x14ac:dyDescent="0.3">
      <c r="A122" s="603"/>
      <c r="B122" s="604"/>
      <c r="C122" s="604"/>
      <c r="D122" s="604"/>
      <c r="E122" s="604"/>
      <c r="F122" s="604"/>
      <c r="G122" s="604"/>
      <c r="H122" s="604"/>
      <c r="I122" s="604"/>
      <c r="J122" s="604"/>
      <c r="K122" s="604"/>
      <c r="L122" s="604"/>
      <c r="M122" s="604"/>
      <c r="N122" s="608"/>
      <c r="O122" s="605"/>
      <c r="P122" s="677"/>
    </row>
    <row r="123" spans="1:16" ht="15" customHeight="1" x14ac:dyDescent="0.3">
      <c r="A123" s="603"/>
      <c r="B123" s="604"/>
      <c r="C123" s="604"/>
      <c r="D123" s="604"/>
      <c r="E123" s="604"/>
      <c r="F123" s="604"/>
      <c r="G123" s="604"/>
      <c r="H123" s="604"/>
      <c r="I123" s="604"/>
      <c r="J123" s="604"/>
      <c r="K123" s="604"/>
      <c r="L123" s="604"/>
      <c r="M123" s="604"/>
      <c r="N123" s="608"/>
      <c r="O123" s="605"/>
      <c r="P123" s="677"/>
    </row>
    <row r="124" spans="1:16" ht="15" customHeight="1" x14ac:dyDescent="0.3">
      <c r="A124" s="603"/>
      <c r="B124" s="604"/>
      <c r="C124" s="604"/>
      <c r="D124" s="604"/>
      <c r="E124" s="604"/>
      <c r="F124" s="604"/>
      <c r="G124" s="604"/>
      <c r="H124" s="604"/>
      <c r="I124" s="604"/>
      <c r="J124" s="604"/>
      <c r="K124" s="604"/>
      <c r="L124" s="604"/>
      <c r="M124" s="604"/>
      <c r="N124" s="608"/>
      <c r="O124" s="605"/>
      <c r="P124" s="677"/>
    </row>
    <row r="125" spans="1:16" ht="15" customHeight="1" x14ac:dyDescent="0.3">
      <c r="A125" s="603"/>
      <c r="B125" s="604"/>
      <c r="C125" s="604"/>
      <c r="D125" s="604"/>
      <c r="E125" s="604"/>
      <c r="F125" s="604"/>
      <c r="G125" s="604"/>
      <c r="H125" s="604"/>
      <c r="I125" s="604"/>
      <c r="J125" s="604"/>
      <c r="K125" s="604"/>
      <c r="L125" s="604"/>
      <c r="M125" s="604"/>
      <c r="N125" s="608"/>
      <c r="O125" s="605"/>
      <c r="P125" s="677"/>
    </row>
    <row r="126" spans="1:16" ht="15" customHeight="1" x14ac:dyDescent="0.3">
      <c r="A126" s="603"/>
      <c r="B126" s="604"/>
      <c r="C126" s="604"/>
      <c r="D126" s="604"/>
      <c r="E126" s="604"/>
      <c r="F126" s="604"/>
      <c r="G126" s="604"/>
      <c r="H126" s="604"/>
      <c r="I126" s="604"/>
      <c r="J126" s="604"/>
      <c r="K126" s="604"/>
      <c r="L126" s="604"/>
      <c r="M126" s="604"/>
      <c r="N126" s="608"/>
      <c r="O126" s="605"/>
      <c r="P126" s="677"/>
    </row>
    <row r="127" spans="1:16" ht="15" customHeight="1" x14ac:dyDescent="0.3">
      <c r="A127" s="603"/>
      <c r="B127" s="604"/>
      <c r="C127" s="604"/>
      <c r="D127" s="604"/>
      <c r="E127" s="604"/>
      <c r="F127" s="604"/>
      <c r="G127" s="604"/>
      <c r="H127" s="604"/>
      <c r="I127" s="604"/>
      <c r="J127" s="604"/>
      <c r="K127" s="604"/>
      <c r="L127" s="604"/>
      <c r="M127" s="604"/>
      <c r="N127" s="608"/>
      <c r="O127" s="605"/>
      <c r="P127" s="677"/>
    </row>
    <row r="128" spans="1:16" ht="15" customHeight="1" x14ac:dyDescent="0.3">
      <c r="A128" s="603"/>
      <c r="B128" s="604"/>
      <c r="C128" s="604"/>
      <c r="D128" s="604"/>
      <c r="E128" s="604"/>
      <c r="F128" s="604"/>
      <c r="G128" s="604"/>
      <c r="H128" s="604"/>
      <c r="I128" s="604"/>
      <c r="J128" s="604"/>
      <c r="K128" s="604"/>
      <c r="L128" s="604"/>
      <c r="M128" s="604"/>
      <c r="N128" s="608"/>
      <c r="O128" s="605"/>
      <c r="P128" s="677"/>
    </row>
    <row r="129" spans="1:16" ht="15" customHeight="1" x14ac:dyDescent="0.3">
      <c r="A129" s="603"/>
      <c r="B129" s="604"/>
      <c r="C129" s="604"/>
      <c r="D129" s="604"/>
      <c r="E129" s="604"/>
      <c r="F129" s="604"/>
      <c r="G129" s="604"/>
      <c r="H129" s="604"/>
      <c r="I129" s="604"/>
      <c r="J129" s="604"/>
      <c r="K129" s="604"/>
      <c r="L129" s="604"/>
      <c r="M129" s="604"/>
      <c r="N129" s="608"/>
      <c r="O129" s="605"/>
      <c r="P129" s="677"/>
    </row>
    <row r="130" spans="1:16" ht="15" customHeight="1" x14ac:dyDescent="0.3">
      <c r="A130" s="603"/>
      <c r="B130" s="604"/>
      <c r="C130" s="604"/>
      <c r="D130" s="604"/>
      <c r="E130" s="604"/>
      <c r="F130" s="604"/>
      <c r="G130" s="604"/>
      <c r="H130" s="604"/>
      <c r="I130" s="604"/>
      <c r="J130" s="604"/>
      <c r="K130" s="604"/>
      <c r="L130" s="604"/>
      <c r="M130" s="604"/>
      <c r="N130" s="608"/>
      <c r="O130" s="605"/>
      <c r="P130" s="677"/>
    </row>
    <row r="131" spans="1:16" ht="15" customHeight="1" x14ac:dyDescent="0.3">
      <c r="A131" s="603"/>
      <c r="B131" s="604"/>
      <c r="C131" s="604"/>
      <c r="D131" s="604"/>
      <c r="E131" s="604"/>
      <c r="F131" s="604"/>
      <c r="G131" s="604"/>
      <c r="H131" s="604"/>
      <c r="I131" s="604"/>
      <c r="J131" s="604"/>
      <c r="K131" s="604"/>
      <c r="L131" s="604"/>
      <c r="M131" s="604"/>
      <c r="N131" s="608"/>
      <c r="O131" s="605"/>
      <c r="P131" s="677"/>
    </row>
    <row r="132" spans="1:16" ht="15" customHeight="1" x14ac:dyDescent="0.3">
      <c r="A132" s="603"/>
      <c r="B132" s="604"/>
      <c r="C132" s="604"/>
      <c r="D132" s="604"/>
      <c r="E132" s="604"/>
      <c r="F132" s="604"/>
      <c r="G132" s="604"/>
      <c r="H132" s="604"/>
      <c r="I132" s="604"/>
      <c r="J132" s="604"/>
      <c r="K132" s="604"/>
      <c r="L132" s="604"/>
      <c r="M132" s="604"/>
      <c r="N132" s="608"/>
      <c r="O132" s="605"/>
      <c r="P132" s="677"/>
    </row>
    <row r="133" spans="1:16" ht="15" customHeight="1" x14ac:dyDescent="0.3">
      <c r="A133" s="603"/>
      <c r="B133" s="604"/>
      <c r="C133" s="604"/>
      <c r="D133" s="604"/>
      <c r="E133" s="604"/>
      <c r="F133" s="604"/>
      <c r="G133" s="604"/>
      <c r="H133" s="604"/>
      <c r="I133" s="604"/>
      <c r="J133" s="604"/>
      <c r="K133" s="604"/>
      <c r="L133" s="604"/>
      <c r="M133" s="604"/>
      <c r="N133" s="608"/>
      <c r="O133" s="605"/>
      <c r="P133" s="677"/>
    </row>
    <row r="134" spans="1:16" ht="15" customHeight="1" x14ac:dyDescent="0.3">
      <c r="A134" s="603"/>
      <c r="B134" s="604"/>
      <c r="C134" s="604"/>
      <c r="D134" s="604"/>
      <c r="E134" s="604"/>
      <c r="F134" s="604"/>
      <c r="G134" s="604"/>
      <c r="H134" s="604"/>
      <c r="I134" s="604"/>
      <c r="J134" s="604"/>
      <c r="K134" s="604"/>
      <c r="L134" s="604"/>
      <c r="M134" s="604"/>
      <c r="N134" s="608"/>
      <c r="O134" s="605"/>
      <c r="P134" s="677"/>
    </row>
    <row r="135" spans="1:16" ht="15" customHeight="1" x14ac:dyDescent="0.3">
      <c r="A135" s="603"/>
      <c r="B135" s="604"/>
      <c r="C135" s="604"/>
      <c r="D135" s="604"/>
      <c r="E135" s="604"/>
      <c r="F135" s="604"/>
      <c r="G135" s="604"/>
      <c r="H135" s="604"/>
      <c r="I135" s="604"/>
      <c r="J135" s="604"/>
      <c r="K135" s="604"/>
      <c r="L135" s="604"/>
      <c r="M135" s="604"/>
      <c r="N135" s="608"/>
      <c r="O135" s="605"/>
      <c r="P135" s="677"/>
    </row>
    <row r="136" spans="1:16" ht="15" customHeight="1" x14ac:dyDescent="0.3">
      <c r="A136" s="603"/>
      <c r="B136" s="604"/>
      <c r="C136" s="604"/>
      <c r="D136" s="604"/>
      <c r="E136" s="604"/>
      <c r="F136" s="604"/>
      <c r="G136" s="604"/>
      <c r="H136" s="604"/>
      <c r="I136" s="604"/>
      <c r="J136" s="604"/>
      <c r="K136" s="604"/>
      <c r="L136" s="604"/>
      <c r="M136" s="604"/>
      <c r="N136" s="608"/>
      <c r="O136" s="605"/>
      <c r="P136" s="677"/>
    </row>
    <row r="137" spans="1:16" ht="15" customHeight="1" x14ac:dyDescent="0.3">
      <c r="A137" s="603"/>
      <c r="B137" s="604"/>
      <c r="C137" s="604"/>
      <c r="D137" s="604"/>
      <c r="E137" s="604"/>
      <c r="F137" s="604"/>
      <c r="G137" s="604"/>
      <c r="H137" s="604"/>
      <c r="I137" s="604"/>
      <c r="J137" s="604"/>
      <c r="K137" s="604"/>
      <c r="L137" s="604"/>
      <c r="M137" s="604"/>
      <c r="N137" s="608"/>
      <c r="O137" s="605"/>
      <c r="P137" s="677"/>
    </row>
    <row r="138" spans="1:16" ht="15" customHeight="1" x14ac:dyDescent="0.3">
      <c r="A138" s="603"/>
      <c r="B138" s="604"/>
      <c r="C138" s="604"/>
      <c r="D138" s="604"/>
      <c r="E138" s="604"/>
      <c r="F138" s="604"/>
      <c r="G138" s="604"/>
      <c r="H138" s="604"/>
      <c r="I138" s="604"/>
      <c r="J138" s="604"/>
      <c r="K138" s="604"/>
      <c r="L138" s="604"/>
      <c r="M138" s="604"/>
      <c r="N138" s="608"/>
      <c r="O138" s="605"/>
      <c r="P138" s="677"/>
    </row>
    <row r="139" spans="1:16" ht="15" customHeight="1" x14ac:dyDescent="0.3">
      <c r="A139" s="603"/>
      <c r="B139" s="604"/>
      <c r="C139" s="604"/>
      <c r="D139" s="604"/>
      <c r="E139" s="604"/>
      <c r="F139" s="604"/>
      <c r="G139" s="604"/>
      <c r="H139" s="604"/>
      <c r="I139" s="604"/>
      <c r="J139" s="604"/>
      <c r="K139" s="604"/>
      <c r="L139" s="604"/>
      <c r="M139" s="604"/>
      <c r="N139" s="608"/>
      <c r="O139" s="605"/>
      <c r="P139" s="677"/>
    </row>
    <row r="140" spans="1:16" ht="15" customHeight="1" x14ac:dyDescent="0.3">
      <c r="A140" s="603"/>
      <c r="B140" s="604"/>
      <c r="C140" s="604"/>
      <c r="D140" s="604"/>
      <c r="E140" s="604"/>
      <c r="F140" s="604"/>
      <c r="G140" s="604"/>
      <c r="H140" s="604"/>
      <c r="I140" s="604"/>
      <c r="J140" s="604"/>
      <c r="K140" s="604"/>
      <c r="L140" s="604"/>
      <c r="M140" s="604"/>
      <c r="N140" s="608"/>
      <c r="O140" s="605"/>
      <c r="P140" s="677"/>
    </row>
    <row r="141" spans="1:16" ht="15" customHeight="1" x14ac:dyDescent="0.3">
      <c r="A141" s="603"/>
      <c r="B141" s="604"/>
      <c r="C141" s="604"/>
      <c r="D141" s="604"/>
      <c r="E141" s="604"/>
      <c r="F141" s="604"/>
      <c r="G141" s="604"/>
      <c r="H141" s="604"/>
      <c r="I141" s="604"/>
      <c r="J141" s="604"/>
      <c r="K141" s="604"/>
      <c r="L141" s="604"/>
      <c r="M141" s="604"/>
      <c r="N141" s="608"/>
      <c r="O141" s="605"/>
      <c r="P141" s="677"/>
    </row>
    <row r="142" spans="1:16" ht="15.75" customHeight="1" x14ac:dyDescent="0.3">
      <c r="A142" s="603"/>
      <c r="B142" s="604"/>
      <c r="C142" s="604"/>
      <c r="D142" s="604"/>
      <c r="E142" s="604"/>
      <c r="F142" s="604"/>
      <c r="G142" s="604"/>
      <c r="H142" s="604"/>
      <c r="I142" s="604"/>
      <c r="J142" s="604"/>
      <c r="K142" s="604"/>
      <c r="L142" s="604"/>
      <c r="M142" s="604"/>
      <c r="N142" s="609"/>
      <c r="O142" s="605"/>
      <c r="P142" s="677"/>
    </row>
    <row r="143" spans="1:16" ht="15" customHeight="1" x14ac:dyDescent="0.3">
      <c r="A143" s="603">
        <v>7</v>
      </c>
      <c r="B143" s="604"/>
      <c r="C143" s="604"/>
      <c r="D143" s="604"/>
      <c r="E143" s="604"/>
      <c r="F143" s="604"/>
      <c r="G143" s="604"/>
      <c r="H143" s="604"/>
      <c r="I143" s="604"/>
      <c r="J143" s="604"/>
      <c r="K143" s="604"/>
      <c r="L143" s="604"/>
      <c r="M143" s="604"/>
      <c r="N143" s="607" t="s">
        <v>213</v>
      </c>
      <c r="O143" s="605" t="str">
        <f>VLOOKUP(A143,'LISTA DE OFERENTES'!$A$6:$B$38,2,FALSE)</f>
        <v>CONSORCIO TUNJUELO 2022</v>
      </c>
      <c r="P143" s="676" t="s">
        <v>640</v>
      </c>
    </row>
    <row r="144" spans="1:16" ht="15" customHeight="1" x14ac:dyDescent="0.3">
      <c r="A144" s="603"/>
      <c r="B144" s="604"/>
      <c r="C144" s="604"/>
      <c r="D144" s="604"/>
      <c r="E144" s="604"/>
      <c r="F144" s="604"/>
      <c r="G144" s="604"/>
      <c r="H144" s="604"/>
      <c r="I144" s="604"/>
      <c r="J144" s="604"/>
      <c r="K144" s="604"/>
      <c r="L144" s="604"/>
      <c r="M144" s="604"/>
      <c r="N144" s="608"/>
      <c r="O144" s="605"/>
      <c r="P144" s="677"/>
    </row>
    <row r="145" spans="1:16" ht="15" customHeight="1" x14ac:dyDescent="0.3">
      <c r="A145" s="603"/>
      <c r="B145" s="604"/>
      <c r="C145" s="604"/>
      <c r="D145" s="604"/>
      <c r="E145" s="604"/>
      <c r="F145" s="604"/>
      <c r="G145" s="604"/>
      <c r="H145" s="604"/>
      <c r="I145" s="604"/>
      <c r="J145" s="604"/>
      <c r="K145" s="604"/>
      <c r="L145" s="604"/>
      <c r="M145" s="604"/>
      <c r="N145" s="608"/>
      <c r="O145" s="605"/>
      <c r="P145" s="677"/>
    </row>
    <row r="146" spans="1:16" ht="15" customHeight="1" x14ac:dyDescent="0.3">
      <c r="A146" s="603"/>
      <c r="B146" s="604"/>
      <c r="C146" s="604"/>
      <c r="D146" s="604"/>
      <c r="E146" s="604"/>
      <c r="F146" s="604"/>
      <c r="G146" s="604"/>
      <c r="H146" s="604"/>
      <c r="I146" s="604"/>
      <c r="J146" s="604"/>
      <c r="K146" s="604"/>
      <c r="L146" s="604"/>
      <c r="M146" s="604"/>
      <c r="N146" s="608"/>
      <c r="O146" s="605"/>
      <c r="P146" s="677"/>
    </row>
    <row r="147" spans="1:16" ht="15" customHeight="1" x14ac:dyDescent="0.3">
      <c r="A147" s="603"/>
      <c r="B147" s="604"/>
      <c r="C147" s="604"/>
      <c r="D147" s="604"/>
      <c r="E147" s="604"/>
      <c r="F147" s="604"/>
      <c r="G147" s="604"/>
      <c r="H147" s="604"/>
      <c r="I147" s="604"/>
      <c r="J147" s="604"/>
      <c r="K147" s="604"/>
      <c r="L147" s="604"/>
      <c r="M147" s="604"/>
      <c r="N147" s="608"/>
      <c r="O147" s="605"/>
      <c r="P147" s="677"/>
    </row>
    <row r="148" spans="1:16" ht="15" customHeight="1" x14ac:dyDescent="0.3">
      <c r="A148" s="603"/>
      <c r="B148" s="604"/>
      <c r="C148" s="604"/>
      <c r="D148" s="604"/>
      <c r="E148" s="604"/>
      <c r="F148" s="604"/>
      <c r="G148" s="604"/>
      <c r="H148" s="604"/>
      <c r="I148" s="604"/>
      <c r="J148" s="604"/>
      <c r="K148" s="604"/>
      <c r="L148" s="604"/>
      <c r="M148" s="604"/>
      <c r="N148" s="608"/>
      <c r="O148" s="605"/>
      <c r="P148" s="677"/>
    </row>
    <row r="149" spans="1:16" ht="15" customHeight="1" x14ac:dyDescent="0.3">
      <c r="A149" s="603"/>
      <c r="B149" s="604"/>
      <c r="C149" s="604"/>
      <c r="D149" s="604"/>
      <c r="E149" s="604"/>
      <c r="F149" s="604"/>
      <c r="G149" s="604"/>
      <c r="H149" s="604"/>
      <c r="I149" s="604"/>
      <c r="J149" s="604"/>
      <c r="K149" s="604"/>
      <c r="L149" s="604"/>
      <c r="M149" s="604"/>
      <c r="N149" s="608"/>
      <c r="O149" s="605"/>
      <c r="P149" s="677"/>
    </row>
    <row r="150" spans="1:16" ht="15" customHeight="1" x14ac:dyDescent="0.3">
      <c r="A150" s="603"/>
      <c r="B150" s="604"/>
      <c r="C150" s="604"/>
      <c r="D150" s="604"/>
      <c r="E150" s="604"/>
      <c r="F150" s="604"/>
      <c r="G150" s="604"/>
      <c r="H150" s="604"/>
      <c r="I150" s="604"/>
      <c r="J150" s="604"/>
      <c r="K150" s="604"/>
      <c r="L150" s="604"/>
      <c r="M150" s="604"/>
      <c r="N150" s="608"/>
      <c r="O150" s="605"/>
      <c r="P150" s="677"/>
    </row>
    <row r="151" spans="1:16" ht="15" customHeight="1" x14ac:dyDescent="0.3">
      <c r="A151" s="603"/>
      <c r="B151" s="604"/>
      <c r="C151" s="604"/>
      <c r="D151" s="604"/>
      <c r="E151" s="604"/>
      <c r="F151" s="604"/>
      <c r="G151" s="604"/>
      <c r="H151" s="604"/>
      <c r="I151" s="604"/>
      <c r="J151" s="604"/>
      <c r="K151" s="604"/>
      <c r="L151" s="604"/>
      <c r="M151" s="604"/>
      <c r="N151" s="608"/>
      <c r="O151" s="605"/>
      <c r="P151" s="677"/>
    </row>
    <row r="152" spans="1:16" ht="15" customHeight="1" x14ac:dyDescent="0.3">
      <c r="A152" s="603"/>
      <c r="B152" s="604"/>
      <c r="C152" s="604"/>
      <c r="D152" s="604"/>
      <c r="E152" s="604"/>
      <c r="F152" s="604"/>
      <c r="G152" s="604"/>
      <c r="H152" s="604"/>
      <c r="I152" s="604"/>
      <c r="J152" s="604"/>
      <c r="K152" s="604"/>
      <c r="L152" s="604"/>
      <c r="M152" s="604"/>
      <c r="N152" s="608"/>
      <c r="O152" s="605"/>
      <c r="P152" s="677"/>
    </row>
    <row r="153" spans="1:16" ht="15" customHeight="1" x14ac:dyDescent="0.3">
      <c r="A153" s="603"/>
      <c r="B153" s="604"/>
      <c r="C153" s="604"/>
      <c r="D153" s="604"/>
      <c r="E153" s="604"/>
      <c r="F153" s="604"/>
      <c r="G153" s="604"/>
      <c r="H153" s="604"/>
      <c r="I153" s="604"/>
      <c r="J153" s="604"/>
      <c r="K153" s="604"/>
      <c r="L153" s="604"/>
      <c r="M153" s="604"/>
      <c r="N153" s="608"/>
      <c r="O153" s="605"/>
      <c r="P153" s="677"/>
    </row>
    <row r="154" spans="1:16" ht="15" customHeight="1" x14ac:dyDescent="0.3">
      <c r="A154" s="603"/>
      <c r="B154" s="604"/>
      <c r="C154" s="604"/>
      <c r="D154" s="604"/>
      <c r="E154" s="604"/>
      <c r="F154" s="604"/>
      <c r="G154" s="604"/>
      <c r="H154" s="604"/>
      <c r="I154" s="604"/>
      <c r="J154" s="604"/>
      <c r="K154" s="604"/>
      <c r="L154" s="604"/>
      <c r="M154" s="604"/>
      <c r="N154" s="608"/>
      <c r="O154" s="605"/>
      <c r="P154" s="677"/>
    </row>
    <row r="155" spans="1:16" ht="15" customHeight="1" x14ac:dyDescent="0.3">
      <c r="A155" s="603"/>
      <c r="B155" s="604"/>
      <c r="C155" s="604"/>
      <c r="D155" s="604"/>
      <c r="E155" s="604"/>
      <c r="F155" s="604"/>
      <c r="G155" s="604"/>
      <c r="H155" s="604"/>
      <c r="I155" s="604"/>
      <c r="J155" s="604"/>
      <c r="K155" s="604"/>
      <c r="L155" s="604"/>
      <c r="M155" s="604"/>
      <c r="N155" s="608"/>
      <c r="O155" s="605"/>
      <c r="P155" s="677"/>
    </row>
    <row r="156" spans="1:16" ht="15" customHeight="1" x14ac:dyDescent="0.3">
      <c r="A156" s="603"/>
      <c r="B156" s="604"/>
      <c r="C156" s="604"/>
      <c r="D156" s="604"/>
      <c r="E156" s="604"/>
      <c r="F156" s="604"/>
      <c r="G156" s="604"/>
      <c r="H156" s="604"/>
      <c r="I156" s="604"/>
      <c r="J156" s="604"/>
      <c r="K156" s="604"/>
      <c r="L156" s="604"/>
      <c r="M156" s="604"/>
      <c r="N156" s="608"/>
      <c r="O156" s="605"/>
      <c r="P156" s="677"/>
    </row>
    <row r="157" spans="1:16" ht="15" customHeight="1" x14ac:dyDescent="0.3">
      <c r="A157" s="603"/>
      <c r="B157" s="604"/>
      <c r="C157" s="604"/>
      <c r="D157" s="604"/>
      <c r="E157" s="604"/>
      <c r="F157" s="604"/>
      <c r="G157" s="604"/>
      <c r="H157" s="604"/>
      <c r="I157" s="604"/>
      <c r="J157" s="604"/>
      <c r="K157" s="604"/>
      <c r="L157" s="604"/>
      <c r="M157" s="604"/>
      <c r="N157" s="608"/>
      <c r="O157" s="605"/>
      <c r="P157" s="677"/>
    </row>
    <row r="158" spans="1:16" ht="15" customHeight="1" x14ac:dyDescent="0.3">
      <c r="A158" s="603"/>
      <c r="B158" s="604"/>
      <c r="C158" s="604"/>
      <c r="D158" s="604"/>
      <c r="E158" s="604"/>
      <c r="F158" s="604"/>
      <c r="G158" s="604"/>
      <c r="H158" s="604"/>
      <c r="I158" s="604"/>
      <c r="J158" s="604"/>
      <c r="K158" s="604"/>
      <c r="L158" s="604"/>
      <c r="M158" s="604"/>
      <c r="N158" s="608"/>
      <c r="O158" s="605"/>
      <c r="P158" s="677"/>
    </row>
    <row r="159" spans="1:16" ht="15" customHeight="1" x14ac:dyDescent="0.3">
      <c r="A159" s="603"/>
      <c r="B159" s="604"/>
      <c r="C159" s="604"/>
      <c r="D159" s="604"/>
      <c r="E159" s="604"/>
      <c r="F159" s="604"/>
      <c r="G159" s="604"/>
      <c r="H159" s="604"/>
      <c r="I159" s="604"/>
      <c r="J159" s="604"/>
      <c r="K159" s="604"/>
      <c r="L159" s="604"/>
      <c r="M159" s="604"/>
      <c r="N159" s="608"/>
      <c r="O159" s="605"/>
      <c r="P159" s="677"/>
    </row>
    <row r="160" spans="1:16" ht="15" customHeight="1" x14ac:dyDescent="0.3">
      <c r="A160" s="603"/>
      <c r="B160" s="604"/>
      <c r="C160" s="604"/>
      <c r="D160" s="604"/>
      <c r="E160" s="604"/>
      <c r="F160" s="604"/>
      <c r="G160" s="604"/>
      <c r="H160" s="604"/>
      <c r="I160" s="604"/>
      <c r="J160" s="604"/>
      <c r="K160" s="604"/>
      <c r="L160" s="604"/>
      <c r="M160" s="604"/>
      <c r="N160" s="608"/>
      <c r="O160" s="605"/>
      <c r="P160" s="677"/>
    </row>
    <row r="161" spans="1:16" ht="15" customHeight="1" x14ac:dyDescent="0.3">
      <c r="A161" s="603"/>
      <c r="B161" s="604"/>
      <c r="C161" s="604"/>
      <c r="D161" s="604"/>
      <c r="E161" s="604"/>
      <c r="F161" s="604"/>
      <c r="G161" s="604"/>
      <c r="H161" s="604"/>
      <c r="I161" s="604"/>
      <c r="J161" s="604"/>
      <c r="K161" s="604"/>
      <c r="L161" s="604"/>
      <c r="M161" s="604"/>
      <c r="N161" s="608"/>
      <c r="O161" s="605"/>
      <c r="P161" s="677"/>
    </row>
    <row r="162" spans="1:16" ht="15" customHeight="1" x14ac:dyDescent="0.3">
      <c r="A162" s="603"/>
      <c r="B162" s="604"/>
      <c r="C162" s="604"/>
      <c r="D162" s="604"/>
      <c r="E162" s="604"/>
      <c r="F162" s="604"/>
      <c r="G162" s="604"/>
      <c r="H162" s="604"/>
      <c r="I162" s="604"/>
      <c r="J162" s="604"/>
      <c r="K162" s="604"/>
      <c r="L162" s="604"/>
      <c r="M162" s="604"/>
      <c r="N162" s="608"/>
      <c r="O162" s="605"/>
      <c r="P162" s="677"/>
    </row>
    <row r="163" spans="1:16" ht="15" customHeight="1" x14ac:dyDescent="0.3">
      <c r="A163" s="603"/>
      <c r="B163" s="604"/>
      <c r="C163" s="604"/>
      <c r="D163" s="604"/>
      <c r="E163" s="604"/>
      <c r="F163" s="604"/>
      <c r="G163" s="604"/>
      <c r="H163" s="604"/>
      <c r="I163" s="604"/>
      <c r="J163" s="604"/>
      <c r="K163" s="604"/>
      <c r="L163" s="604"/>
      <c r="M163" s="604"/>
      <c r="N163" s="608"/>
      <c r="O163" s="605"/>
      <c r="P163" s="677"/>
    </row>
    <row r="164" spans="1:16" ht="15" customHeight="1" x14ac:dyDescent="0.3">
      <c r="A164" s="603"/>
      <c r="B164" s="604"/>
      <c r="C164" s="604"/>
      <c r="D164" s="604"/>
      <c r="E164" s="604"/>
      <c r="F164" s="604"/>
      <c r="G164" s="604"/>
      <c r="H164" s="604"/>
      <c r="I164" s="604"/>
      <c r="J164" s="604"/>
      <c r="K164" s="604"/>
      <c r="L164" s="604"/>
      <c r="M164" s="604"/>
      <c r="N164" s="608"/>
      <c r="O164" s="605"/>
      <c r="P164" s="677"/>
    </row>
    <row r="165" spans="1:16" ht="15" customHeight="1" x14ac:dyDescent="0.3">
      <c r="A165" s="603"/>
      <c r="B165" s="604"/>
      <c r="C165" s="604"/>
      <c r="D165" s="604"/>
      <c r="E165" s="604"/>
      <c r="F165" s="604"/>
      <c r="G165" s="604"/>
      <c r="H165" s="604"/>
      <c r="I165" s="604"/>
      <c r="J165" s="604"/>
      <c r="K165" s="604"/>
      <c r="L165" s="604"/>
      <c r="M165" s="604"/>
      <c r="N165" s="609"/>
      <c r="O165" s="605"/>
      <c r="P165" s="677"/>
    </row>
    <row r="166" spans="1:16" ht="15" customHeight="1" x14ac:dyDescent="0.3">
      <c r="A166" s="603">
        <v>8</v>
      </c>
      <c r="B166" s="606"/>
      <c r="C166" s="606"/>
      <c r="D166" s="606"/>
      <c r="E166" s="606"/>
      <c r="F166" s="606"/>
      <c r="G166" s="606"/>
      <c r="H166" s="606"/>
      <c r="I166" s="606"/>
      <c r="J166" s="606"/>
      <c r="K166" s="606"/>
      <c r="L166" s="606"/>
      <c r="M166" s="606"/>
      <c r="N166" s="607" t="s">
        <v>213</v>
      </c>
      <c r="O166" s="605" t="str">
        <f>VLOOKUP(A166,'LISTA DE OFERENTES'!$A$6:$B$38,2,FALSE)</f>
        <v>CONSORCIO INGENIERÍA I</v>
      </c>
      <c r="P166" s="676" t="s">
        <v>640</v>
      </c>
    </row>
    <row r="167" spans="1:16" ht="15" customHeight="1" x14ac:dyDescent="0.3">
      <c r="A167" s="603"/>
      <c r="B167" s="606"/>
      <c r="C167" s="606"/>
      <c r="D167" s="606"/>
      <c r="E167" s="606"/>
      <c r="F167" s="606"/>
      <c r="G167" s="606"/>
      <c r="H167" s="606"/>
      <c r="I167" s="606"/>
      <c r="J167" s="606"/>
      <c r="K167" s="606"/>
      <c r="L167" s="606"/>
      <c r="M167" s="606"/>
      <c r="N167" s="608"/>
      <c r="O167" s="605"/>
      <c r="P167" s="677"/>
    </row>
    <row r="168" spans="1:16" ht="15" customHeight="1" x14ac:dyDescent="0.3">
      <c r="A168" s="603"/>
      <c r="B168" s="606"/>
      <c r="C168" s="606"/>
      <c r="D168" s="606"/>
      <c r="E168" s="606"/>
      <c r="F168" s="606"/>
      <c r="G168" s="606"/>
      <c r="H168" s="606"/>
      <c r="I168" s="606"/>
      <c r="J168" s="606"/>
      <c r="K168" s="606"/>
      <c r="L168" s="606"/>
      <c r="M168" s="606"/>
      <c r="N168" s="608"/>
      <c r="O168" s="605"/>
      <c r="P168" s="677"/>
    </row>
    <row r="169" spans="1:16" ht="15" customHeight="1" x14ac:dyDescent="0.3">
      <c r="A169" s="603"/>
      <c r="B169" s="606"/>
      <c r="C169" s="606"/>
      <c r="D169" s="606"/>
      <c r="E169" s="606"/>
      <c r="F169" s="606"/>
      <c r="G169" s="606"/>
      <c r="H169" s="606"/>
      <c r="I169" s="606"/>
      <c r="J169" s="606"/>
      <c r="K169" s="606"/>
      <c r="L169" s="606"/>
      <c r="M169" s="606"/>
      <c r="N169" s="608"/>
      <c r="O169" s="605"/>
      <c r="P169" s="677"/>
    </row>
    <row r="170" spans="1:16" ht="15" customHeight="1" x14ac:dyDescent="0.3">
      <c r="A170" s="603"/>
      <c r="B170" s="606"/>
      <c r="C170" s="606"/>
      <c r="D170" s="606"/>
      <c r="E170" s="606"/>
      <c r="F170" s="606"/>
      <c r="G170" s="606"/>
      <c r="H170" s="606"/>
      <c r="I170" s="606"/>
      <c r="J170" s="606"/>
      <c r="K170" s="606"/>
      <c r="L170" s="606"/>
      <c r="M170" s="606"/>
      <c r="N170" s="608"/>
      <c r="O170" s="605"/>
      <c r="P170" s="677"/>
    </row>
    <row r="171" spans="1:16" ht="15" customHeight="1" x14ac:dyDescent="0.3">
      <c r="A171" s="603"/>
      <c r="B171" s="606"/>
      <c r="C171" s="606"/>
      <c r="D171" s="606"/>
      <c r="E171" s="606"/>
      <c r="F171" s="606"/>
      <c r="G171" s="606"/>
      <c r="H171" s="606"/>
      <c r="I171" s="606"/>
      <c r="J171" s="606"/>
      <c r="K171" s="606"/>
      <c r="L171" s="606"/>
      <c r="M171" s="606"/>
      <c r="N171" s="608"/>
      <c r="O171" s="605"/>
      <c r="P171" s="677"/>
    </row>
    <row r="172" spans="1:16" ht="15" customHeight="1" x14ac:dyDescent="0.3">
      <c r="A172" s="603"/>
      <c r="B172" s="606"/>
      <c r="C172" s="606"/>
      <c r="D172" s="606"/>
      <c r="E172" s="606"/>
      <c r="F172" s="606"/>
      <c r="G172" s="606"/>
      <c r="H172" s="606"/>
      <c r="I172" s="606"/>
      <c r="J172" s="606"/>
      <c r="K172" s="606"/>
      <c r="L172" s="606"/>
      <c r="M172" s="606"/>
      <c r="N172" s="608"/>
      <c r="O172" s="605"/>
      <c r="P172" s="677"/>
    </row>
    <row r="173" spans="1:16" ht="15" customHeight="1" x14ac:dyDescent="0.3">
      <c r="A173" s="603"/>
      <c r="B173" s="606"/>
      <c r="C173" s="606"/>
      <c r="D173" s="606"/>
      <c r="E173" s="606"/>
      <c r="F173" s="606"/>
      <c r="G173" s="606"/>
      <c r="H173" s="606"/>
      <c r="I173" s="606"/>
      <c r="J173" s="606"/>
      <c r="K173" s="606"/>
      <c r="L173" s="606"/>
      <c r="M173" s="606"/>
      <c r="N173" s="608"/>
      <c r="O173" s="605"/>
      <c r="P173" s="677"/>
    </row>
    <row r="174" spans="1:16" ht="15" customHeight="1" x14ac:dyDescent="0.3">
      <c r="A174" s="603"/>
      <c r="B174" s="606"/>
      <c r="C174" s="606"/>
      <c r="D174" s="606"/>
      <c r="E174" s="606"/>
      <c r="F174" s="606"/>
      <c r="G174" s="606"/>
      <c r="H174" s="606"/>
      <c r="I174" s="606"/>
      <c r="J174" s="606"/>
      <c r="K174" s="606"/>
      <c r="L174" s="606"/>
      <c r="M174" s="606"/>
      <c r="N174" s="608"/>
      <c r="O174" s="605"/>
      <c r="P174" s="677"/>
    </row>
    <row r="175" spans="1:16" ht="15" customHeight="1" x14ac:dyDescent="0.3">
      <c r="A175" s="603"/>
      <c r="B175" s="606"/>
      <c r="C175" s="606"/>
      <c r="D175" s="606"/>
      <c r="E175" s="606"/>
      <c r="F175" s="606"/>
      <c r="G175" s="606"/>
      <c r="H175" s="606"/>
      <c r="I175" s="606"/>
      <c r="J175" s="606"/>
      <c r="K175" s="606"/>
      <c r="L175" s="606"/>
      <c r="M175" s="606"/>
      <c r="N175" s="608"/>
      <c r="O175" s="605"/>
      <c r="P175" s="677"/>
    </row>
    <row r="176" spans="1:16" ht="15" customHeight="1" x14ac:dyDescent="0.3">
      <c r="A176" s="603"/>
      <c r="B176" s="606"/>
      <c r="C176" s="606"/>
      <c r="D176" s="606"/>
      <c r="E176" s="606"/>
      <c r="F176" s="606"/>
      <c r="G176" s="606"/>
      <c r="H176" s="606"/>
      <c r="I176" s="606"/>
      <c r="J176" s="606"/>
      <c r="K176" s="606"/>
      <c r="L176" s="606"/>
      <c r="M176" s="606"/>
      <c r="N176" s="608"/>
      <c r="O176" s="605"/>
      <c r="P176" s="677"/>
    </row>
    <row r="177" spans="1:16" ht="15" customHeight="1" x14ac:dyDescent="0.3">
      <c r="A177" s="603"/>
      <c r="B177" s="606"/>
      <c r="C177" s="606"/>
      <c r="D177" s="606"/>
      <c r="E177" s="606"/>
      <c r="F177" s="606"/>
      <c r="G177" s="606"/>
      <c r="H177" s="606"/>
      <c r="I177" s="606"/>
      <c r="J177" s="606"/>
      <c r="K177" s="606"/>
      <c r="L177" s="606"/>
      <c r="M177" s="606"/>
      <c r="N177" s="608"/>
      <c r="O177" s="605"/>
      <c r="P177" s="677"/>
    </row>
    <row r="178" spans="1:16" ht="15" customHeight="1" x14ac:dyDescent="0.3">
      <c r="A178" s="603"/>
      <c r="B178" s="606"/>
      <c r="C178" s="606"/>
      <c r="D178" s="606"/>
      <c r="E178" s="606"/>
      <c r="F178" s="606"/>
      <c r="G178" s="606"/>
      <c r="H178" s="606"/>
      <c r="I178" s="606"/>
      <c r="J178" s="606"/>
      <c r="K178" s="606"/>
      <c r="L178" s="606"/>
      <c r="M178" s="606"/>
      <c r="N178" s="608"/>
      <c r="O178" s="605"/>
      <c r="P178" s="677"/>
    </row>
    <row r="179" spans="1:16" ht="15" customHeight="1" x14ac:dyDescent="0.3">
      <c r="A179" s="603"/>
      <c r="B179" s="606"/>
      <c r="C179" s="606"/>
      <c r="D179" s="606"/>
      <c r="E179" s="606"/>
      <c r="F179" s="606"/>
      <c r="G179" s="606"/>
      <c r="H179" s="606"/>
      <c r="I179" s="606"/>
      <c r="J179" s="606"/>
      <c r="K179" s="606"/>
      <c r="L179" s="606"/>
      <c r="M179" s="606"/>
      <c r="N179" s="608"/>
      <c r="O179" s="605"/>
      <c r="P179" s="677"/>
    </row>
    <row r="180" spans="1:16" ht="15" customHeight="1" x14ac:dyDescent="0.3">
      <c r="A180" s="603"/>
      <c r="B180" s="606"/>
      <c r="C180" s="606"/>
      <c r="D180" s="606"/>
      <c r="E180" s="606"/>
      <c r="F180" s="606"/>
      <c r="G180" s="606"/>
      <c r="H180" s="606"/>
      <c r="I180" s="606"/>
      <c r="J180" s="606"/>
      <c r="K180" s="606"/>
      <c r="L180" s="606"/>
      <c r="M180" s="606"/>
      <c r="N180" s="608"/>
      <c r="O180" s="605"/>
      <c r="P180" s="677"/>
    </row>
    <row r="181" spans="1:16" ht="15" customHeight="1" x14ac:dyDescent="0.3">
      <c r="A181" s="603"/>
      <c r="B181" s="606"/>
      <c r="C181" s="606"/>
      <c r="D181" s="606"/>
      <c r="E181" s="606"/>
      <c r="F181" s="606"/>
      <c r="G181" s="606"/>
      <c r="H181" s="606"/>
      <c r="I181" s="606"/>
      <c r="J181" s="606"/>
      <c r="K181" s="606"/>
      <c r="L181" s="606"/>
      <c r="M181" s="606"/>
      <c r="N181" s="608"/>
      <c r="O181" s="605"/>
      <c r="P181" s="677"/>
    </row>
    <row r="182" spans="1:16" ht="15" customHeight="1" x14ac:dyDescent="0.3">
      <c r="A182" s="603"/>
      <c r="B182" s="606"/>
      <c r="C182" s="606"/>
      <c r="D182" s="606"/>
      <c r="E182" s="606"/>
      <c r="F182" s="606"/>
      <c r="G182" s="606"/>
      <c r="H182" s="606"/>
      <c r="I182" s="606"/>
      <c r="J182" s="606"/>
      <c r="K182" s="606"/>
      <c r="L182" s="606"/>
      <c r="M182" s="606"/>
      <c r="N182" s="608"/>
      <c r="O182" s="605"/>
      <c r="P182" s="677"/>
    </row>
    <row r="183" spans="1:16" ht="15" customHeight="1" x14ac:dyDescent="0.3">
      <c r="A183" s="603"/>
      <c r="B183" s="606"/>
      <c r="C183" s="606"/>
      <c r="D183" s="606"/>
      <c r="E183" s="606"/>
      <c r="F183" s="606"/>
      <c r="G183" s="606"/>
      <c r="H183" s="606"/>
      <c r="I183" s="606"/>
      <c r="J183" s="606"/>
      <c r="K183" s="606"/>
      <c r="L183" s="606"/>
      <c r="M183" s="606"/>
      <c r="N183" s="608"/>
      <c r="O183" s="605"/>
      <c r="P183" s="677"/>
    </row>
    <row r="184" spans="1:16" ht="15" customHeight="1" x14ac:dyDescent="0.3">
      <c r="A184" s="603"/>
      <c r="B184" s="606"/>
      <c r="C184" s="606"/>
      <c r="D184" s="606"/>
      <c r="E184" s="606"/>
      <c r="F184" s="606"/>
      <c r="G184" s="606"/>
      <c r="H184" s="606"/>
      <c r="I184" s="606"/>
      <c r="J184" s="606"/>
      <c r="K184" s="606"/>
      <c r="L184" s="606"/>
      <c r="M184" s="606"/>
      <c r="N184" s="608"/>
      <c r="O184" s="605"/>
      <c r="P184" s="677"/>
    </row>
    <row r="185" spans="1:16" ht="15" customHeight="1" x14ac:dyDescent="0.3">
      <c r="A185" s="603"/>
      <c r="B185" s="606"/>
      <c r="C185" s="606"/>
      <c r="D185" s="606"/>
      <c r="E185" s="606"/>
      <c r="F185" s="606"/>
      <c r="G185" s="606"/>
      <c r="H185" s="606"/>
      <c r="I185" s="606"/>
      <c r="J185" s="606"/>
      <c r="K185" s="606"/>
      <c r="L185" s="606"/>
      <c r="M185" s="606"/>
      <c r="N185" s="608"/>
      <c r="O185" s="605"/>
      <c r="P185" s="677"/>
    </row>
    <row r="186" spans="1:16" ht="15" customHeight="1" x14ac:dyDescent="0.3">
      <c r="A186" s="603"/>
      <c r="B186" s="606"/>
      <c r="C186" s="606"/>
      <c r="D186" s="606"/>
      <c r="E186" s="606"/>
      <c r="F186" s="606"/>
      <c r="G186" s="606"/>
      <c r="H186" s="606"/>
      <c r="I186" s="606"/>
      <c r="J186" s="606"/>
      <c r="K186" s="606"/>
      <c r="L186" s="606"/>
      <c r="M186" s="606"/>
      <c r="N186" s="608"/>
      <c r="O186" s="605"/>
      <c r="P186" s="677"/>
    </row>
    <row r="187" spans="1:16" ht="15" customHeight="1" x14ac:dyDescent="0.3">
      <c r="A187" s="603"/>
      <c r="B187" s="606"/>
      <c r="C187" s="606"/>
      <c r="D187" s="606"/>
      <c r="E187" s="606"/>
      <c r="F187" s="606"/>
      <c r="G187" s="606"/>
      <c r="H187" s="606"/>
      <c r="I187" s="606"/>
      <c r="J187" s="606"/>
      <c r="K187" s="606"/>
      <c r="L187" s="606"/>
      <c r="M187" s="606"/>
      <c r="N187" s="608"/>
      <c r="O187" s="605"/>
      <c r="P187" s="677"/>
    </row>
    <row r="188" spans="1:16" ht="15" customHeight="1" x14ac:dyDescent="0.3">
      <c r="A188" s="603"/>
      <c r="B188" s="606"/>
      <c r="C188" s="606"/>
      <c r="D188" s="606"/>
      <c r="E188" s="606"/>
      <c r="F188" s="606"/>
      <c r="G188" s="606"/>
      <c r="H188" s="606"/>
      <c r="I188" s="606"/>
      <c r="J188" s="606"/>
      <c r="K188" s="606"/>
      <c r="L188" s="606"/>
      <c r="M188" s="606"/>
      <c r="N188" s="609"/>
      <c r="O188" s="605"/>
      <c r="P188" s="677"/>
    </row>
    <row r="189" spans="1:16" ht="15" customHeight="1" x14ac:dyDescent="0.3">
      <c r="A189" s="603">
        <v>9</v>
      </c>
      <c r="B189" s="606"/>
      <c r="C189" s="606"/>
      <c r="D189" s="606"/>
      <c r="E189" s="606"/>
      <c r="F189" s="606"/>
      <c r="G189" s="606"/>
      <c r="H189" s="606"/>
      <c r="I189" s="606"/>
      <c r="J189" s="606"/>
      <c r="K189" s="606"/>
      <c r="L189" s="606"/>
      <c r="M189" s="606"/>
      <c r="N189" s="607" t="s">
        <v>213</v>
      </c>
      <c r="O189" s="605" t="str">
        <f>VLOOKUP(A189,'LISTA DE OFERENTES'!$A$6:$B$38,2,FALSE)</f>
        <v>UNIÓN TEMPORAL BCC PARQUES BOGOTA 2022</v>
      </c>
      <c r="P189" s="676" t="s">
        <v>643</v>
      </c>
    </row>
    <row r="190" spans="1:16" ht="15" customHeight="1" x14ac:dyDescent="0.3">
      <c r="A190" s="603"/>
      <c r="B190" s="606"/>
      <c r="C190" s="606"/>
      <c r="D190" s="606"/>
      <c r="E190" s="606"/>
      <c r="F190" s="606"/>
      <c r="G190" s="606"/>
      <c r="H190" s="606"/>
      <c r="I190" s="606"/>
      <c r="J190" s="606"/>
      <c r="K190" s="606"/>
      <c r="L190" s="606"/>
      <c r="M190" s="606"/>
      <c r="N190" s="608"/>
      <c r="O190" s="605"/>
      <c r="P190" s="677"/>
    </row>
    <row r="191" spans="1:16" ht="15" customHeight="1" x14ac:dyDescent="0.3">
      <c r="A191" s="603"/>
      <c r="B191" s="606"/>
      <c r="C191" s="606"/>
      <c r="D191" s="606"/>
      <c r="E191" s="606"/>
      <c r="F191" s="606"/>
      <c r="G191" s="606"/>
      <c r="H191" s="606"/>
      <c r="I191" s="606"/>
      <c r="J191" s="606"/>
      <c r="K191" s="606"/>
      <c r="L191" s="606"/>
      <c r="M191" s="606"/>
      <c r="N191" s="608"/>
      <c r="O191" s="605"/>
      <c r="P191" s="677"/>
    </row>
    <row r="192" spans="1:16" ht="15" customHeight="1" x14ac:dyDescent="0.3">
      <c r="A192" s="603"/>
      <c r="B192" s="606"/>
      <c r="C192" s="606"/>
      <c r="D192" s="606"/>
      <c r="E192" s="606"/>
      <c r="F192" s="606"/>
      <c r="G192" s="606"/>
      <c r="H192" s="606"/>
      <c r="I192" s="606"/>
      <c r="J192" s="606"/>
      <c r="K192" s="606"/>
      <c r="L192" s="606"/>
      <c r="M192" s="606"/>
      <c r="N192" s="608"/>
      <c r="O192" s="605"/>
      <c r="P192" s="677"/>
    </row>
    <row r="193" spans="1:16" ht="15" customHeight="1" x14ac:dyDescent="0.3">
      <c r="A193" s="603"/>
      <c r="B193" s="606"/>
      <c r="C193" s="606"/>
      <c r="D193" s="606"/>
      <c r="E193" s="606"/>
      <c r="F193" s="606"/>
      <c r="G193" s="606"/>
      <c r="H193" s="606"/>
      <c r="I193" s="606"/>
      <c r="J193" s="606"/>
      <c r="K193" s="606"/>
      <c r="L193" s="606"/>
      <c r="M193" s="606"/>
      <c r="N193" s="608"/>
      <c r="O193" s="605"/>
      <c r="P193" s="677"/>
    </row>
    <row r="194" spans="1:16" ht="15" customHeight="1" x14ac:dyDescent="0.3">
      <c r="A194" s="603"/>
      <c r="B194" s="606"/>
      <c r="C194" s="606"/>
      <c r="D194" s="606"/>
      <c r="E194" s="606"/>
      <c r="F194" s="606"/>
      <c r="G194" s="606"/>
      <c r="H194" s="606"/>
      <c r="I194" s="606"/>
      <c r="J194" s="606"/>
      <c r="K194" s="606"/>
      <c r="L194" s="606"/>
      <c r="M194" s="606"/>
      <c r="N194" s="608"/>
      <c r="O194" s="605"/>
      <c r="P194" s="677"/>
    </row>
    <row r="195" spans="1:16" ht="15" customHeight="1" x14ac:dyDescent="0.3">
      <c r="A195" s="603"/>
      <c r="B195" s="606"/>
      <c r="C195" s="606"/>
      <c r="D195" s="606"/>
      <c r="E195" s="606"/>
      <c r="F195" s="606"/>
      <c r="G195" s="606"/>
      <c r="H195" s="606"/>
      <c r="I195" s="606"/>
      <c r="J195" s="606"/>
      <c r="K195" s="606"/>
      <c r="L195" s="606"/>
      <c r="M195" s="606"/>
      <c r="N195" s="608"/>
      <c r="O195" s="605"/>
      <c r="P195" s="677"/>
    </row>
    <row r="196" spans="1:16" ht="15" customHeight="1" x14ac:dyDescent="0.3">
      <c r="A196" s="603"/>
      <c r="B196" s="606"/>
      <c r="C196" s="606"/>
      <c r="D196" s="606"/>
      <c r="E196" s="606"/>
      <c r="F196" s="606"/>
      <c r="G196" s="606"/>
      <c r="H196" s="606"/>
      <c r="I196" s="606"/>
      <c r="J196" s="606"/>
      <c r="K196" s="606"/>
      <c r="L196" s="606"/>
      <c r="M196" s="606"/>
      <c r="N196" s="608"/>
      <c r="O196" s="605"/>
      <c r="P196" s="677"/>
    </row>
    <row r="197" spans="1:16" ht="15" customHeight="1" x14ac:dyDescent="0.3">
      <c r="A197" s="603"/>
      <c r="B197" s="606"/>
      <c r="C197" s="606"/>
      <c r="D197" s="606"/>
      <c r="E197" s="606"/>
      <c r="F197" s="606"/>
      <c r="G197" s="606"/>
      <c r="H197" s="606"/>
      <c r="I197" s="606"/>
      <c r="J197" s="606"/>
      <c r="K197" s="606"/>
      <c r="L197" s="606"/>
      <c r="M197" s="606"/>
      <c r="N197" s="608"/>
      <c r="O197" s="605"/>
      <c r="P197" s="677"/>
    </row>
    <row r="198" spans="1:16" ht="15" customHeight="1" x14ac:dyDescent="0.3">
      <c r="A198" s="603"/>
      <c r="B198" s="606"/>
      <c r="C198" s="606"/>
      <c r="D198" s="606"/>
      <c r="E198" s="606"/>
      <c r="F198" s="606"/>
      <c r="G198" s="606"/>
      <c r="H198" s="606"/>
      <c r="I198" s="606"/>
      <c r="J198" s="606"/>
      <c r="K198" s="606"/>
      <c r="L198" s="606"/>
      <c r="M198" s="606"/>
      <c r="N198" s="608"/>
      <c r="O198" s="605"/>
      <c r="P198" s="677"/>
    </row>
    <row r="199" spans="1:16" ht="15" customHeight="1" x14ac:dyDescent="0.3">
      <c r="A199" s="603"/>
      <c r="B199" s="606"/>
      <c r="C199" s="606"/>
      <c r="D199" s="606"/>
      <c r="E199" s="606"/>
      <c r="F199" s="606"/>
      <c r="G199" s="606"/>
      <c r="H199" s="606"/>
      <c r="I199" s="606"/>
      <c r="J199" s="606"/>
      <c r="K199" s="606"/>
      <c r="L199" s="606"/>
      <c r="M199" s="606"/>
      <c r="N199" s="608"/>
      <c r="O199" s="605"/>
      <c r="P199" s="677"/>
    </row>
    <row r="200" spans="1:16" ht="15" customHeight="1" x14ac:dyDescent="0.3">
      <c r="A200" s="603"/>
      <c r="B200" s="606"/>
      <c r="C200" s="606"/>
      <c r="D200" s="606"/>
      <c r="E200" s="606"/>
      <c r="F200" s="606"/>
      <c r="G200" s="606"/>
      <c r="H200" s="606"/>
      <c r="I200" s="606"/>
      <c r="J200" s="606"/>
      <c r="K200" s="606"/>
      <c r="L200" s="606"/>
      <c r="M200" s="606"/>
      <c r="N200" s="608"/>
      <c r="O200" s="605"/>
      <c r="P200" s="677"/>
    </row>
    <row r="201" spans="1:16" ht="15" customHeight="1" x14ac:dyDescent="0.3">
      <c r="A201" s="603"/>
      <c r="B201" s="606"/>
      <c r="C201" s="606"/>
      <c r="D201" s="606"/>
      <c r="E201" s="606"/>
      <c r="F201" s="606"/>
      <c r="G201" s="606"/>
      <c r="H201" s="606"/>
      <c r="I201" s="606"/>
      <c r="J201" s="606"/>
      <c r="K201" s="606"/>
      <c r="L201" s="606"/>
      <c r="M201" s="606"/>
      <c r="N201" s="608"/>
      <c r="O201" s="605"/>
      <c r="P201" s="677"/>
    </row>
    <row r="202" spans="1:16" ht="15" customHeight="1" x14ac:dyDescent="0.3">
      <c r="A202" s="603"/>
      <c r="B202" s="606"/>
      <c r="C202" s="606"/>
      <c r="D202" s="606"/>
      <c r="E202" s="606"/>
      <c r="F202" s="606"/>
      <c r="G202" s="606"/>
      <c r="H202" s="606"/>
      <c r="I202" s="606"/>
      <c r="J202" s="606"/>
      <c r="K202" s="606"/>
      <c r="L202" s="606"/>
      <c r="M202" s="606"/>
      <c r="N202" s="608"/>
      <c r="O202" s="605"/>
      <c r="P202" s="677"/>
    </row>
    <row r="203" spans="1:16" ht="15" customHeight="1" x14ac:dyDescent="0.3">
      <c r="A203" s="603"/>
      <c r="B203" s="606"/>
      <c r="C203" s="606"/>
      <c r="D203" s="606"/>
      <c r="E203" s="606"/>
      <c r="F203" s="606"/>
      <c r="G203" s="606"/>
      <c r="H203" s="606"/>
      <c r="I203" s="606"/>
      <c r="J203" s="606"/>
      <c r="K203" s="606"/>
      <c r="L203" s="606"/>
      <c r="M203" s="606"/>
      <c r="N203" s="608"/>
      <c r="O203" s="605"/>
      <c r="P203" s="677"/>
    </row>
    <row r="204" spans="1:16" ht="15" customHeight="1" x14ac:dyDescent="0.3">
      <c r="A204" s="603"/>
      <c r="B204" s="606"/>
      <c r="C204" s="606"/>
      <c r="D204" s="606"/>
      <c r="E204" s="606"/>
      <c r="F204" s="606"/>
      <c r="G204" s="606"/>
      <c r="H204" s="606"/>
      <c r="I204" s="606"/>
      <c r="J204" s="606"/>
      <c r="K204" s="606"/>
      <c r="L204" s="606"/>
      <c r="M204" s="606"/>
      <c r="N204" s="608"/>
      <c r="O204" s="605"/>
      <c r="P204" s="677"/>
    </row>
    <row r="205" spans="1:16" ht="15" customHeight="1" x14ac:dyDescent="0.3">
      <c r="A205" s="603"/>
      <c r="B205" s="606"/>
      <c r="C205" s="606"/>
      <c r="D205" s="606"/>
      <c r="E205" s="606"/>
      <c r="F205" s="606"/>
      <c r="G205" s="606"/>
      <c r="H205" s="606"/>
      <c r="I205" s="606"/>
      <c r="J205" s="606"/>
      <c r="K205" s="606"/>
      <c r="L205" s="606"/>
      <c r="M205" s="606"/>
      <c r="N205" s="608"/>
      <c r="O205" s="605"/>
      <c r="P205" s="677"/>
    </row>
    <row r="206" spans="1:16" ht="15" customHeight="1" x14ac:dyDescent="0.3">
      <c r="A206" s="603"/>
      <c r="B206" s="606"/>
      <c r="C206" s="606"/>
      <c r="D206" s="606"/>
      <c r="E206" s="606"/>
      <c r="F206" s="606"/>
      <c r="G206" s="606"/>
      <c r="H206" s="606"/>
      <c r="I206" s="606"/>
      <c r="J206" s="606"/>
      <c r="K206" s="606"/>
      <c r="L206" s="606"/>
      <c r="M206" s="606"/>
      <c r="N206" s="608"/>
      <c r="O206" s="605"/>
      <c r="P206" s="677"/>
    </row>
    <row r="207" spans="1:16" ht="15" customHeight="1" x14ac:dyDescent="0.3">
      <c r="A207" s="603"/>
      <c r="B207" s="606"/>
      <c r="C207" s="606"/>
      <c r="D207" s="606"/>
      <c r="E207" s="606"/>
      <c r="F207" s="606"/>
      <c r="G207" s="606"/>
      <c r="H207" s="606"/>
      <c r="I207" s="606"/>
      <c r="J207" s="606"/>
      <c r="K207" s="606"/>
      <c r="L207" s="606"/>
      <c r="M207" s="606"/>
      <c r="N207" s="608"/>
      <c r="O207" s="605"/>
      <c r="P207" s="677"/>
    </row>
    <row r="208" spans="1:16" ht="15" customHeight="1" x14ac:dyDescent="0.3">
      <c r="A208" s="603"/>
      <c r="B208" s="606"/>
      <c r="C208" s="606"/>
      <c r="D208" s="606"/>
      <c r="E208" s="606"/>
      <c r="F208" s="606"/>
      <c r="G208" s="606"/>
      <c r="H208" s="606"/>
      <c r="I208" s="606"/>
      <c r="J208" s="606"/>
      <c r="K208" s="606"/>
      <c r="L208" s="606"/>
      <c r="M208" s="606"/>
      <c r="N208" s="608"/>
      <c r="O208" s="605"/>
      <c r="P208" s="677"/>
    </row>
    <row r="209" spans="1:16" ht="15" customHeight="1" x14ac:dyDescent="0.3">
      <c r="A209" s="603"/>
      <c r="B209" s="606"/>
      <c r="C209" s="606"/>
      <c r="D209" s="606"/>
      <c r="E209" s="606"/>
      <c r="F209" s="606"/>
      <c r="G209" s="606"/>
      <c r="H209" s="606"/>
      <c r="I209" s="606"/>
      <c r="J209" s="606"/>
      <c r="K209" s="606"/>
      <c r="L209" s="606"/>
      <c r="M209" s="606"/>
      <c r="N209" s="608"/>
      <c r="O209" s="605"/>
      <c r="P209" s="677"/>
    </row>
    <row r="210" spans="1:16" ht="15" customHeight="1" x14ac:dyDescent="0.3">
      <c r="A210" s="603"/>
      <c r="B210" s="606"/>
      <c r="C210" s="606"/>
      <c r="D210" s="606"/>
      <c r="E210" s="606"/>
      <c r="F210" s="606"/>
      <c r="G210" s="606"/>
      <c r="H210" s="606"/>
      <c r="I210" s="606"/>
      <c r="J210" s="606"/>
      <c r="K210" s="606"/>
      <c r="L210" s="606"/>
      <c r="M210" s="606"/>
      <c r="N210" s="608"/>
      <c r="O210" s="605"/>
      <c r="P210" s="677"/>
    </row>
    <row r="211" spans="1:16" ht="15" customHeight="1" x14ac:dyDescent="0.3">
      <c r="A211" s="603"/>
      <c r="B211" s="606"/>
      <c r="C211" s="606"/>
      <c r="D211" s="606"/>
      <c r="E211" s="606"/>
      <c r="F211" s="606"/>
      <c r="G211" s="606"/>
      <c r="H211" s="606"/>
      <c r="I211" s="606"/>
      <c r="J211" s="606"/>
      <c r="K211" s="606"/>
      <c r="L211" s="606"/>
      <c r="M211" s="606"/>
      <c r="N211" s="609"/>
      <c r="O211" s="605"/>
      <c r="P211" s="677"/>
    </row>
    <row r="212" spans="1:16" ht="15" customHeight="1" x14ac:dyDescent="0.3">
      <c r="A212" s="603">
        <v>10</v>
      </c>
      <c r="B212" s="604"/>
      <c r="C212" s="604"/>
      <c r="D212" s="604"/>
      <c r="E212" s="604"/>
      <c r="F212" s="604"/>
      <c r="G212" s="604"/>
      <c r="H212" s="604"/>
      <c r="I212" s="604"/>
      <c r="J212" s="604"/>
      <c r="K212" s="604"/>
      <c r="L212" s="604"/>
      <c r="M212" s="604"/>
      <c r="N212" s="607" t="s">
        <v>213</v>
      </c>
      <c r="O212" s="605" t="str">
        <f>VLOOKUP(A212,'LISTA DE OFERENTES'!$A$6:$B$38,2,FALSE)</f>
        <v>LAM CONSTRUCCIONES S.A.S</v>
      </c>
      <c r="P212" s="676" t="s">
        <v>640</v>
      </c>
    </row>
    <row r="213" spans="1:16" ht="15" customHeight="1" x14ac:dyDescent="0.3">
      <c r="A213" s="603"/>
      <c r="B213" s="604"/>
      <c r="C213" s="604"/>
      <c r="D213" s="604"/>
      <c r="E213" s="604"/>
      <c r="F213" s="604"/>
      <c r="G213" s="604"/>
      <c r="H213" s="604"/>
      <c r="I213" s="604"/>
      <c r="J213" s="604"/>
      <c r="K213" s="604"/>
      <c r="L213" s="604"/>
      <c r="M213" s="604"/>
      <c r="N213" s="608"/>
      <c r="O213" s="605"/>
      <c r="P213" s="677"/>
    </row>
    <row r="214" spans="1:16" ht="15" customHeight="1" x14ac:dyDescent="0.3">
      <c r="A214" s="603"/>
      <c r="B214" s="604"/>
      <c r="C214" s="604"/>
      <c r="D214" s="604"/>
      <c r="E214" s="604"/>
      <c r="F214" s="604"/>
      <c r="G214" s="604"/>
      <c r="H214" s="604"/>
      <c r="I214" s="604"/>
      <c r="J214" s="604"/>
      <c r="K214" s="604"/>
      <c r="L214" s="604"/>
      <c r="M214" s="604"/>
      <c r="N214" s="608"/>
      <c r="O214" s="605"/>
      <c r="P214" s="677"/>
    </row>
    <row r="215" spans="1:16" ht="15" customHeight="1" x14ac:dyDescent="0.3">
      <c r="A215" s="603"/>
      <c r="B215" s="604"/>
      <c r="C215" s="604"/>
      <c r="D215" s="604"/>
      <c r="E215" s="604"/>
      <c r="F215" s="604"/>
      <c r="G215" s="604"/>
      <c r="H215" s="604"/>
      <c r="I215" s="604"/>
      <c r="J215" s="604"/>
      <c r="K215" s="604"/>
      <c r="L215" s="604"/>
      <c r="M215" s="604"/>
      <c r="N215" s="608"/>
      <c r="O215" s="605"/>
      <c r="P215" s="677"/>
    </row>
    <row r="216" spans="1:16" ht="15" customHeight="1" x14ac:dyDescent="0.3">
      <c r="A216" s="603"/>
      <c r="B216" s="604"/>
      <c r="C216" s="604"/>
      <c r="D216" s="604"/>
      <c r="E216" s="604"/>
      <c r="F216" s="604"/>
      <c r="G216" s="604"/>
      <c r="H216" s="604"/>
      <c r="I216" s="604"/>
      <c r="J216" s="604"/>
      <c r="K216" s="604"/>
      <c r="L216" s="604"/>
      <c r="M216" s="604"/>
      <c r="N216" s="608"/>
      <c r="O216" s="605"/>
      <c r="P216" s="677"/>
    </row>
    <row r="217" spans="1:16" ht="15" customHeight="1" x14ac:dyDescent="0.3">
      <c r="A217" s="603"/>
      <c r="B217" s="604"/>
      <c r="C217" s="604"/>
      <c r="D217" s="604"/>
      <c r="E217" s="604"/>
      <c r="F217" s="604"/>
      <c r="G217" s="604"/>
      <c r="H217" s="604"/>
      <c r="I217" s="604"/>
      <c r="J217" s="604"/>
      <c r="K217" s="604"/>
      <c r="L217" s="604"/>
      <c r="M217" s="604"/>
      <c r="N217" s="608"/>
      <c r="O217" s="605"/>
      <c r="P217" s="677"/>
    </row>
    <row r="218" spans="1:16" ht="15" customHeight="1" x14ac:dyDescent="0.3">
      <c r="A218" s="603"/>
      <c r="B218" s="604"/>
      <c r="C218" s="604"/>
      <c r="D218" s="604"/>
      <c r="E218" s="604"/>
      <c r="F218" s="604"/>
      <c r="G218" s="604"/>
      <c r="H218" s="604"/>
      <c r="I218" s="604"/>
      <c r="J218" s="604"/>
      <c r="K218" s="604"/>
      <c r="L218" s="604"/>
      <c r="M218" s="604"/>
      <c r="N218" s="608"/>
      <c r="O218" s="605"/>
      <c r="P218" s="677"/>
    </row>
    <row r="219" spans="1:16" ht="15" customHeight="1" x14ac:dyDescent="0.3">
      <c r="A219" s="603"/>
      <c r="B219" s="604"/>
      <c r="C219" s="604"/>
      <c r="D219" s="604"/>
      <c r="E219" s="604"/>
      <c r="F219" s="604"/>
      <c r="G219" s="604"/>
      <c r="H219" s="604"/>
      <c r="I219" s="604"/>
      <c r="J219" s="604"/>
      <c r="K219" s="604"/>
      <c r="L219" s="604"/>
      <c r="M219" s="604"/>
      <c r="N219" s="608"/>
      <c r="O219" s="605"/>
      <c r="P219" s="677"/>
    </row>
    <row r="220" spans="1:16" ht="15" customHeight="1" x14ac:dyDescent="0.3">
      <c r="A220" s="603"/>
      <c r="B220" s="604"/>
      <c r="C220" s="604"/>
      <c r="D220" s="604"/>
      <c r="E220" s="604"/>
      <c r="F220" s="604"/>
      <c r="G220" s="604"/>
      <c r="H220" s="604"/>
      <c r="I220" s="604"/>
      <c r="J220" s="604"/>
      <c r="K220" s="604"/>
      <c r="L220" s="604"/>
      <c r="M220" s="604"/>
      <c r="N220" s="608"/>
      <c r="O220" s="605"/>
      <c r="P220" s="677"/>
    </row>
    <row r="221" spans="1:16" ht="15" customHeight="1" x14ac:dyDescent="0.3">
      <c r="A221" s="603"/>
      <c r="B221" s="604"/>
      <c r="C221" s="604"/>
      <c r="D221" s="604"/>
      <c r="E221" s="604"/>
      <c r="F221" s="604"/>
      <c r="G221" s="604"/>
      <c r="H221" s="604"/>
      <c r="I221" s="604"/>
      <c r="J221" s="604"/>
      <c r="K221" s="604"/>
      <c r="L221" s="604"/>
      <c r="M221" s="604"/>
      <c r="N221" s="608"/>
      <c r="O221" s="605"/>
      <c r="P221" s="677"/>
    </row>
    <row r="222" spans="1:16" ht="15" customHeight="1" x14ac:dyDescent="0.3">
      <c r="A222" s="603"/>
      <c r="B222" s="604"/>
      <c r="C222" s="604"/>
      <c r="D222" s="604"/>
      <c r="E222" s="604"/>
      <c r="F222" s="604"/>
      <c r="G222" s="604"/>
      <c r="H222" s="604"/>
      <c r="I222" s="604"/>
      <c r="J222" s="604"/>
      <c r="K222" s="604"/>
      <c r="L222" s="604"/>
      <c r="M222" s="604"/>
      <c r="N222" s="608"/>
      <c r="O222" s="605"/>
      <c r="P222" s="677"/>
    </row>
    <row r="223" spans="1:16" ht="15" customHeight="1" x14ac:dyDescent="0.3">
      <c r="A223" s="603"/>
      <c r="B223" s="604"/>
      <c r="C223" s="604"/>
      <c r="D223" s="604"/>
      <c r="E223" s="604"/>
      <c r="F223" s="604"/>
      <c r="G223" s="604"/>
      <c r="H223" s="604"/>
      <c r="I223" s="604"/>
      <c r="J223" s="604"/>
      <c r="K223" s="604"/>
      <c r="L223" s="604"/>
      <c r="M223" s="604"/>
      <c r="N223" s="608"/>
      <c r="O223" s="605"/>
      <c r="P223" s="677"/>
    </row>
    <row r="224" spans="1:16" ht="15" customHeight="1" x14ac:dyDescent="0.3">
      <c r="A224" s="603"/>
      <c r="B224" s="604"/>
      <c r="C224" s="604"/>
      <c r="D224" s="604"/>
      <c r="E224" s="604"/>
      <c r="F224" s="604"/>
      <c r="G224" s="604"/>
      <c r="H224" s="604"/>
      <c r="I224" s="604"/>
      <c r="J224" s="604"/>
      <c r="K224" s="604"/>
      <c r="L224" s="604"/>
      <c r="M224" s="604"/>
      <c r="N224" s="608"/>
      <c r="O224" s="605"/>
      <c r="P224" s="677"/>
    </row>
    <row r="225" spans="1:16" ht="15" customHeight="1" x14ac:dyDescent="0.3">
      <c r="A225" s="603"/>
      <c r="B225" s="604"/>
      <c r="C225" s="604"/>
      <c r="D225" s="604"/>
      <c r="E225" s="604"/>
      <c r="F225" s="604"/>
      <c r="G225" s="604"/>
      <c r="H225" s="604"/>
      <c r="I225" s="604"/>
      <c r="J225" s="604"/>
      <c r="K225" s="604"/>
      <c r="L225" s="604"/>
      <c r="M225" s="604"/>
      <c r="N225" s="608"/>
      <c r="O225" s="605"/>
      <c r="P225" s="677"/>
    </row>
    <row r="226" spans="1:16" ht="15" customHeight="1" x14ac:dyDescent="0.3">
      <c r="A226" s="603"/>
      <c r="B226" s="604"/>
      <c r="C226" s="604"/>
      <c r="D226" s="604"/>
      <c r="E226" s="604"/>
      <c r="F226" s="604"/>
      <c r="G226" s="604"/>
      <c r="H226" s="604"/>
      <c r="I226" s="604"/>
      <c r="J226" s="604"/>
      <c r="K226" s="604"/>
      <c r="L226" s="604"/>
      <c r="M226" s="604"/>
      <c r="N226" s="608"/>
      <c r="O226" s="605"/>
      <c r="P226" s="677"/>
    </row>
    <row r="227" spans="1:16" ht="15" customHeight="1" x14ac:dyDescent="0.3">
      <c r="A227" s="603"/>
      <c r="B227" s="604"/>
      <c r="C227" s="604"/>
      <c r="D227" s="604"/>
      <c r="E227" s="604"/>
      <c r="F227" s="604"/>
      <c r="G227" s="604"/>
      <c r="H227" s="604"/>
      <c r="I227" s="604"/>
      <c r="J227" s="604"/>
      <c r="K227" s="604"/>
      <c r="L227" s="604"/>
      <c r="M227" s="604"/>
      <c r="N227" s="608"/>
      <c r="O227" s="605"/>
      <c r="P227" s="677"/>
    </row>
    <row r="228" spans="1:16" ht="15" customHeight="1" x14ac:dyDescent="0.3">
      <c r="A228" s="603"/>
      <c r="B228" s="604"/>
      <c r="C228" s="604"/>
      <c r="D228" s="604"/>
      <c r="E228" s="604"/>
      <c r="F228" s="604"/>
      <c r="G228" s="604"/>
      <c r="H228" s="604"/>
      <c r="I228" s="604"/>
      <c r="J228" s="604"/>
      <c r="K228" s="604"/>
      <c r="L228" s="604"/>
      <c r="M228" s="604"/>
      <c r="N228" s="608"/>
      <c r="O228" s="605"/>
      <c r="P228" s="677"/>
    </row>
    <row r="229" spans="1:16" ht="15" customHeight="1" x14ac:dyDescent="0.3">
      <c r="A229" s="603"/>
      <c r="B229" s="604"/>
      <c r="C229" s="604"/>
      <c r="D229" s="604"/>
      <c r="E229" s="604"/>
      <c r="F229" s="604"/>
      <c r="G229" s="604"/>
      <c r="H229" s="604"/>
      <c r="I229" s="604"/>
      <c r="J229" s="604"/>
      <c r="K229" s="604"/>
      <c r="L229" s="604"/>
      <c r="M229" s="604"/>
      <c r="N229" s="608"/>
      <c r="O229" s="605"/>
      <c r="P229" s="677"/>
    </row>
    <row r="230" spans="1:16" ht="15" customHeight="1" x14ac:dyDescent="0.3">
      <c r="A230" s="603"/>
      <c r="B230" s="604"/>
      <c r="C230" s="604"/>
      <c r="D230" s="604"/>
      <c r="E230" s="604"/>
      <c r="F230" s="604"/>
      <c r="G230" s="604"/>
      <c r="H230" s="604"/>
      <c r="I230" s="604"/>
      <c r="J230" s="604"/>
      <c r="K230" s="604"/>
      <c r="L230" s="604"/>
      <c r="M230" s="604"/>
      <c r="N230" s="608"/>
      <c r="O230" s="605"/>
      <c r="P230" s="677"/>
    </row>
    <row r="231" spans="1:16" ht="15" customHeight="1" x14ac:dyDescent="0.3">
      <c r="A231" s="603"/>
      <c r="B231" s="604"/>
      <c r="C231" s="604"/>
      <c r="D231" s="604"/>
      <c r="E231" s="604"/>
      <c r="F231" s="604"/>
      <c r="G231" s="604"/>
      <c r="H231" s="604"/>
      <c r="I231" s="604"/>
      <c r="J231" s="604"/>
      <c r="K231" s="604"/>
      <c r="L231" s="604"/>
      <c r="M231" s="604"/>
      <c r="N231" s="608"/>
      <c r="O231" s="605"/>
      <c r="P231" s="677"/>
    </row>
    <row r="232" spans="1:16" ht="15" customHeight="1" x14ac:dyDescent="0.3">
      <c r="A232" s="603"/>
      <c r="B232" s="604"/>
      <c r="C232" s="604"/>
      <c r="D232" s="604"/>
      <c r="E232" s="604"/>
      <c r="F232" s="604"/>
      <c r="G232" s="604"/>
      <c r="H232" s="604"/>
      <c r="I232" s="604"/>
      <c r="J232" s="604"/>
      <c r="K232" s="604"/>
      <c r="L232" s="604"/>
      <c r="M232" s="604"/>
      <c r="N232" s="608"/>
      <c r="O232" s="605"/>
      <c r="P232" s="677"/>
    </row>
    <row r="233" spans="1:16" ht="15" customHeight="1" x14ac:dyDescent="0.3">
      <c r="A233" s="603"/>
      <c r="B233" s="604"/>
      <c r="C233" s="604"/>
      <c r="D233" s="604"/>
      <c r="E233" s="604"/>
      <c r="F233" s="604"/>
      <c r="G233" s="604"/>
      <c r="H233" s="604"/>
      <c r="I233" s="604"/>
      <c r="J233" s="604"/>
      <c r="K233" s="604"/>
      <c r="L233" s="604"/>
      <c r="M233" s="604"/>
      <c r="N233" s="608"/>
      <c r="O233" s="605"/>
      <c r="P233" s="677"/>
    </row>
    <row r="234" spans="1:16" ht="15" customHeight="1" x14ac:dyDescent="0.3">
      <c r="A234" s="603"/>
      <c r="B234" s="604"/>
      <c r="C234" s="604"/>
      <c r="D234" s="604"/>
      <c r="E234" s="604"/>
      <c r="F234" s="604"/>
      <c r="G234" s="604"/>
      <c r="H234" s="604"/>
      <c r="I234" s="604"/>
      <c r="J234" s="604"/>
      <c r="K234" s="604"/>
      <c r="L234" s="604"/>
      <c r="M234" s="604"/>
      <c r="N234" s="609"/>
      <c r="O234" s="605"/>
      <c r="P234" s="677"/>
    </row>
    <row r="235" spans="1:16" ht="15" customHeight="1" x14ac:dyDescent="0.3">
      <c r="A235" s="603">
        <v>11</v>
      </c>
      <c r="B235" s="606"/>
      <c r="C235" s="606"/>
      <c r="D235" s="606"/>
      <c r="E235" s="606"/>
      <c r="F235" s="606"/>
      <c r="G235" s="606"/>
      <c r="H235" s="606"/>
      <c r="I235" s="606"/>
      <c r="J235" s="606"/>
      <c r="K235" s="606"/>
      <c r="L235" s="606"/>
      <c r="M235" s="606"/>
      <c r="N235" s="607" t="s">
        <v>213</v>
      </c>
      <c r="O235" s="605" t="str">
        <f>VLOOKUP(A235,'LISTA DE OFERENTES'!$A$6:$B$38,2,FALSE)</f>
        <v>UNION TEMPORAL PARQUE TUNAL II</v>
      </c>
      <c r="P235" s="676"/>
    </row>
    <row r="236" spans="1:16" ht="15" customHeight="1" x14ac:dyDescent="0.3">
      <c r="A236" s="603"/>
      <c r="B236" s="606"/>
      <c r="C236" s="606"/>
      <c r="D236" s="606"/>
      <c r="E236" s="606"/>
      <c r="F236" s="606"/>
      <c r="G236" s="606"/>
      <c r="H236" s="606"/>
      <c r="I236" s="606"/>
      <c r="J236" s="606"/>
      <c r="K236" s="606"/>
      <c r="L236" s="606"/>
      <c r="M236" s="606"/>
      <c r="N236" s="608"/>
      <c r="O236" s="605"/>
      <c r="P236" s="677"/>
    </row>
    <row r="237" spans="1:16" ht="15" customHeight="1" x14ac:dyDescent="0.3">
      <c r="A237" s="603"/>
      <c r="B237" s="606"/>
      <c r="C237" s="606"/>
      <c r="D237" s="606"/>
      <c r="E237" s="606"/>
      <c r="F237" s="606"/>
      <c r="G237" s="606"/>
      <c r="H237" s="606"/>
      <c r="I237" s="606"/>
      <c r="J237" s="606"/>
      <c r="K237" s="606"/>
      <c r="L237" s="606"/>
      <c r="M237" s="606"/>
      <c r="N237" s="608"/>
      <c r="O237" s="605"/>
      <c r="P237" s="677"/>
    </row>
    <row r="238" spans="1:16" ht="15" customHeight="1" x14ac:dyDescent="0.3">
      <c r="A238" s="603"/>
      <c r="B238" s="606"/>
      <c r="C238" s="606"/>
      <c r="D238" s="606"/>
      <c r="E238" s="606"/>
      <c r="F238" s="606"/>
      <c r="G238" s="606"/>
      <c r="H238" s="606"/>
      <c r="I238" s="606"/>
      <c r="J238" s="606"/>
      <c r="K238" s="606"/>
      <c r="L238" s="606"/>
      <c r="M238" s="606"/>
      <c r="N238" s="608"/>
      <c r="O238" s="605"/>
      <c r="P238" s="677"/>
    </row>
    <row r="239" spans="1:16" ht="15" customHeight="1" x14ac:dyDescent="0.3">
      <c r="A239" s="603"/>
      <c r="B239" s="606"/>
      <c r="C239" s="606"/>
      <c r="D239" s="606"/>
      <c r="E239" s="606"/>
      <c r="F239" s="606"/>
      <c r="G239" s="606"/>
      <c r="H239" s="606"/>
      <c r="I239" s="606"/>
      <c r="J239" s="606"/>
      <c r="K239" s="606"/>
      <c r="L239" s="606"/>
      <c r="M239" s="606"/>
      <c r="N239" s="608"/>
      <c r="O239" s="605"/>
      <c r="P239" s="677"/>
    </row>
    <row r="240" spans="1:16" ht="15" customHeight="1" x14ac:dyDescent="0.3">
      <c r="A240" s="603"/>
      <c r="B240" s="606"/>
      <c r="C240" s="606"/>
      <c r="D240" s="606"/>
      <c r="E240" s="606"/>
      <c r="F240" s="606"/>
      <c r="G240" s="606"/>
      <c r="H240" s="606"/>
      <c r="I240" s="606"/>
      <c r="J240" s="606"/>
      <c r="K240" s="606"/>
      <c r="L240" s="606"/>
      <c r="M240" s="606"/>
      <c r="N240" s="608"/>
      <c r="O240" s="605"/>
      <c r="P240" s="677"/>
    </row>
    <row r="241" spans="1:16" ht="15" customHeight="1" x14ac:dyDescent="0.3">
      <c r="A241" s="603"/>
      <c r="B241" s="606"/>
      <c r="C241" s="606"/>
      <c r="D241" s="606"/>
      <c r="E241" s="606"/>
      <c r="F241" s="606"/>
      <c r="G241" s="606"/>
      <c r="H241" s="606"/>
      <c r="I241" s="606"/>
      <c r="J241" s="606"/>
      <c r="K241" s="606"/>
      <c r="L241" s="606"/>
      <c r="M241" s="606"/>
      <c r="N241" s="608"/>
      <c r="O241" s="605"/>
      <c r="P241" s="677"/>
    </row>
    <row r="242" spans="1:16" ht="15" customHeight="1" x14ac:dyDescent="0.3">
      <c r="A242" s="603"/>
      <c r="B242" s="606"/>
      <c r="C242" s="606"/>
      <c r="D242" s="606"/>
      <c r="E242" s="606"/>
      <c r="F242" s="606"/>
      <c r="G242" s="606"/>
      <c r="H242" s="606"/>
      <c r="I242" s="606"/>
      <c r="J242" s="606"/>
      <c r="K242" s="606"/>
      <c r="L242" s="606"/>
      <c r="M242" s="606"/>
      <c r="N242" s="608"/>
      <c r="O242" s="605"/>
      <c r="P242" s="677"/>
    </row>
    <row r="243" spans="1:16" ht="15" customHeight="1" x14ac:dyDescent="0.3">
      <c r="A243" s="603"/>
      <c r="B243" s="606"/>
      <c r="C243" s="606"/>
      <c r="D243" s="606"/>
      <c r="E243" s="606"/>
      <c r="F243" s="606"/>
      <c r="G243" s="606"/>
      <c r="H243" s="606"/>
      <c r="I243" s="606"/>
      <c r="J243" s="606"/>
      <c r="K243" s="606"/>
      <c r="L243" s="606"/>
      <c r="M243" s="606"/>
      <c r="N243" s="608"/>
      <c r="O243" s="605"/>
      <c r="P243" s="677"/>
    </row>
    <row r="244" spans="1:16" ht="15" customHeight="1" x14ac:dyDescent="0.3">
      <c r="A244" s="603"/>
      <c r="B244" s="606"/>
      <c r="C244" s="606"/>
      <c r="D244" s="606"/>
      <c r="E244" s="606"/>
      <c r="F244" s="606"/>
      <c r="G244" s="606"/>
      <c r="H244" s="606"/>
      <c r="I244" s="606"/>
      <c r="J244" s="606"/>
      <c r="K244" s="606"/>
      <c r="L244" s="606"/>
      <c r="M244" s="606"/>
      <c r="N244" s="608"/>
      <c r="O244" s="605"/>
      <c r="P244" s="677"/>
    </row>
    <row r="245" spans="1:16" ht="15" customHeight="1" x14ac:dyDescent="0.3">
      <c r="A245" s="603"/>
      <c r="B245" s="606"/>
      <c r="C245" s="606"/>
      <c r="D245" s="606"/>
      <c r="E245" s="606"/>
      <c r="F245" s="606"/>
      <c r="G245" s="606"/>
      <c r="H245" s="606"/>
      <c r="I245" s="606"/>
      <c r="J245" s="606"/>
      <c r="K245" s="606"/>
      <c r="L245" s="606"/>
      <c r="M245" s="606"/>
      <c r="N245" s="608"/>
      <c r="O245" s="605"/>
      <c r="P245" s="677"/>
    </row>
    <row r="246" spans="1:16" ht="15" customHeight="1" x14ac:dyDescent="0.3">
      <c r="A246" s="603"/>
      <c r="B246" s="606"/>
      <c r="C246" s="606"/>
      <c r="D246" s="606"/>
      <c r="E246" s="606"/>
      <c r="F246" s="606"/>
      <c r="G246" s="606"/>
      <c r="H246" s="606"/>
      <c r="I246" s="606"/>
      <c r="J246" s="606"/>
      <c r="K246" s="606"/>
      <c r="L246" s="606"/>
      <c r="M246" s="606"/>
      <c r="N246" s="608"/>
      <c r="O246" s="605"/>
      <c r="P246" s="677"/>
    </row>
    <row r="247" spans="1:16" ht="15" customHeight="1" x14ac:dyDescent="0.3">
      <c r="A247" s="603"/>
      <c r="B247" s="606"/>
      <c r="C247" s="606"/>
      <c r="D247" s="606"/>
      <c r="E247" s="606"/>
      <c r="F247" s="606"/>
      <c r="G247" s="606"/>
      <c r="H247" s="606"/>
      <c r="I247" s="606"/>
      <c r="J247" s="606"/>
      <c r="K247" s="606"/>
      <c r="L247" s="606"/>
      <c r="M247" s="606"/>
      <c r="N247" s="608"/>
      <c r="O247" s="605"/>
      <c r="P247" s="677"/>
    </row>
    <row r="248" spans="1:16" ht="15" customHeight="1" x14ac:dyDescent="0.3">
      <c r="A248" s="603"/>
      <c r="B248" s="606"/>
      <c r="C248" s="606"/>
      <c r="D248" s="606"/>
      <c r="E248" s="606"/>
      <c r="F248" s="606"/>
      <c r="G248" s="606"/>
      <c r="H248" s="606"/>
      <c r="I248" s="606"/>
      <c r="J248" s="606"/>
      <c r="K248" s="606"/>
      <c r="L248" s="606"/>
      <c r="M248" s="606"/>
      <c r="N248" s="608"/>
      <c r="O248" s="605"/>
      <c r="P248" s="677"/>
    </row>
    <row r="249" spans="1:16" ht="15" customHeight="1" x14ac:dyDescent="0.3">
      <c r="A249" s="603"/>
      <c r="B249" s="606"/>
      <c r="C249" s="606"/>
      <c r="D249" s="606"/>
      <c r="E249" s="606"/>
      <c r="F249" s="606"/>
      <c r="G249" s="606"/>
      <c r="H249" s="606"/>
      <c r="I249" s="606"/>
      <c r="J249" s="606"/>
      <c r="K249" s="606"/>
      <c r="L249" s="606"/>
      <c r="M249" s="606"/>
      <c r="N249" s="608"/>
      <c r="O249" s="605"/>
      <c r="P249" s="677"/>
    </row>
    <row r="250" spans="1:16" ht="15" customHeight="1" x14ac:dyDescent="0.3">
      <c r="A250" s="603"/>
      <c r="B250" s="606"/>
      <c r="C250" s="606"/>
      <c r="D250" s="606"/>
      <c r="E250" s="606"/>
      <c r="F250" s="606"/>
      <c r="G250" s="606"/>
      <c r="H250" s="606"/>
      <c r="I250" s="606"/>
      <c r="J250" s="606"/>
      <c r="K250" s="606"/>
      <c r="L250" s="606"/>
      <c r="M250" s="606"/>
      <c r="N250" s="608"/>
      <c r="O250" s="605"/>
      <c r="P250" s="677"/>
    </row>
    <row r="251" spans="1:16" ht="15" customHeight="1" x14ac:dyDescent="0.3">
      <c r="A251" s="603"/>
      <c r="B251" s="606"/>
      <c r="C251" s="606"/>
      <c r="D251" s="606"/>
      <c r="E251" s="606"/>
      <c r="F251" s="606"/>
      <c r="G251" s="606"/>
      <c r="H251" s="606"/>
      <c r="I251" s="606"/>
      <c r="J251" s="606"/>
      <c r="K251" s="606"/>
      <c r="L251" s="606"/>
      <c r="M251" s="606"/>
      <c r="N251" s="608"/>
      <c r="O251" s="605"/>
      <c r="P251" s="677"/>
    </row>
    <row r="252" spans="1:16" ht="15" customHeight="1" x14ac:dyDescent="0.3">
      <c r="A252" s="603"/>
      <c r="B252" s="606"/>
      <c r="C252" s="606"/>
      <c r="D252" s="606"/>
      <c r="E252" s="606"/>
      <c r="F252" s="606"/>
      <c r="G252" s="606"/>
      <c r="H252" s="606"/>
      <c r="I252" s="606"/>
      <c r="J252" s="606"/>
      <c r="K252" s="606"/>
      <c r="L252" s="606"/>
      <c r="M252" s="606"/>
      <c r="N252" s="608"/>
      <c r="O252" s="605"/>
      <c r="P252" s="677"/>
    </row>
    <row r="253" spans="1:16" ht="15" customHeight="1" x14ac:dyDescent="0.3">
      <c r="A253" s="603"/>
      <c r="B253" s="606"/>
      <c r="C253" s="606"/>
      <c r="D253" s="606"/>
      <c r="E253" s="606"/>
      <c r="F253" s="606"/>
      <c r="G253" s="606"/>
      <c r="H253" s="606"/>
      <c r="I253" s="606"/>
      <c r="J253" s="606"/>
      <c r="K253" s="606"/>
      <c r="L253" s="606"/>
      <c r="M253" s="606"/>
      <c r="N253" s="608"/>
      <c r="O253" s="605"/>
      <c r="P253" s="677"/>
    </row>
    <row r="254" spans="1:16" ht="15" customHeight="1" x14ac:dyDescent="0.3">
      <c r="A254" s="603"/>
      <c r="B254" s="606"/>
      <c r="C254" s="606"/>
      <c r="D254" s="606"/>
      <c r="E254" s="606"/>
      <c r="F254" s="606"/>
      <c r="G254" s="606"/>
      <c r="H254" s="606"/>
      <c r="I254" s="606"/>
      <c r="J254" s="606"/>
      <c r="K254" s="606"/>
      <c r="L254" s="606"/>
      <c r="M254" s="606"/>
      <c r="N254" s="608"/>
      <c r="O254" s="605"/>
      <c r="P254" s="677"/>
    </row>
    <row r="255" spans="1:16" ht="15" customHeight="1" x14ac:dyDescent="0.3">
      <c r="A255" s="603"/>
      <c r="B255" s="606"/>
      <c r="C255" s="606"/>
      <c r="D255" s="606"/>
      <c r="E255" s="606"/>
      <c r="F255" s="606"/>
      <c r="G255" s="606"/>
      <c r="H255" s="606"/>
      <c r="I255" s="606"/>
      <c r="J255" s="606"/>
      <c r="K255" s="606"/>
      <c r="L255" s="606"/>
      <c r="M255" s="606"/>
      <c r="N255" s="608"/>
      <c r="O255" s="605"/>
      <c r="P255" s="677"/>
    </row>
    <row r="256" spans="1:16" ht="15" customHeight="1" x14ac:dyDescent="0.3">
      <c r="A256" s="603"/>
      <c r="B256" s="606"/>
      <c r="C256" s="606"/>
      <c r="D256" s="606"/>
      <c r="E256" s="606"/>
      <c r="F256" s="606"/>
      <c r="G256" s="606"/>
      <c r="H256" s="606"/>
      <c r="I256" s="606"/>
      <c r="J256" s="606"/>
      <c r="K256" s="606"/>
      <c r="L256" s="606"/>
      <c r="M256" s="606"/>
      <c r="N256" s="608"/>
      <c r="O256" s="605"/>
      <c r="P256" s="677"/>
    </row>
    <row r="257" spans="1:16" ht="15" customHeight="1" x14ac:dyDescent="0.3">
      <c r="A257" s="603"/>
      <c r="B257" s="606"/>
      <c r="C257" s="606"/>
      <c r="D257" s="606"/>
      <c r="E257" s="606"/>
      <c r="F257" s="606"/>
      <c r="G257" s="606"/>
      <c r="H257" s="606"/>
      <c r="I257" s="606"/>
      <c r="J257" s="606"/>
      <c r="K257" s="606"/>
      <c r="L257" s="606"/>
      <c r="M257" s="606"/>
      <c r="N257" s="609"/>
      <c r="O257" s="605"/>
      <c r="P257" s="677"/>
    </row>
    <row r="258" spans="1:16" ht="15" customHeight="1" x14ac:dyDescent="0.3">
      <c r="A258" s="603">
        <v>12</v>
      </c>
      <c r="B258" s="604"/>
      <c r="C258" s="604"/>
      <c r="D258" s="604"/>
      <c r="E258" s="604"/>
      <c r="F258" s="604"/>
      <c r="G258" s="604"/>
      <c r="H258" s="604"/>
      <c r="I258" s="604"/>
      <c r="J258" s="604"/>
      <c r="K258" s="604"/>
      <c r="L258" s="604"/>
      <c r="M258" s="604"/>
      <c r="N258" s="607" t="s">
        <v>213</v>
      </c>
      <c r="O258" s="605" t="str">
        <f>VLOOKUP(A258,'LISTA DE OFERENTES'!$A$6:$B$38,2,FALSE)</f>
        <v>CONSORCIO UNAL AVL-DHE</v>
      </c>
      <c r="P258" s="676" t="s">
        <v>644</v>
      </c>
    </row>
    <row r="259" spans="1:16" ht="15" customHeight="1" x14ac:dyDescent="0.3">
      <c r="A259" s="603"/>
      <c r="B259" s="604"/>
      <c r="C259" s="604"/>
      <c r="D259" s="604"/>
      <c r="E259" s="604"/>
      <c r="F259" s="604"/>
      <c r="G259" s="604"/>
      <c r="H259" s="604"/>
      <c r="I259" s="604"/>
      <c r="J259" s="604"/>
      <c r="K259" s="604"/>
      <c r="L259" s="604"/>
      <c r="M259" s="604"/>
      <c r="N259" s="608"/>
      <c r="O259" s="605"/>
      <c r="P259" s="677"/>
    </row>
    <row r="260" spans="1:16" ht="15" customHeight="1" x14ac:dyDescent="0.3">
      <c r="A260" s="603"/>
      <c r="B260" s="604"/>
      <c r="C260" s="604"/>
      <c r="D260" s="604"/>
      <c r="E260" s="604"/>
      <c r="F260" s="604"/>
      <c r="G260" s="604"/>
      <c r="H260" s="604"/>
      <c r="I260" s="604"/>
      <c r="J260" s="604"/>
      <c r="K260" s="604"/>
      <c r="L260" s="604"/>
      <c r="M260" s="604"/>
      <c r="N260" s="608"/>
      <c r="O260" s="605"/>
      <c r="P260" s="677"/>
    </row>
    <row r="261" spans="1:16" ht="15" customHeight="1" x14ac:dyDescent="0.3">
      <c r="A261" s="603"/>
      <c r="B261" s="604"/>
      <c r="C261" s="604"/>
      <c r="D261" s="604"/>
      <c r="E261" s="604"/>
      <c r="F261" s="604"/>
      <c r="G261" s="604"/>
      <c r="H261" s="604"/>
      <c r="I261" s="604"/>
      <c r="J261" s="604"/>
      <c r="K261" s="604"/>
      <c r="L261" s="604"/>
      <c r="M261" s="604"/>
      <c r="N261" s="608"/>
      <c r="O261" s="605"/>
      <c r="P261" s="677"/>
    </row>
    <row r="262" spans="1:16" ht="15" customHeight="1" x14ac:dyDescent="0.3">
      <c r="A262" s="603"/>
      <c r="B262" s="604"/>
      <c r="C262" s="604"/>
      <c r="D262" s="604"/>
      <c r="E262" s="604"/>
      <c r="F262" s="604"/>
      <c r="G262" s="604"/>
      <c r="H262" s="604"/>
      <c r="I262" s="604"/>
      <c r="J262" s="604"/>
      <c r="K262" s="604"/>
      <c r="L262" s="604"/>
      <c r="M262" s="604"/>
      <c r="N262" s="608"/>
      <c r="O262" s="605"/>
      <c r="P262" s="677"/>
    </row>
    <row r="263" spans="1:16" ht="15" customHeight="1" x14ac:dyDescent="0.3">
      <c r="A263" s="603"/>
      <c r="B263" s="604"/>
      <c r="C263" s="604"/>
      <c r="D263" s="604"/>
      <c r="E263" s="604"/>
      <c r="F263" s="604"/>
      <c r="G263" s="604"/>
      <c r="H263" s="604"/>
      <c r="I263" s="604"/>
      <c r="J263" s="604"/>
      <c r="K263" s="604"/>
      <c r="L263" s="604"/>
      <c r="M263" s="604"/>
      <c r="N263" s="608"/>
      <c r="O263" s="605"/>
      <c r="P263" s="677"/>
    </row>
    <row r="264" spans="1:16" ht="15" customHeight="1" x14ac:dyDescent="0.3">
      <c r="A264" s="603"/>
      <c r="B264" s="604"/>
      <c r="C264" s="604"/>
      <c r="D264" s="604"/>
      <c r="E264" s="604"/>
      <c r="F264" s="604"/>
      <c r="G264" s="604"/>
      <c r="H264" s="604"/>
      <c r="I264" s="604"/>
      <c r="J264" s="604"/>
      <c r="K264" s="604"/>
      <c r="L264" s="604"/>
      <c r="M264" s="604"/>
      <c r="N264" s="608"/>
      <c r="O264" s="605"/>
      <c r="P264" s="677"/>
    </row>
    <row r="265" spans="1:16" ht="15" customHeight="1" x14ac:dyDescent="0.3">
      <c r="A265" s="603"/>
      <c r="B265" s="604"/>
      <c r="C265" s="604"/>
      <c r="D265" s="604"/>
      <c r="E265" s="604"/>
      <c r="F265" s="604"/>
      <c r="G265" s="604"/>
      <c r="H265" s="604"/>
      <c r="I265" s="604"/>
      <c r="J265" s="604"/>
      <c r="K265" s="604"/>
      <c r="L265" s="604"/>
      <c r="M265" s="604"/>
      <c r="N265" s="608"/>
      <c r="O265" s="605"/>
      <c r="P265" s="677"/>
    </row>
    <row r="266" spans="1:16" ht="15" customHeight="1" x14ac:dyDescent="0.3">
      <c r="A266" s="603"/>
      <c r="B266" s="604"/>
      <c r="C266" s="604"/>
      <c r="D266" s="604"/>
      <c r="E266" s="604"/>
      <c r="F266" s="604"/>
      <c r="G266" s="604"/>
      <c r="H266" s="604"/>
      <c r="I266" s="604"/>
      <c r="J266" s="604"/>
      <c r="K266" s="604"/>
      <c r="L266" s="604"/>
      <c r="M266" s="604"/>
      <c r="N266" s="608"/>
      <c r="O266" s="605"/>
      <c r="P266" s="677"/>
    </row>
    <row r="267" spans="1:16" ht="15" customHeight="1" x14ac:dyDescent="0.3">
      <c r="A267" s="603"/>
      <c r="B267" s="604"/>
      <c r="C267" s="604"/>
      <c r="D267" s="604"/>
      <c r="E267" s="604"/>
      <c r="F267" s="604"/>
      <c r="G267" s="604"/>
      <c r="H267" s="604"/>
      <c r="I267" s="604"/>
      <c r="J267" s="604"/>
      <c r="K267" s="604"/>
      <c r="L267" s="604"/>
      <c r="M267" s="604"/>
      <c r="N267" s="608"/>
      <c r="O267" s="605"/>
      <c r="P267" s="677"/>
    </row>
    <row r="268" spans="1:16" ht="15" customHeight="1" x14ac:dyDescent="0.3">
      <c r="A268" s="603"/>
      <c r="B268" s="604"/>
      <c r="C268" s="604"/>
      <c r="D268" s="604"/>
      <c r="E268" s="604"/>
      <c r="F268" s="604"/>
      <c r="G268" s="604"/>
      <c r="H268" s="604"/>
      <c r="I268" s="604"/>
      <c r="J268" s="604"/>
      <c r="K268" s="604"/>
      <c r="L268" s="604"/>
      <c r="M268" s="604"/>
      <c r="N268" s="608"/>
      <c r="O268" s="605"/>
      <c r="P268" s="677"/>
    </row>
    <row r="269" spans="1:16" ht="15" customHeight="1" x14ac:dyDescent="0.3">
      <c r="A269" s="603"/>
      <c r="B269" s="604"/>
      <c r="C269" s="604"/>
      <c r="D269" s="604"/>
      <c r="E269" s="604"/>
      <c r="F269" s="604"/>
      <c r="G269" s="604"/>
      <c r="H269" s="604"/>
      <c r="I269" s="604"/>
      <c r="J269" s="604"/>
      <c r="K269" s="604"/>
      <c r="L269" s="604"/>
      <c r="M269" s="604"/>
      <c r="N269" s="608"/>
      <c r="O269" s="605"/>
      <c r="P269" s="677"/>
    </row>
    <row r="270" spans="1:16" ht="15" customHeight="1" x14ac:dyDescent="0.3">
      <c r="A270" s="603"/>
      <c r="B270" s="604"/>
      <c r="C270" s="604"/>
      <c r="D270" s="604"/>
      <c r="E270" s="604"/>
      <c r="F270" s="604"/>
      <c r="G270" s="604"/>
      <c r="H270" s="604"/>
      <c r="I270" s="604"/>
      <c r="J270" s="604"/>
      <c r="K270" s="604"/>
      <c r="L270" s="604"/>
      <c r="M270" s="604"/>
      <c r="N270" s="608"/>
      <c r="O270" s="605"/>
      <c r="P270" s="677"/>
    </row>
    <row r="271" spans="1:16" ht="15" customHeight="1" x14ac:dyDescent="0.3">
      <c r="A271" s="603"/>
      <c r="B271" s="604"/>
      <c r="C271" s="604"/>
      <c r="D271" s="604"/>
      <c r="E271" s="604"/>
      <c r="F271" s="604"/>
      <c r="G271" s="604"/>
      <c r="H271" s="604"/>
      <c r="I271" s="604"/>
      <c r="J271" s="604"/>
      <c r="K271" s="604"/>
      <c r="L271" s="604"/>
      <c r="M271" s="604"/>
      <c r="N271" s="608"/>
      <c r="O271" s="605"/>
      <c r="P271" s="677"/>
    </row>
    <row r="272" spans="1:16" ht="15" customHeight="1" x14ac:dyDescent="0.3">
      <c r="A272" s="603"/>
      <c r="B272" s="604"/>
      <c r="C272" s="604"/>
      <c r="D272" s="604"/>
      <c r="E272" s="604"/>
      <c r="F272" s="604"/>
      <c r="G272" s="604"/>
      <c r="H272" s="604"/>
      <c r="I272" s="604"/>
      <c r="J272" s="604"/>
      <c r="K272" s="604"/>
      <c r="L272" s="604"/>
      <c r="M272" s="604"/>
      <c r="N272" s="608"/>
      <c r="O272" s="605"/>
      <c r="P272" s="677"/>
    </row>
    <row r="273" spans="1:16" ht="15" customHeight="1" x14ac:dyDescent="0.3">
      <c r="A273" s="603"/>
      <c r="B273" s="604"/>
      <c r="C273" s="604"/>
      <c r="D273" s="604"/>
      <c r="E273" s="604"/>
      <c r="F273" s="604"/>
      <c r="G273" s="604"/>
      <c r="H273" s="604"/>
      <c r="I273" s="604"/>
      <c r="J273" s="604"/>
      <c r="K273" s="604"/>
      <c r="L273" s="604"/>
      <c r="M273" s="604"/>
      <c r="N273" s="608"/>
      <c r="O273" s="605"/>
      <c r="P273" s="677"/>
    </row>
    <row r="274" spans="1:16" ht="15" customHeight="1" x14ac:dyDescent="0.3">
      <c r="A274" s="603"/>
      <c r="B274" s="604"/>
      <c r="C274" s="604"/>
      <c r="D274" s="604"/>
      <c r="E274" s="604"/>
      <c r="F274" s="604"/>
      <c r="G274" s="604"/>
      <c r="H274" s="604"/>
      <c r="I274" s="604"/>
      <c r="J274" s="604"/>
      <c r="K274" s="604"/>
      <c r="L274" s="604"/>
      <c r="M274" s="604"/>
      <c r="N274" s="608"/>
      <c r="O274" s="605"/>
      <c r="P274" s="677"/>
    </row>
    <row r="275" spans="1:16" ht="15" customHeight="1" x14ac:dyDescent="0.3">
      <c r="A275" s="603"/>
      <c r="B275" s="604"/>
      <c r="C275" s="604"/>
      <c r="D275" s="604"/>
      <c r="E275" s="604"/>
      <c r="F275" s="604"/>
      <c r="G275" s="604"/>
      <c r="H275" s="604"/>
      <c r="I275" s="604"/>
      <c r="J275" s="604"/>
      <c r="K275" s="604"/>
      <c r="L275" s="604"/>
      <c r="M275" s="604"/>
      <c r="N275" s="608"/>
      <c r="O275" s="605"/>
      <c r="P275" s="677"/>
    </row>
    <row r="276" spans="1:16" ht="15" customHeight="1" x14ac:dyDescent="0.3">
      <c r="A276" s="603"/>
      <c r="B276" s="604"/>
      <c r="C276" s="604"/>
      <c r="D276" s="604"/>
      <c r="E276" s="604"/>
      <c r="F276" s="604"/>
      <c r="G276" s="604"/>
      <c r="H276" s="604"/>
      <c r="I276" s="604"/>
      <c r="J276" s="604"/>
      <c r="K276" s="604"/>
      <c r="L276" s="604"/>
      <c r="M276" s="604"/>
      <c r="N276" s="608"/>
      <c r="O276" s="605"/>
      <c r="P276" s="677"/>
    </row>
    <row r="277" spans="1:16" ht="15" customHeight="1" x14ac:dyDescent="0.3">
      <c r="A277" s="603"/>
      <c r="B277" s="604"/>
      <c r="C277" s="604"/>
      <c r="D277" s="604"/>
      <c r="E277" s="604"/>
      <c r="F277" s="604"/>
      <c r="G277" s="604"/>
      <c r="H277" s="604"/>
      <c r="I277" s="604"/>
      <c r="J277" s="604"/>
      <c r="K277" s="604"/>
      <c r="L277" s="604"/>
      <c r="M277" s="604"/>
      <c r="N277" s="608"/>
      <c r="O277" s="605"/>
      <c r="P277" s="677"/>
    </row>
    <row r="278" spans="1:16" ht="15" customHeight="1" x14ac:dyDescent="0.3">
      <c r="A278" s="603"/>
      <c r="B278" s="604"/>
      <c r="C278" s="604"/>
      <c r="D278" s="604"/>
      <c r="E278" s="604"/>
      <c r="F278" s="604"/>
      <c r="G278" s="604"/>
      <c r="H278" s="604"/>
      <c r="I278" s="604"/>
      <c r="J278" s="604"/>
      <c r="K278" s="604"/>
      <c r="L278" s="604"/>
      <c r="M278" s="604"/>
      <c r="N278" s="608"/>
      <c r="O278" s="605"/>
      <c r="P278" s="677"/>
    </row>
    <row r="279" spans="1:16" ht="15" customHeight="1" x14ac:dyDescent="0.3">
      <c r="A279" s="603"/>
      <c r="B279" s="604"/>
      <c r="C279" s="604"/>
      <c r="D279" s="604"/>
      <c r="E279" s="604"/>
      <c r="F279" s="604"/>
      <c r="G279" s="604"/>
      <c r="H279" s="604"/>
      <c r="I279" s="604"/>
      <c r="J279" s="604"/>
      <c r="K279" s="604"/>
      <c r="L279" s="604"/>
      <c r="M279" s="604"/>
      <c r="N279" s="608"/>
      <c r="O279" s="605"/>
      <c r="P279" s="677"/>
    </row>
    <row r="280" spans="1:16" ht="15" customHeight="1" x14ac:dyDescent="0.3">
      <c r="A280" s="603"/>
      <c r="B280" s="604"/>
      <c r="C280" s="604"/>
      <c r="D280" s="604"/>
      <c r="E280" s="604"/>
      <c r="F280" s="604"/>
      <c r="G280" s="604"/>
      <c r="H280" s="604"/>
      <c r="I280" s="604"/>
      <c r="J280" s="604"/>
      <c r="K280" s="604"/>
      <c r="L280" s="604"/>
      <c r="M280" s="604"/>
      <c r="N280" s="609"/>
      <c r="O280" s="605"/>
      <c r="P280" s="678"/>
    </row>
    <row r="281" spans="1:16" ht="15" customHeight="1" x14ac:dyDescent="0.3">
      <c r="A281" s="603">
        <v>13</v>
      </c>
      <c r="B281" s="623"/>
      <c r="C281" s="623"/>
      <c r="D281" s="623"/>
      <c r="E281" s="623"/>
      <c r="F281" s="623"/>
      <c r="G281" s="623"/>
      <c r="H281" s="623"/>
      <c r="I281" s="623"/>
      <c r="J281" s="623"/>
      <c r="K281" s="623"/>
      <c r="L281" s="623"/>
      <c r="M281" s="623"/>
      <c r="N281" s="607" t="s">
        <v>213</v>
      </c>
      <c r="O281" s="605" t="str">
        <f>VLOOKUP(A281,'LISTA DE OFERENTES'!$A$6:$B$38,2,FALSE)</f>
        <v>CONSORCIO VALHER</v>
      </c>
      <c r="P281" s="679"/>
    </row>
    <row r="282" spans="1:16" ht="15" customHeight="1" x14ac:dyDescent="0.3">
      <c r="A282" s="603"/>
      <c r="B282" s="623"/>
      <c r="C282" s="623"/>
      <c r="D282" s="623"/>
      <c r="E282" s="623"/>
      <c r="F282" s="623"/>
      <c r="G282" s="623"/>
      <c r="H282" s="623"/>
      <c r="I282" s="623"/>
      <c r="J282" s="623"/>
      <c r="K282" s="623"/>
      <c r="L282" s="623"/>
      <c r="M282" s="623"/>
      <c r="N282" s="608"/>
      <c r="O282" s="605"/>
      <c r="P282" s="679"/>
    </row>
    <row r="283" spans="1:16" ht="15" customHeight="1" x14ac:dyDescent="0.3">
      <c r="A283" s="603"/>
      <c r="B283" s="623"/>
      <c r="C283" s="623"/>
      <c r="D283" s="623"/>
      <c r="E283" s="623"/>
      <c r="F283" s="623"/>
      <c r="G283" s="623"/>
      <c r="H283" s="623"/>
      <c r="I283" s="623"/>
      <c r="J283" s="623"/>
      <c r="K283" s="623"/>
      <c r="L283" s="623"/>
      <c r="M283" s="623"/>
      <c r="N283" s="608"/>
      <c r="O283" s="605"/>
      <c r="P283" s="679"/>
    </row>
    <row r="284" spans="1:16" ht="15" customHeight="1" x14ac:dyDescent="0.3">
      <c r="A284" s="603"/>
      <c r="B284" s="623"/>
      <c r="C284" s="623"/>
      <c r="D284" s="623"/>
      <c r="E284" s="623"/>
      <c r="F284" s="623"/>
      <c r="G284" s="623"/>
      <c r="H284" s="623"/>
      <c r="I284" s="623"/>
      <c r="J284" s="623"/>
      <c r="K284" s="623"/>
      <c r="L284" s="623"/>
      <c r="M284" s="623"/>
      <c r="N284" s="608"/>
      <c r="O284" s="605"/>
      <c r="P284" s="679"/>
    </row>
    <row r="285" spans="1:16" ht="15" customHeight="1" x14ac:dyDescent="0.3">
      <c r="A285" s="603"/>
      <c r="B285" s="623"/>
      <c r="C285" s="623"/>
      <c r="D285" s="623"/>
      <c r="E285" s="623"/>
      <c r="F285" s="623"/>
      <c r="G285" s="623"/>
      <c r="H285" s="623"/>
      <c r="I285" s="623"/>
      <c r="J285" s="623"/>
      <c r="K285" s="623"/>
      <c r="L285" s="623"/>
      <c r="M285" s="623"/>
      <c r="N285" s="608"/>
      <c r="O285" s="605"/>
      <c r="P285" s="679"/>
    </row>
    <row r="286" spans="1:16" ht="15" customHeight="1" x14ac:dyDescent="0.3">
      <c r="A286" s="603"/>
      <c r="B286" s="623"/>
      <c r="C286" s="623"/>
      <c r="D286" s="623"/>
      <c r="E286" s="623"/>
      <c r="F286" s="623"/>
      <c r="G286" s="623"/>
      <c r="H286" s="623"/>
      <c r="I286" s="623"/>
      <c r="J286" s="623"/>
      <c r="K286" s="623"/>
      <c r="L286" s="623"/>
      <c r="M286" s="623"/>
      <c r="N286" s="608"/>
      <c r="O286" s="605"/>
      <c r="P286" s="679"/>
    </row>
    <row r="287" spans="1:16" ht="15" customHeight="1" x14ac:dyDescent="0.3">
      <c r="A287" s="603"/>
      <c r="B287" s="623"/>
      <c r="C287" s="623"/>
      <c r="D287" s="623"/>
      <c r="E287" s="623"/>
      <c r="F287" s="623"/>
      <c r="G287" s="623"/>
      <c r="H287" s="623"/>
      <c r="I287" s="623"/>
      <c r="J287" s="623"/>
      <c r="K287" s="623"/>
      <c r="L287" s="623"/>
      <c r="M287" s="623"/>
      <c r="N287" s="608"/>
      <c r="O287" s="605"/>
      <c r="P287" s="679"/>
    </row>
    <row r="288" spans="1:16" ht="15" customHeight="1" x14ac:dyDescent="0.3">
      <c r="A288" s="603"/>
      <c r="B288" s="623"/>
      <c r="C288" s="623"/>
      <c r="D288" s="623"/>
      <c r="E288" s="623"/>
      <c r="F288" s="623"/>
      <c r="G288" s="623"/>
      <c r="H288" s="623"/>
      <c r="I288" s="623"/>
      <c r="J288" s="623"/>
      <c r="K288" s="623"/>
      <c r="L288" s="623"/>
      <c r="M288" s="623"/>
      <c r="N288" s="608"/>
      <c r="O288" s="605"/>
      <c r="P288" s="679"/>
    </row>
    <row r="289" spans="1:16" ht="15" customHeight="1" x14ac:dyDescent="0.3">
      <c r="A289" s="603"/>
      <c r="B289" s="623"/>
      <c r="C289" s="623"/>
      <c r="D289" s="623"/>
      <c r="E289" s="623"/>
      <c r="F289" s="623"/>
      <c r="G289" s="623"/>
      <c r="H289" s="623"/>
      <c r="I289" s="623"/>
      <c r="J289" s="623"/>
      <c r="K289" s="623"/>
      <c r="L289" s="623"/>
      <c r="M289" s="623"/>
      <c r="N289" s="608"/>
      <c r="O289" s="605"/>
      <c r="P289" s="679"/>
    </row>
    <row r="290" spans="1:16" ht="15" customHeight="1" x14ac:dyDescent="0.3">
      <c r="A290" s="603"/>
      <c r="B290" s="623"/>
      <c r="C290" s="623"/>
      <c r="D290" s="623"/>
      <c r="E290" s="623"/>
      <c r="F290" s="623"/>
      <c r="G290" s="623"/>
      <c r="H290" s="623"/>
      <c r="I290" s="623"/>
      <c r="J290" s="623"/>
      <c r="K290" s="623"/>
      <c r="L290" s="623"/>
      <c r="M290" s="623"/>
      <c r="N290" s="608"/>
      <c r="O290" s="605"/>
      <c r="P290" s="679"/>
    </row>
    <row r="291" spans="1:16" ht="15" customHeight="1" x14ac:dyDescent="0.3">
      <c r="A291" s="603"/>
      <c r="B291" s="623"/>
      <c r="C291" s="623"/>
      <c r="D291" s="623"/>
      <c r="E291" s="623"/>
      <c r="F291" s="623"/>
      <c r="G291" s="623"/>
      <c r="H291" s="623"/>
      <c r="I291" s="623"/>
      <c r="J291" s="623"/>
      <c r="K291" s="623"/>
      <c r="L291" s="623"/>
      <c r="M291" s="623"/>
      <c r="N291" s="608"/>
      <c r="O291" s="605"/>
      <c r="P291" s="679"/>
    </row>
    <row r="292" spans="1:16" ht="15" customHeight="1" x14ac:dyDescent="0.3">
      <c r="A292" s="603"/>
      <c r="B292" s="623"/>
      <c r="C292" s="623"/>
      <c r="D292" s="623"/>
      <c r="E292" s="623"/>
      <c r="F292" s="623"/>
      <c r="G292" s="623"/>
      <c r="H292" s="623"/>
      <c r="I292" s="623"/>
      <c r="J292" s="623"/>
      <c r="K292" s="623"/>
      <c r="L292" s="623"/>
      <c r="M292" s="623"/>
      <c r="N292" s="608"/>
      <c r="O292" s="605"/>
      <c r="P292" s="679"/>
    </row>
    <row r="293" spans="1:16" ht="15" customHeight="1" x14ac:dyDescent="0.3">
      <c r="A293" s="603"/>
      <c r="B293" s="623"/>
      <c r="C293" s="623"/>
      <c r="D293" s="623"/>
      <c r="E293" s="623"/>
      <c r="F293" s="623"/>
      <c r="G293" s="623"/>
      <c r="H293" s="623"/>
      <c r="I293" s="623"/>
      <c r="J293" s="623"/>
      <c r="K293" s="623"/>
      <c r="L293" s="623"/>
      <c r="M293" s="623"/>
      <c r="N293" s="608"/>
      <c r="O293" s="605"/>
      <c r="P293" s="679"/>
    </row>
    <row r="294" spans="1:16" ht="15" customHeight="1" x14ac:dyDescent="0.3">
      <c r="A294" s="603"/>
      <c r="B294" s="623"/>
      <c r="C294" s="623"/>
      <c r="D294" s="623"/>
      <c r="E294" s="623"/>
      <c r="F294" s="623"/>
      <c r="G294" s="623"/>
      <c r="H294" s="623"/>
      <c r="I294" s="623"/>
      <c r="J294" s="623"/>
      <c r="K294" s="623"/>
      <c r="L294" s="623"/>
      <c r="M294" s="623"/>
      <c r="N294" s="608"/>
      <c r="O294" s="605"/>
      <c r="P294" s="679"/>
    </row>
    <row r="295" spans="1:16" ht="15" customHeight="1" x14ac:dyDescent="0.3">
      <c r="A295" s="603"/>
      <c r="B295" s="623"/>
      <c r="C295" s="623"/>
      <c r="D295" s="623"/>
      <c r="E295" s="623"/>
      <c r="F295" s="623"/>
      <c r="G295" s="623"/>
      <c r="H295" s="623"/>
      <c r="I295" s="623"/>
      <c r="J295" s="623"/>
      <c r="K295" s="623"/>
      <c r="L295" s="623"/>
      <c r="M295" s="623"/>
      <c r="N295" s="608"/>
      <c r="O295" s="605"/>
      <c r="P295" s="679"/>
    </row>
    <row r="296" spans="1:16" ht="15" customHeight="1" x14ac:dyDescent="0.3">
      <c r="A296" s="603"/>
      <c r="B296" s="623"/>
      <c r="C296" s="623"/>
      <c r="D296" s="623"/>
      <c r="E296" s="623"/>
      <c r="F296" s="623"/>
      <c r="G296" s="623"/>
      <c r="H296" s="623"/>
      <c r="I296" s="623"/>
      <c r="J296" s="623"/>
      <c r="K296" s="623"/>
      <c r="L296" s="623"/>
      <c r="M296" s="623"/>
      <c r="N296" s="608"/>
      <c r="O296" s="605"/>
      <c r="P296" s="679"/>
    </row>
    <row r="297" spans="1:16" ht="15" customHeight="1" x14ac:dyDescent="0.3">
      <c r="A297" s="603"/>
      <c r="B297" s="623"/>
      <c r="C297" s="623"/>
      <c r="D297" s="623"/>
      <c r="E297" s="623"/>
      <c r="F297" s="623"/>
      <c r="G297" s="623"/>
      <c r="H297" s="623"/>
      <c r="I297" s="623"/>
      <c r="J297" s="623"/>
      <c r="K297" s="623"/>
      <c r="L297" s="623"/>
      <c r="M297" s="623"/>
      <c r="N297" s="608"/>
      <c r="O297" s="605"/>
      <c r="P297" s="679"/>
    </row>
    <row r="298" spans="1:16" ht="15" customHeight="1" x14ac:dyDescent="0.3">
      <c r="A298" s="603"/>
      <c r="B298" s="623"/>
      <c r="C298" s="623"/>
      <c r="D298" s="623"/>
      <c r="E298" s="623"/>
      <c r="F298" s="623"/>
      <c r="G298" s="623"/>
      <c r="H298" s="623"/>
      <c r="I298" s="623"/>
      <c r="J298" s="623"/>
      <c r="K298" s="623"/>
      <c r="L298" s="623"/>
      <c r="M298" s="623"/>
      <c r="N298" s="608"/>
      <c r="O298" s="605"/>
      <c r="P298" s="679"/>
    </row>
    <row r="299" spans="1:16" ht="15" customHeight="1" x14ac:dyDescent="0.3">
      <c r="A299" s="603"/>
      <c r="B299" s="623"/>
      <c r="C299" s="623"/>
      <c r="D299" s="623"/>
      <c r="E299" s="623"/>
      <c r="F299" s="623"/>
      <c r="G299" s="623"/>
      <c r="H299" s="623"/>
      <c r="I299" s="623"/>
      <c r="J299" s="623"/>
      <c r="K299" s="623"/>
      <c r="L299" s="623"/>
      <c r="M299" s="623"/>
      <c r="N299" s="608"/>
      <c r="O299" s="605"/>
      <c r="P299" s="679"/>
    </row>
    <row r="300" spans="1:16" ht="15" customHeight="1" x14ac:dyDescent="0.3">
      <c r="A300" s="603"/>
      <c r="B300" s="623"/>
      <c r="C300" s="623"/>
      <c r="D300" s="623"/>
      <c r="E300" s="623"/>
      <c r="F300" s="623"/>
      <c r="G300" s="623"/>
      <c r="H300" s="623"/>
      <c r="I300" s="623"/>
      <c r="J300" s="623"/>
      <c r="K300" s="623"/>
      <c r="L300" s="623"/>
      <c r="M300" s="623"/>
      <c r="N300" s="608"/>
      <c r="O300" s="605"/>
      <c r="P300" s="679"/>
    </row>
    <row r="301" spans="1:16" ht="15" customHeight="1" x14ac:dyDescent="0.3">
      <c r="A301" s="603"/>
      <c r="B301" s="623"/>
      <c r="C301" s="623"/>
      <c r="D301" s="623"/>
      <c r="E301" s="623"/>
      <c r="F301" s="623"/>
      <c r="G301" s="623"/>
      <c r="H301" s="623"/>
      <c r="I301" s="623"/>
      <c r="J301" s="623"/>
      <c r="K301" s="623"/>
      <c r="L301" s="623"/>
      <c r="M301" s="623"/>
      <c r="N301" s="608"/>
      <c r="O301" s="605"/>
      <c r="P301" s="679"/>
    </row>
    <row r="302" spans="1:16" ht="15" customHeight="1" x14ac:dyDescent="0.3">
      <c r="A302" s="603"/>
      <c r="B302" s="623"/>
      <c r="C302" s="623"/>
      <c r="D302" s="623"/>
      <c r="E302" s="623"/>
      <c r="F302" s="623"/>
      <c r="G302" s="623"/>
      <c r="H302" s="623"/>
      <c r="I302" s="623"/>
      <c r="J302" s="623"/>
      <c r="K302" s="623"/>
      <c r="L302" s="623"/>
      <c r="M302" s="623"/>
      <c r="N302" s="608"/>
      <c r="O302" s="605"/>
      <c r="P302" s="679"/>
    </row>
    <row r="303" spans="1:16" ht="15" customHeight="1" x14ac:dyDescent="0.3">
      <c r="A303" s="603"/>
      <c r="B303" s="623"/>
      <c r="C303" s="623"/>
      <c r="D303" s="623"/>
      <c r="E303" s="623"/>
      <c r="F303" s="623"/>
      <c r="G303" s="623"/>
      <c r="H303" s="623"/>
      <c r="I303" s="623"/>
      <c r="J303" s="623"/>
      <c r="K303" s="623"/>
      <c r="L303" s="623"/>
      <c r="M303" s="623"/>
      <c r="N303" s="609"/>
      <c r="O303" s="605"/>
      <c r="P303" s="679"/>
    </row>
    <row r="304" spans="1:16" ht="15" customHeight="1" x14ac:dyDescent="0.3">
      <c r="A304" s="603">
        <v>14</v>
      </c>
      <c r="B304" s="604"/>
      <c r="C304" s="604"/>
      <c r="D304" s="604"/>
      <c r="E304" s="604"/>
      <c r="F304" s="604"/>
      <c r="G304" s="604"/>
      <c r="H304" s="604"/>
      <c r="I304" s="604"/>
      <c r="J304" s="604"/>
      <c r="K304" s="604"/>
      <c r="L304" s="604"/>
      <c r="M304" s="604"/>
      <c r="N304" s="607" t="s">
        <v>213</v>
      </c>
      <c r="O304" s="605" t="str">
        <f>VLOOKUP(A304,'LISTA DE OFERENTES'!$A$6:$B$38,2,FALSE)</f>
        <v>PAVIMENTOS TECNICOS SAS</v>
      </c>
      <c r="P304" s="680"/>
    </row>
    <row r="305" spans="1:16" ht="15" customHeight="1" x14ac:dyDescent="0.3">
      <c r="A305" s="603"/>
      <c r="B305" s="604"/>
      <c r="C305" s="604"/>
      <c r="D305" s="604"/>
      <c r="E305" s="604"/>
      <c r="F305" s="604"/>
      <c r="G305" s="604"/>
      <c r="H305" s="604"/>
      <c r="I305" s="604"/>
      <c r="J305" s="604"/>
      <c r="K305" s="604"/>
      <c r="L305" s="604"/>
      <c r="M305" s="604"/>
      <c r="N305" s="608"/>
      <c r="O305" s="605"/>
      <c r="P305" s="679"/>
    </row>
    <row r="306" spans="1:16" ht="15" customHeight="1" x14ac:dyDescent="0.3">
      <c r="A306" s="603"/>
      <c r="B306" s="604"/>
      <c r="C306" s="604"/>
      <c r="D306" s="604"/>
      <c r="E306" s="604"/>
      <c r="F306" s="604"/>
      <c r="G306" s="604"/>
      <c r="H306" s="604"/>
      <c r="I306" s="604"/>
      <c r="J306" s="604"/>
      <c r="K306" s="604"/>
      <c r="L306" s="604"/>
      <c r="M306" s="604"/>
      <c r="N306" s="608"/>
      <c r="O306" s="605"/>
      <c r="P306" s="679"/>
    </row>
    <row r="307" spans="1:16" ht="15" customHeight="1" x14ac:dyDescent="0.3">
      <c r="A307" s="603"/>
      <c r="B307" s="604"/>
      <c r="C307" s="604"/>
      <c r="D307" s="604"/>
      <c r="E307" s="604"/>
      <c r="F307" s="604"/>
      <c r="G307" s="604"/>
      <c r="H307" s="604"/>
      <c r="I307" s="604"/>
      <c r="J307" s="604"/>
      <c r="K307" s="604"/>
      <c r="L307" s="604"/>
      <c r="M307" s="604"/>
      <c r="N307" s="608"/>
      <c r="O307" s="605"/>
      <c r="P307" s="679"/>
    </row>
    <row r="308" spans="1:16" ht="15" customHeight="1" x14ac:dyDescent="0.3">
      <c r="A308" s="603"/>
      <c r="B308" s="604"/>
      <c r="C308" s="604"/>
      <c r="D308" s="604"/>
      <c r="E308" s="604"/>
      <c r="F308" s="604"/>
      <c r="G308" s="604"/>
      <c r="H308" s="604"/>
      <c r="I308" s="604"/>
      <c r="J308" s="604"/>
      <c r="K308" s="604"/>
      <c r="L308" s="604"/>
      <c r="M308" s="604"/>
      <c r="N308" s="608"/>
      <c r="O308" s="605"/>
      <c r="P308" s="679"/>
    </row>
    <row r="309" spans="1:16" ht="15" customHeight="1" x14ac:dyDescent="0.3">
      <c r="A309" s="603"/>
      <c r="B309" s="604"/>
      <c r="C309" s="604"/>
      <c r="D309" s="604"/>
      <c r="E309" s="604"/>
      <c r="F309" s="604"/>
      <c r="G309" s="604"/>
      <c r="H309" s="604"/>
      <c r="I309" s="604"/>
      <c r="J309" s="604"/>
      <c r="K309" s="604"/>
      <c r="L309" s="604"/>
      <c r="M309" s="604"/>
      <c r="N309" s="608"/>
      <c r="O309" s="605"/>
      <c r="P309" s="679"/>
    </row>
    <row r="310" spans="1:16" ht="15" customHeight="1" x14ac:dyDescent="0.3">
      <c r="A310" s="603"/>
      <c r="B310" s="604"/>
      <c r="C310" s="604"/>
      <c r="D310" s="604"/>
      <c r="E310" s="604"/>
      <c r="F310" s="604"/>
      <c r="G310" s="604"/>
      <c r="H310" s="604"/>
      <c r="I310" s="604"/>
      <c r="J310" s="604"/>
      <c r="K310" s="604"/>
      <c r="L310" s="604"/>
      <c r="M310" s="604"/>
      <c r="N310" s="608"/>
      <c r="O310" s="605"/>
      <c r="P310" s="679"/>
    </row>
    <row r="311" spans="1:16" ht="15" customHeight="1" x14ac:dyDescent="0.3">
      <c r="A311" s="603"/>
      <c r="B311" s="604"/>
      <c r="C311" s="604"/>
      <c r="D311" s="604"/>
      <c r="E311" s="604"/>
      <c r="F311" s="604"/>
      <c r="G311" s="604"/>
      <c r="H311" s="604"/>
      <c r="I311" s="604"/>
      <c r="J311" s="604"/>
      <c r="K311" s="604"/>
      <c r="L311" s="604"/>
      <c r="M311" s="604"/>
      <c r="N311" s="608"/>
      <c r="O311" s="605"/>
      <c r="P311" s="679"/>
    </row>
    <row r="312" spans="1:16" ht="15" customHeight="1" x14ac:dyDescent="0.3">
      <c r="A312" s="603"/>
      <c r="B312" s="604"/>
      <c r="C312" s="604"/>
      <c r="D312" s="604"/>
      <c r="E312" s="604"/>
      <c r="F312" s="604"/>
      <c r="G312" s="604"/>
      <c r="H312" s="604"/>
      <c r="I312" s="604"/>
      <c r="J312" s="604"/>
      <c r="K312" s="604"/>
      <c r="L312" s="604"/>
      <c r="M312" s="604"/>
      <c r="N312" s="608"/>
      <c r="O312" s="605"/>
      <c r="P312" s="679"/>
    </row>
    <row r="313" spans="1:16" ht="15" customHeight="1" x14ac:dyDescent="0.3">
      <c r="A313" s="603"/>
      <c r="B313" s="604"/>
      <c r="C313" s="604"/>
      <c r="D313" s="604"/>
      <c r="E313" s="604"/>
      <c r="F313" s="604"/>
      <c r="G313" s="604"/>
      <c r="H313" s="604"/>
      <c r="I313" s="604"/>
      <c r="J313" s="604"/>
      <c r="K313" s="604"/>
      <c r="L313" s="604"/>
      <c r="M313" s="604"/>
      <c r="N313" s="608"/>
      <c r="O313" s="605"/>
      <c r="P313" s="679"/>
    </row>
    <row r="314" spans="1:16" ht="15" customHeight="1" x14ac:dyDescent="0.3">
      <c r="A314" s="603"/>
      <c r="B314" s="604"/>
      <c r="C314" s="604"/>
      <c r="D314" s="604"/>
      <c r="E314" s="604"/>
      <c r="F314" s="604"/>
      <c r="G314" s="604"/>
      <c r="H314" s="604"/>
      <c r="I314" s="604"/>
      <c r="J314" s="604"/>
      <c r="K314" s="604"/>
      <c r="L314" s="604"/>
      <c r="M314" s="604"/>
      <c r="N314" s="608"/>
      <c r="O314" s="605"/>
      <c r="P314" s="679"/>
    </row>
    <row r="315" spans="1:16" ht="15" customHeight="1" x14ac:dyDescent="0.3">
      <c r="A315" s="603"/>
      <c r="B315" s="604"/>
      <c r="C315" s="604"/>
      <c r="D315" s="604"/>
      <c r="E315" s="604"/>
      <c r="F315" s="604"/>
      <c r="G315" s="604"/>
      <c r="H315" s="604"/>
      <c r="I315" s="604"/>
      <c r="J315" s="604"/>
      <c r="K315" s="604"/>
      <c r="L315" s="604"/>
      <c r="M315" s="604"/>
      <c r="N315" s="608"/>
      <c r="O315" s="605"/>
      <c r="P315" s="679"/>
    </row>
    <row r="316" spans="1:16" ht="15" customHeight="1" x14ac:dyDescent="0.3">
      <c r="A316" s="603"/>
      <c r="B316" s="604"/>
      <c r="C316" s="604"/>
      <c r="D316" s="604"/>
      <c r="E316" s="604"/>
      <c r="F316" s="604"/>
      <c r="G316" s="604"/>
      <c r="H316" s="604"/>
      <c r="I316" s="604"/>
      <c r="J316" s="604"/>
      <c r="K316" s="604"/>
      <c r="L316" s="604"/>
      <c r="M316" s="604"/>
      <c r="N316" s="608"/>
      <c r="O316" s="605"/>
      <c r="P316" s="679"/>
    </row>
    <row r="317" spans="1:16" ht="15" customHeight="1" x14ac:dyDescent="0.3">
      <c r="A317" s="603"/>
      <c r="B317" s="604"/>
      <c r="C317" s="604"/>
      <c r="D317" s="604"/>
      <c r="E317" s="604"/>
      <c r="F317" s="604"/>
      <c r="G317" s="604"/>
      <c r="H317" s="604"/>
      <c r="I317" s="604"/>
      <c r="J317" s="604"/>
      <c r="K317" s="604"/>
      <c r="L317" s="604"/>
      <c r="M317" s="604"/>
      <c r="N317" s="608"/>
      <c r="O317" s="605"/>
      <c r="P317" s="679"/>
    </row>
    <row r="318" spans="1:16" ht="15" customHeight="1" x14ac:dyDescent="0.3">
      <c r="A318" s="603"/>
      <c r="B318" s="604"/>
      <c r="C318" s="604"/>
      <c r="D318" s="604"/>
      <c r="E318" s="604"/>
      <c r="F318" s="604"/>
      <c r="G318" s="604"/>
      <c r="H318" s="604"/>
      <c r="I318" s="604"/>
      <c r="J318" s="604"/>
      <c r="K318" s="604"/>
      <c r="L318" s="604"/>
      <c r="M318" s="604"/>
      <c r="N318" s="608"/>
      <c r="O318" s="605"/>
      <c r="P318" s="679"/>
    </row>
    <row r="319" spans="1:16" ht="15" customHeight="1" x14ac:dyDescent="0.3">
      <c r="A319" s="603"/>
      <c r="B319" s="604"/>
      <c r="C319" s="604"/>
      <c r="D319" s="604"/>
      <c r="E319" s="604"/>
      <c r="F319" s="604"/>
      <c r="G319" s="604"/>
      <c r="H319" s="604"/>
      <c r="I319" s="604"/>
      <c r="J319" s="604"/>
      <c r="K319" s="604"/>
      <c r="L319" s="604"/>
      <c r="M319" s="604"/>
      <c r="N319" s="608"/>
      <c r="O319" s="605"/>
      <c r="P319" s="679"/>
    </row>
    <row r="320" spans="1:16" ht="15" customHeight="1" x14ac:dyDescent="0.3">
      <c r="A320" s="603"/>
      <c r="B320" s="604"/>
      <c r="C320" s="604"/>
      <c r="D320" s="604"/>
      <c r="E320" s="604"/>
      <c r="F320" s="604"/>
      <c r="G320" s="604"/>
      <c r="H320" s="604"/>
      <c r="I320" s="604"/>
      <c r="J320" s="604"/>
      <c r="K320" s="604"/>
      <c r="L320" s="604"/>
      <c r="M320" s="604"/>
      <c r="N320" s="608"/>
      <c r="O320" s="605"/>
      <c r="P320" s="679"/>
    </row>
    <row r="321" spans="1:16" ht="15" customHeight="1" x14ac:dyDescent="0.3">
      <c r="A321" s="603"/>
      <c r="B321" s="604"/>
      <c r="C321" s="604"/>
      <c r="D321" s="604"/>
      <c r="E321" s="604"/>
      <c r="F321" s="604"/>
      <c r="G321" s="604"/>
      <c r="H321" s="604"/>
      <c r="I321" s="604"/>
      <c r="J321" s="604"/>
      <c r="K321" s="604"/>
      <c r="L321" s="604"/>
      <c r="M321" s="604"/>
      <c r="N321" s="608"/>
      <c r="O321" s="605"/>
      <c r="P321" s="679"/>
    </row>
    <row r="322" spans="1:16" ht="15" customHeight="1" x14ac:dyDescent="0.3">
      <c r="A322" s="603"/>
      <c r="B322" s="604"/>
      <c r="C322" s="604"/>
      <c r="D322" s="604"/>
      <c r="E322" s="604"/>
      <c r="F322" s="604"/>
      <c r="G322" s="604"/>
      <c r="H322" s="604"/>
      <c r="I322" s="604"/>
      <c r="J322" s="604"/>
      <c r="K322" s="604"/>
      <c r="L322" s="604"/>
      <c r="M322" s="604"/>
      <c r="N322" s="608"/>
      <c r="O322" s="605"/>
      <c r="P322" s="679"/>
    </row>
    <row r="323" spans="1:16" ht="15" customHeight="1" x14ac:dyDescent="0.3">
      <c r="A323" s="603"/>
      <c r="B323" s="604"/>
      <c r="C323" s="604"/>
      <c r="D323" s="604"/>
      <c r="E323" s="604"/>
      <c r="F323" s="604"/>
      <c r="G323" s="604"/>
      <c r="H323" s="604"/>
      <c r="I323" s="604"/>
      <c r="J323" s="604"/>
      <c r="K323" s="604"/>
      <c r="L323" s="604"/>
      <c r="M323" s="604"/>
      <c r="N323" s="608"/>
      <c r="O323" s="605"/>
      <c r="P323" s="679"/>
    </row>
    <row r="324" spans="1:16" ht="15" customHeight="1" x14ac:dyDescent="0.3">
      <c r="A324" s="603"/>
      <c r="B324" s="604"/>
      <c r="C324" s="604"/>
      <c r="D324" s="604"/>
      <c r="E324" s="604"/>
      <c r="F324" s="604"/>
      <c r="G324" s="604"/>
      <c r="H324" s="604"/>
      <c r="I324" s="604"/>
      <c r="J324" s="604"/>
      <c r="K324" s="604"/>
      <c r="L324" s="604"/>
      <c r="M324" s="604"/>
      <c r="N324" s="608"/>
      <c r="O324" s="605"/>
      <c r="P324" s="679"/>
    </row>
    <row r="325" spans="1:16" ht="15" customHeight="1" x14ac:dyDescent="0.3">
      <c r="A325" s="603"/>
      <c r="B325" s="604"/>
      <c r="C325" s="604"/>
      <c r="D325" s="604"/>
      <c r="E325" s="604"/>
      <c r="F325" s="604"/>
      <c r="G325" s="604"/>
      <c r="H325" s="604"/>
      <c r="I325" s="604"/>
      <c r="J325" s="604"/>
      <c r="K325" s="604"/>
      <c r="L325" s="604"/>
      <c r="M325" s="604"/>
      <c r="N325" s="608"/>
      <c r="O325" s="605"/>
      <c r="P325" s="679"/>
    </row>
    <row r="326" spans="1:16" ht="15" customHeight="1" x14ac:dyDescent="0.3">
      <c r="A326" s="603"/>
      <c r="B326" s="604"/>
      <c r="C326" s="604"/>
      <c r="D326" s="604"/>
      <c r="E326" s="604"/>
      <c r="F326" s="604"/>
      <c r="G326" s="604"/>
      <c r="H326" s="604"/>
      <c r="I326" s="604"/>
      <c r="J326" s="604"/>
      <c r="K326" s="604"/>
      <c r="L326" s="604"/>
      <c r="M326" s="604"/>
      <c r="N326" s="609"/>
      <c r="O326" s="605"/>
      <c r="P326" s="679"/>
    </row>
    <row r="327" spans="1:16" ht="15" customHeight="1" x14ac:dyDescent="0.3">
      <c r="A327" s="603">
        <v>15</v>
      </c>
      <c r="B327" s="606"/>
      <c r="C327" s="606"/>
      <c r="D327" s="606"/>
      <c r="E327" s="606"/>
      <c r="F327" s="606"/>
      <c r="G327" s="606"/>
      <c r="H327" s="606"/>
      <c r="I327" s="606"/>
      <c r="J327" s="606"/>
      <c r="K327" s="606"/>
      <c r="L327" s="606"/>
      <c r="M327" s="606"/>
      <c r="N327" s="607" t="s">
        <v>213</v>
      </c>
      <c r="O327" s="605" t="str">
        <f>VLOOKUP(A327,'LISTA DE OFERENTES'!$A$6:$B$38,2,FALSE)</f>
        <v>GESTION RURAL Y URBANA SAS</v>
      </c>
      <c r="P327" s="680"/>
    </row>
    <row r="328" spans="1:16" ht="15" customHeight="1" x14ac:dyDescent="0.3">
      <c r="A328" s="603"/>
      <c r="B328" s="606"/>
      <c r="C328" s="606"/>
      <c r="D328" s="606"/>
      <c r="E328" s="606"/>
      <c r="F328" s="606"/>
      <c r="G328" s="606"/>
      <c r="H328" s="606"/>
      <c r="I328" s="606"/>
      <c r="J328" s="606"/>
      <c r="K328" s="606"/>
      <c r="L328" s="606"/>
      <c r="M328" s="606"/>
      <c r="N328" s="608"/>
      <c r="O328" s="605"/>
      <c r="P328" s="679"/>
    </row>
    <row r="329" spans="1:16" ht="15" customHeight="1" x14ac:dyDescent="0.3">
      <c r="A329" s="603"/>
      <c r="B329" s="606"/>
      <c r="C329" s="606"/>
      <c r="D329" s="606"/>
      <c r="E329" s="606"/>
      <c r="F329" s="606"/>
      <c r="G329" s="606"/>
      <c r="H329" s="606"/>
      <c r="I329" s="606"/>
      <c r="J329" s="606"/>
      <c r="K329" s="606"/>
      <c r="L329" s="606"/>
      <c r="M329" s="606"/>
      <c r="N329" s="608"/>
      <c r="O329" s="605"/>
      <c r="P329" s="679"/>
    </row>
    <row r="330" spans="1:16" ht="15" customHeight="1" x14ac:dyDescent="0.3">
      <c r="A330" s="603"/>
      <c r="B330" s="606"/>
      <c r="C330" s="606"/>
      <c r="D330" s="606"/>
      <c r="E330" s="606"/>
      <c r="F330" s="606"/>
      <c r="G330" s="606"/>
      <c r="H330" s="606"/>
      <c r="I330" s="606"/>
      <c r="J330" s="606"/>
      <c r="K330" s="606"/>
      <c r="L330" s="606"/>
      <c r="M330" s="606"/>
      <c r="N330" s="608"/>
      <c r="O330" s="605"/>
      <c r="P330" s="679"/>
    </row>
    <row r="331" spans="1:16" ht="15" customHeight="1" x14ac:dyDescent="0.3">
      <c r="A331" s="603"/>
      <c r="B331" s="606"/>
      <c r="C331" s="606"/>
      <c r="D331" s="606"/>
      <c r="E331" s="606"/>
      <c r="F331" s="606"/>
      <c r="G331" s="606"/>
      <c r="H331" s="606"/>
      <c r="I331" s="606"/>
      <c r="J331" s="606"/>
      <c r="K331" s="606"/>
      <c r="L331" s="606"/>
      <c r="M331" s="606"/>
      <c r="N331" s="608"/>
      <c r="O331" s="605"/>
      <c r="P331" s="679"/>
    </row>
    <row r="332" spans="1:16" ht="15" customHeight="1" x14ac:dyDescent="0.3">
      <c r="A332" s="603"/>
      <c r="B332" s="606"/>
      <c r="C332" s="606"/>
      <c r="D332" s="606"/>
      <c r="E332" s="606"/>
      <c r="F332" s="606"/>
      <c r="G332" s="606"/>
      <c r="H332" s="606"/>
      <c r="I332" s="606"/>
      <c r="J332" s="606"/>
      <c r="K332" s="606"/>
      <c r="L332" s="606"/>
      <c r="M332" s="606"/>
      <c r="N332" s="608"/>
      <c r="O332" s="605"/>
      <c r="P332" s="679"/>
    </row>
    <row r="333" spans="1:16" ht="15" customHeight="1" x14ac:dyDescent="0.3">
      <c r="A333" s="603"/>
      <c r="B333" s="606"/>
      <c r="C333" s="606"/>
      <c r="D333" s="606"/>
      <c r="E333" s="606"/>
      <c r="F333" s="606"/>
      <c r="G333" s="606"/>
      <c r="H333" s="606"/>
      <c r="I333" s="606"/>
      <c r="J333" s="606"/>
      <c r="K333" s="606"/>
      <c r="L333" s="606"/>
      <c r="M333" s="606"/>
      <c r="N333" s="608"/>
      <c r="O333" s="605"/>
      <c r="P333" s="679"/>
    </row>
    <row r="334" spans="1:16" ht="15" customHeight="1" x14ac:dyDescent="0.3">
      <c r="A334" s="603"/>
      <c r="B334" s="606"/>
      <c r="C334" s="606"/>
      <c r="D334" s="606"/>
      <c r="E334" s="606"/>
      <c r="F334" s="606"/>
      <c r="G334" s="606"/>
      <c r="H334" s="606"/>
      <c r="I334" s="606"/>
      <c r="J334" s="606"/>
      <c r="K334" s="606"/>
      <c r="L334" s="606"/>
      <c r="M334" s="606"/>
      <c r="N334" s="608"/>
      <c r="O334" s="605"/>
      <c r="P334" s="679"/>
    </row>
    <row r="335" spans="1:16" ht="15" customHeight="1" x14ac:dyDescent="0.3">
      <c r="A335" s="603"/>
      <c r="B335" s="606"/>
      <c r="C335" s="606"/>
      <c r="D335" s="606"/>
      <c r="E335" s="606"/>
      <c r="F335" s="606"/>
      <c r="G335" s="606"/>
      <c r="H335" s="606"/>
      <c r="I335" s="606"/>
      <c r="J335" s="606"/>
      <c r="K335" s="606"/>
      <c r="L335" s="606"/>
      <c r="M335" s="606"/>
      <c r="N335" s="608"/>
      <c r="O335" s="605"/>
      <c r="P335" s="679"/>
    </row>
    <row r="336" spans="1:16" ht="15" customHeight="1" x14ac:dyDescent="0.3">
      <c r="A336" s="603"/>
      <c r="B336" s="606"/>
      <c r="C336" s="606"/>
      <c r="D336" s="606"/>
      <c r="E336" s="606"/>
      <c r="F336" s="606"/>
      <c r="G336" s="606"/>
      <c r="H336" s="606"/>
      <c r="I336" s="606"/>
      <c r="J336" s="606"/>
      <c r="K336" s="606"/>
      <c r="L336" s="606"/>
      <c r="M336" s="606"/>
      <c r="N336" s="608"/>
      <c r="O336" s="605"/>
      <c r="P336" s="679"/>
    </row>
    <row r="337" spans="1:16" ht="15" customHeight="1" x14ac:dyDescent="0.3">
      <c r="A337" s="603"/>
      <c r="B337" s="606"/>
      <c r="C337" s="606"/>
      <c r="D337" s="606"/>
      <c r="E337" s="606"/>
      <c r="F337" s="606"/>
      <c r="G337" s="606"/>
      <c r="H337" s="606"/>
      <c r="I337" s="606"/>
      <c r="J337" s="606"/>
      <c r="K337" s="606"/>
      <c r="L337" s="606"/>
      <c r="M337" s="606"/>
      <c r="N337" s="608"/>
      <c r="O337" s="605"/>
      <c r="P337" s="679"/>
    </row>
    <row r="338" spans="1:16" ht="15" customHeight="1" x14ac:dyDescent="0.3">
      <c r="A338" s="603"/>
      <c r="B338" s="606"/>
      <c r="C338" s="606"/>
      <c r="D338" s="606"/>
      <c r="E338" s="606"/>
      <c r="F338" s="606"/>
      <c r="G338" s="606"/>
      <c r="H338" s="606"/>
      <c r="I338" s="606"/>
      <c r="J338" s="606"/>
      <c r="K338" s="606"/>
      <c r="L338" s="606"/>
      <c r="M338" s="606"/>
      <c r="N338" s="608"/>
      <c r="O338" s="605"/>
      <c r="P338" s="679"/>
    </row>
    <row r="339" spans="1:16" ht="15" customHeight="1" x14ac:dyDescent="0.3">
      <c r="A339" s="603"/>
      <c r="B339" s="606"/>
      <c r="C339" s="606"/>
      <c r="D339" s="606"/>
      <c r="E339" s="606"/>
      <c r="F339" s="606"/>
      <c r="G339" s="606"/>
      <c r="H339" s="606"/>
      <c r="I339" s="606"/>
      <c r="J339" s="606"/>
      <c r="K339" s="606"/>
      <c r="L339" s="606"/>
      <c r="M339" s="606"/>
      <c r="N339" s="608"/>
      <c r="O339" s="605"/>
      <c r="P339" s="679"/>
    </row>
    <row r="340" spans="1:16" ht="15" customHeight="1" x14ac:dyDescent="0.3">
      <c r="A340" s="603"/>
      <c r="B340" s="606"/>
      <c r="C340" s="606"/>
      <c r="D340" s="606"/>
      <c r="E340" s="606"/>
      <c r="F340" s="606"/>
      <c r="G340" s="606"/>
      <c r="H340" s="606"/>
      <c r="I340" s="606"/>
      <c r="J340" s="606"/>
      <c r="K340" s="606"/>
      <c r="L340" s="606"/>
      <c r="M340" s="606"/>
      <c r="N340" s="608"/>
      <c r="O340" s="605"/>
      <c r="P340" s="679"/>
    </row>
    <row r="341" spans="1:16" ht="15" customHeight="1" x14ac:dyDescent="0.3">
      <c r="A341" s="603"/>
      <c r="B341" s="606"/>
      <c r="C341" s="606"/>
      <c r="D341" s="606"/>
      <c r="E341" s="606"/>
      <c r="F341" s="606"/>
      <c r="G341" s="606"/>
      <c r="H341" s="606"/>
      <c r="I341" s="606"/>
      <c r="J341" s="606"/>
      <c r="K341" s="606"/>
      <c r="L341" s="606"/>
      <c r="M341" s="606"/>
      <c r="N341" s="608"/>
      <c r="O341" s="605"/>
      <c r="P341" s="679"/>
    </row>
    <row r="342" spans="1:16" ht="15" customHeight="1" x14ac:dyDescent="0.3">
      <c r="A342" s="603"/>
      <c r="B342" s="606"/>
      <c r="C342" s="606"/>
      <c r="D342" s="606"/>
      <c r="E342" s="606"/>
      <c r="F342" s="606"/>
      <c r="G342" s="606"/>
      <c r="H342" s="606"/>
      <c r="I342" s="606"/>
      <c r="J342" s="606"/>
      <c r="K342" s="606"/>
      <c r="L342" s="606"/>
      <c r="M342" s="606"/>
      <c r="N342" s="608"/>
      <c r="O342" s="605"/>
      <c r="P342" s="679"/>
    </row>
    <row r="343" spans="1:16" ht="15" customHeight="1" x14ac:dyDescent="0.3">
      <c r="A343" s="603"/>
      <c r="B343" s="606"/>
      <c r="C343" s="606"/>
      <c r="D343" s="606"/>
      <c r="E343" s="606"/>
      <c r="F343" s="606"/>
      <c r="G343" s="606"/>
      <c r="H343" s="606"/>
      <c r="I343" s="606"/>
      <c r="J343" s="606"/>
      <c r="K343" s="606"/>
      <c r="L343" s="606"/>
      <c r="M343" s="606"/>
      <c r="N343" s="608"/>
      <c r="O343" s="605"/>
      <c r="P343" s="679"/>
    </row>
    <row r="344" spans="1:16" ht="15" customHeight="1" x14ac:dyDescent="0.3">
      <c r="A344" s="603"/>
      <c r="B344" s="606"/>
      <c r="C344" s="606"/>
      <c r="D344" s="606"/>
      <c r="E344" s="606"/>
      <c r="F344" s="606"/>
      <c r="G344" s="606"/>
      <c r="H344" s="606"/>
      <c r="I344" s="606"/>
      <c r="J344" s="606"/>
      <c r="K344" s="606"/>
      <c r="L344" s="606"/>
      <c r="M344" s="606"/>
      <c r="N344" s="608"/>
      <c r="O344" s="605"/>
      <c r="P344" s="679"/>
    </row>
    <row r="345" spans="1:16" ht="15" customHeight="1" x14ac:dyDescent="0.3">
      <c r="A345" s="603"/>
      <c r="B345" s="606"/>
      <c r="C345" s="606"/>
      <c r="D345" s="606"/>
      <c r="E345" s="606"/>
      <c r="F345" s="606"/>
      <c r="G345" s="606"/>
      <c r="H345" s="606"/>
      <c r="I345" s="606"/>
      <c r="J345" s="606"/>
      <c r="K345" s="606"/>
      <c r="L345" s="606"/>
      <c r="M345" s="606"/>
      <c r="N345" s="608"/>
      <c r="O345" s="605"/>
      <c r="P345" s="679"/>
    </row>
    <row r="346" spans="1:16" ht="15" customHeight="1" x14ac:dyDescent="0.3">
      <c r="A346" s="603"/>
      <c r="B346" s="606"/>
      <c r="C346" s="606"/>
      <c r="D346" s="606"/>
      <c r="E346" s="606"/>
      <c r="F346" s="606"/>
      <c r="G346" s="606"/>
      <c r="H346" s="606"/>
      <c r="I346" s="606"/>
      <c r="J346" s="606"/>
      <c r="K346" s="606"/>
      <c r="L346" s="606"/>
      <c r="M346" s="606"/>
      <c r="N346" s="608"/>
      <c r="O346" s="605"/>
      <c r="P346" s="679"/>
    </row>
    <row r="347" spans="1:16" ht="15" customHeight="1" x14ac:dyDescent="0.3">
      <c r="A347" s="603"/>
      <c r="B347" s="606"/>
      <c r="C347" s="606"/>
      <c r="D347" s="606"/>
      <c r="E347" s="606"/>
      <c r="F347" s="606"/>
      <c r="G347" s="606"/>
      <c r="H347" s="606"/>
      <c r="I347" s="606"/>
      <c r="J347" s="606"/>
      <c r="K347" s="606"/>
      <c r="L347" s="606"/>
      <c r="M347" s="606"/>
      <c r="N347" s="608"/>
      <c r="O347" s="605"/>
      <c r="P347" s="679"/>
    </row>
    <row r="348" spans="1:16" ht="15" customHeight="1" x14ac:dyDescent="0.3">
      <c r="A348" s="603"/>
      <c r="B348" s="606"/>
      <c r="C348" s="606"/>
      <c r="D348" s="606"/>
      <c r="E348" s="606"/>
      <c r="F348" s="606"/>
      <c r="G348" s="606"/>
      <c r="H348" s="606"/>
      <c r="I348" s="606"/>
      <c r="J348" s="606"/>
      <c r="K348" s="606"/>
      <c r="L348" s="606"/>
      <c r="M348" s="606"/>
      <c r="N348" s="608"/>
      <c r="O348" s="605"/>
      <c r="P348" s="679"/>
    </row>
    <row r="349" spans="1:16" ht="15" customHeight="1" x14ac:dyDescent="0.3">
      <c r="A349" s="603"/>
      <c r="B349" s="606"/>
      <c r="C349" s="606"/>
      <c r="D349" s="606"/>
      <c r="E349" s="606"/>
      <c r="F349" s="606"/>
      <c r="G349" s="606"/>
      <c r="H349" s="606"/>
      <c r="I349" s="606"/>
      <c r="J349" s="606"/>
      <c r="K349" s="606"/>
      <c r="L349" s="606"/>
      <c r="M349" s="606"/>
      <c r="N349" s="609"/>
      <c r="O349" s="605"/>
      <c r="P349" s="679"/>
    </row>
    <row r="350" spans="1:16" ht="15" customHeight="1" x14ac:dyDescent="0.3">
      <c r="A350" s="603">
        <v>16</v>
      </c>
      <c r="B350" s="606"/>
      <c r="C350" s="606"/>
      <c r="D350" s="606"/>
      <c r="E350" s="606"/>
      <c r="F350" s="606"/>
      <c r="G350" s="606"/>
      <c r="H350" s="606"/>
      <c r="I350" s="606"/>
      <c r="J350" s="606"/>
      <c r="K350" s="606"/>
      <c r="L350" s="606"/>
      <c r="M350" s="606"/>
      <c r="N350" s="607" t="s">
        <v>213</v>
      </c>
      <c r="O350" s="605" t="str">
        <f>VLOOKUP(A350,'LISTA DE OFERENTES'!$A$6:$B$38,2,FALSE)</f>
        <v>ESTUDIOS E INGENIERIA SAS</v>
      </c>
      <c r="P350" s="680"/>
    </row>
    <row r="351" spans="1:16" ht="15" customHeight="1" x14ac:dyDescent="0.3">
      <c r="A351" s="603"/>
      <c r="B351" s="606"/>
      <c r="C351" s="606"/>
      <c r="D351" s="606"/>
      <c r="E351" s="606"/>
      <c r="F351" s="606"/>
      <c r="G351" s="606"/>
      <c r="H351" s="606"/>
      <c r="I351" s="606"/>
      <c r="J351" s="606"/>
      <c r="K351" s="606"/>
      <c r="L351" s="606"/>
      <c r="M351" s="606"/>
      <c r="N351" s="608"/>
      <c r="O351" s="605"/>
      <c r="P351" s="679"/>
    </row>
    <row r="352" spans="1:16" ht="15" customHeight="1" x14ac:dyDescent="0.3">
      <c r="A352" s="603"/>
      <c r="B352" s="606"/>
      <c r="C352" s="606"/>
      <c r="D352" s="606"/>
      <c r="E352" s="606"/>
      <c r="F352" s="606"/>
      <c r="G352" s="606"/>
      <c r="H352" s="606"/>
      <c r="I352" s="606"/>
      <c r="J352" s="606"/>
      <c r="K352" s="606"/>
      <c r="L352" s="606"/>
      <c r="M352" s="606"/>
      <c r="N352" s="608"/>
      <c r="O352" s="605"/>
      <c r="P352" s="679"/>
    </row>
    <row r="353" spans="1:16" ht="15" customHeight="1" x14ac:dyDescent="0.3">
      <c r="A353" s="603"/>
      <c r="B353" s="606"/>
      <c r="C353" s="606"/>
      <c r="D353" s="606"/>
      <c r="E353" s="606"/>
      <c r="F353" s="606"/>
      <c r="G353" s="606"/>
      <c r="H353" s="606"/>
      <c r="I353" s="606"/>
      <c r="J353" s="606"/>
      <c r="K353" s="606"/>
      <c r="L353" s="606"/>
      <c r="M353" s="606"/>
      <c r="N353" s="608"/>
      <c r="O353" s="605"/>
      <c r="P353" s="679"/>
    </row>
    <row r="354" spans="1:16" ht="15" customHeight="1" x14ac:dyDescent="0.3">
      <c r="A354" s="603"/>
      <c r="B354" s="606"/>
      <c r="C354" s="606"/>
      <c r="D354" s="606"/>
      <c r="E354" s="606"/>
      <c r="F354" s="606"/>
      <c r="G354" s="606"/>
      <c r="H354" s="606"/>
      <c r="I354" s="606"/>
      <c r="J354" s="606"/>
      <c r="K354" s="606"/>
      <c r="L354" s="606"/>
      <c r="M354" s="606"/>
      <c r="N354" s="608"/>
      <c r="O354" s="605"/>
      <c r="P354" s="679"/>
    </row>
    <row r="355" spans="1:16" ht="15" customHeight="1" x14ac:dyDescent="0.3">
      <c r="A355" s="603"/>
      <c r="B355" s="606"/>
      <c r="C355" s="606"/>
      <c r="D355" s="606"/>
      <c r="E355" s="606"/>
      <c r="F355" s="606"/>
      <c r="G355" s="606"/>
      <c r="H355" s="606"/>
      <c r="I355" s="606"/>
      <c r="J355" s="606"/>
      <c r="K355" s="606"/>
      <c r="L355" s="606"/>
      <c r="M355" s="606"/>
      <c r="N355" s="608"/>
      <c r="O355" s="605"/>
      <c r="P355" s="679"/>
    </row>
    <row r="356" spans="1:16" ht="15" customHeight="1" x14ac:dyDescent="0.3">
      <c r="A356" s="603"/>
      <c r="B356" s="606"/>
      <c r="C356" s="606"/>
      <c r="D356" s="606"/>
      <c r="E356" s="606"/>
      <c r="F356" s="606"/>
      <c r="G356" s="606"/>
      <c r="H356" s="606"/>
      <c r="I356" s="606"/>
      <c r="J356" s="606"/>
      <c r="K356" s="606"/>
      <c r="L356" s="606"/>
      <c r="M356" s="606"/>
      <c r="N356" s="608"/>
      <c r="O356" s="605"/>
      <c r="P356" s="679"/>
    </row>
    <row r="357" spans="1:16" ht="15" customHeight="1" x14ac:dyDescent="0.3">
      <c r="A357" s="603"/>
      <c r="B357" s="606"/>
      <c r="C357" s="606"/>
      <c r="D357" s="606"/>
      <c r="E357" s="606"/>
      <c r="F357" s="606"/>
      <c r="G357" s="606"/>
      <c r="H357" s="606"/>
      <c r="I357" s="606"/>
      <c r="J357" s="606"/>
      <c r="K357" s="606"/>
      <c r="L357" s="606"/>
      <c r="M357" s="606"/>
      <c r="N357" s="608"/>
      <c r="O357" s="605"/>
      <c r="P357" s="679"/>
    </row>
    <row r="358" spans="1:16" ht="15" customHeight="1" x14ac:dyDescent="0.3">
      <c r="A358" s="603"/>
      <c r="B358" s="606"/>
      <c r="C358" s="606"/>
      <c r="D358" s="606"/>
      <c r="E358" s="606"/>
      <c r="F358" s="606"/>
      <c r="G358" s="606"/>
      <c r="H358" s="606"/>
      <c r="I358" s="606"/>
      <c r="J358" s="606"/>
      <c r="K358" s="606"/>
      <c r="L358" s="606"/>
      <c r="M358" s="606"/>
      <c r="N358" s="608"/>
      <c r="O358" s="605"/>
      <c r="P358" s="679"/>
    </row>
    <row r="359" spans="1:16" ht="15" customHeight="1" x14ac:dyDescent="0.3">
      <c r="A359" s="603"/>
      <c r="B359" s="606"/>
      <c r="C359" s="606"/>
      <c r="D359" s="606"/>
      <c r="E359" s="606"/>
      <c r="F359" s="606"/>
      <c r="G359" s="606"/>
      <c r="H359" s="606"/>
      <c r="I359" s="606"/>
      <c r="J359" s="606"/>
      <c r="K359" s="606"/>
      <c r="L359" s="606"/>
      <c r="M359" s="606"/>
      <c r="N359" s="608"/>
      <c r="O359" s="605"/>
      <c r="P359" s="679"/>
    </row>
    <row r="360" spans="1:16" ht="15" customHeight="1" x14ac:dyDescent="0.3">
      <c r="A360" s="603"/>
      <c r="B360" s="606"/>
      <c r="C360" s="606"/>
      <c r="D360" s="606"/>
      <c r="E360" s="606"/>
      <c r="F360" s="606"/>
      <c r="G360" s="606"/>
      <c r="H360" s="606"/>
      <c r="I360" s="606"/>
      <c r="J360" s="606"/>
      <c r="K360" s="606"/>
      <c r="L360" s="606"/>
      <c r="M360" s="606"/>
      <c r="N360" s="608"/>
      <c r="O360" s="605"/>
      <c r="P360" s="679"/>
    </row>
    <row r="361" spans="1:16" ht="15" customHeight="1" x14ac:dyDescent="0.3">
      <c r="A361" s="603"/>
      <c r="B361" s="606"/>
      <c r="C361" s="606"/>
      <c r="D361" s="606"/>
      <c r="E361" s="606"/>
      <c r="F361" s="606"/>
      <c r="G361" s="606"/>
      <c r="H361" s="606"/>
      <c r="I361" s="606"/>
      <c r="J361" s="606"/>
      <c r="K361" s="606"/>
      <c r="L361" s="606"/>
      <c r="M361" s="606"/>
      <c r="N361" s="608"/>
      <c r="O361" s="605"/>
      <c r="P361" s="679"/>
    </row>
    <row r="362" spans="1:16" ht="15" customHeight="1" x14ac:dyDescent="0.3">
      <c r="A362" s="603"/>
      <c r="B362" s="606"/>
      <c r="C362" s="606"/>
      <c r="D362" s="606"/>
      <c r="E362" s="606"/>
      <c r="F362" s="606"/>
      <c r="G362" s="606"/>
      <c r="H362" s="606"/>
      <c r="I362" s="606"/>
      <c r="J362" s="606"/>
      <c r="K362" s="606"/>
      <c r="L362" s="606"/>
      <c r="M362" s="606"/>
      <c r="N362" s="608"/>
      <c r="O362" s="605"/>
      <c r="P362" s="679"/>
    </row>
    <row r="363" spans="1:16" ht="15" customHeight="1" x14ac:dyDescent="0.3">
      <c r="A363" s="603"/>
      <c r="B363" s="606"/>
      <c r="C363" s="606"/>
      <c r="D363" s="606"/>
      <c r="E363" s="606"/>
      <c r="F363" s="606"/>
      <c r="G363" s="606"/>
      <c r="H363" s="606"/>
      <c r="I363" s="606"/>
      <c r="J363" s="606"/>
      <c r="K363" s="606"/>
      <c r="L363" s="606"/>
      <c r="M363" s="606"/>
      <c r="N363" s="608"/>
      <c r="O363" s="605"/>
      <c r="P363" s="679"/>
    </row>
    <row r="364" spans="1:16" ht="15" customHeight="1" x14ac:dyDescent="0.3">
      <c r="A364" s="603"/>
      <c r="B364" s="606"/>
      <c r="C364" s="606"/>
      <c r="D364" s="606"/>
      <c r="E364" s="606"/>
      <c r="F364" s="606"/>
      <c r="G364" s="606"/>
      <c r="H364" s="606"/>
      <c r="I364" s="606"/>
      <c r="J364" s="606"/>
      <c r="K364" s="606"/>
      <c r="L364" s="606"/>
      <c r="M364" s="606"/>
      <c r="N364" s="608"/>
      <c r="O364" s="605"/>
      <c r="P364" s="679"/>
    </row>
    <row r="365" spans="1:16" ht="15" customHeight="1" x14ac:dyDescent="0.3">
      <c r="A365" s="603"/>
      <c r="B365" s="606"/>
      <c r="C365" s="606"/>
      <c r="D365" s="606"/>
      <c r="E365" s="606"/>
      <c r="F365" s="606"/>
      <c r="G365" s="606"/>
      <c r="H365" s="606"/>
      <c r="I365" s="606"/>
      <c r="J365" s="606"/>
      <c r="K365" s="606"/>
      <c r="L365" s="606"/>
      <c r="M365" s="606"/>
      <c r="N365" s="608"/>
      <c r="O365" s="605"/>
      <c r="P365" s="679"/>
    </row>
    <row r="366" spans="1:16" ht="15" customHeight="1" x14ac:dyDescent="0.3">
      <c r="A366" s="603"/>
      <c r="B366" s="606"/>
      <c r="C366" s="606"/>
      <c r="D366" s="606"/>
      <c r="E366" s="606"/>
      <c r="F366" s="606"/>
      <c r="G366" s="606"/>
      <c r="H366" s="606"/>
      <c r="I366" s="606"/>
      <c r="J366" s="606"/>
      <c r="K366" s="606"/>
      <c r="L366" s="606"/>
      <c r="M366" s="606"/>
      <c r="N366" s="608"/>
      <c r="O366" s="605"/>
      <c r="P366" s="679"/>
    </row>
    <row r="367" spans="1:16" ht="15" customHeight="1" x14ac:dyDescent="0.3">
      <c r="A367" s="603"/>
      <c r="B367" s="606"/>
      <c r="C367" s="606"/>
      <c r="D367" s="606"/>
      <c r="E367" s="606"/>
      <c r="F367" s="606"/>
      <c r="G367" s="606"/>
      <c r="H367" s="606"/>
      <c r="I367" s="606"/>
      <c r="J367" s="606"/>
      <c r="K367" s="606"/>
      <c r="L367" s="606"/>
      <c r="M367" s="606"/>
      <c r="N367" s="608"/>
      <c r="O367" s="605"/>
      <c r="P367" s="679"/>
    </row>
    <row r="368" spans="1:16" ht="15" customHeight="1" x14ac:dyDescent="0.3">
      <c r="A368" s="603"/>
      <c r="B368" s="606"/>
      <c r="C368" s="606"/>
      <c r="D368" s="606"/>
      <c r="E368" s="606"/>
      <c r="F368" s="606"/>
      <c r="G368" s="606"/>
      <c r="H368" s="606"/>
      <c r="I368" s="606"/>
      <c r="J368" s="606"/>
      <c r="K368" s="606"/>
      <c r="L368" s="606"/>
      <c r="M368" s="606"/>
      <c r="N368" s="608"/>
      <c r="O368" s="605"/>
      <c r="P368" s="679"/>
    </row>
    <row r="369" spans="1:16" ht="15" customHeight="1" x14ac:dyDescent="0.3">
      <c r="A369" s="603"/>
      <c r="B369" s="606"/>
      <c r="C369" s="606"/>
      <c r="D369" s="606"/>
      <c r="E369" s="606"/>
      <c r="F369" s="606"/>
      <c r="G369" s="606"/>
      <c r="H369" s="606"/>
      <c r="I369" s="606"/>
      <c r="J369" s="606"/>
      <c r="K369" s="606"/>
      <c r="L369" s="606"/>
      <c r="M369" s="606"/>
      <c r="N369" s="608"/>
      <c r="O369" s="605"/>
      <c r="P369" s="679"/>
    </row>
    <row r="370" spans="1:16" ht="15" customHeight="1" x14ac:dyDescent="0.3">
      <c r="A370" s="603"/>
      <c r="B370" s="606"/>
      <c r="C370" s="606"/>
      <c r="D370" s="606"/>
      <c r="E370" s="606"/>
      <c r="F370" s="606"/>
      <c r="G370" s="606"/>
      <c r="H370" s="606"/>
      <c r="I370" s="606"/>
      <c r="J370" s="606"/>
      <c r="K370" s="606"/>
      <c r="L370" s="606"/>
      <c r="M370" s="606"/>
      <c r="N370" s="608"/>
      <c r="O370" s="605"/>
      <c r="P370" s="679"/>
    </row>
    <row r="371" spans="1:16" ht="15" customHeight="1" x14ac:dyDescent="0.3">
      <c r="A371" s="603"/>
      <c r="B371" s="606"/>
      <c r="C371" s="606"/>
      <c r="D371" s="606"/>
      <c r="E371" s="606"/>
      <c r="F371" s="606"/>
      <c r="G371" s="606"/>
      <c r="H371" s="606"/>
      <c r="I371" s="606"/>
      <c r="J371" s="606"/>
      <c r="K371" s="606"/>
      <c r="L371" s="606"/>
      <c r="M371" s="606"/>
      <c r="N371" s="608"/>
      <c r="O371" s="605"/>
      <c r="P371" s="679"/>
    </row>
    <row r="372" spans="1:16" ht="15" customHeight="1" x14ac:dyDescent="0.3">
      <c r="A372" s="603"/>
      <c r="B372" s="606"/>
      <c r="C372" s="606"/>
      <c r="D372" s="606"/>
      <c r="E372" s="606"/>
      <c r="F372" s="606"/>
      <c r="G372" s="606"/>
      <c r="H372" s="606"/>
      <c r="I372" s="606"/>
      <c r="J372" s="606"/>
      <c r="K372" s="606"/>
      <c r="L372" s="606"/>
      <c r="M372" s="606"/>
      <c r="N372" s="609"/>
      <c r="O372" s="605"/>
      <c r="P372" s="679"/>
    </row>
    <row r="373" spans="1:16" ht="15" customHeight="1" x14ac:dyDescent="0.3">
      <c r="A373" s="603">
        <v>17</v>
      </c>
      <c r="B373" s="606"/>
      <c r="C373" s="606"/>
      <c r="D373" s="606"/>
      <c r="E373" s="606"/>
      <c r="F373" s="606"/>
      <c r="G373" s="606"/>
      <c r="H373" s="606"/>
      <c r="I373" s="606"/>
      <c r="J373" s="606"/>
      <c r="K373" s="606"/>
      <c r="L373" s="606"/>
      <c r="M373" s="606"/>
      <c r="N373" s="607" t="s">
        <v>213</v>
      </c>
      <c r="O373" s="605" t="str">
        <f>VLOOKUP(A373,'LISTA DE OFERENTES'!$A$6:$B$38,2,FALSE)</f>
        <v>UNIOBRAS SAS</v>
      </c>
      <c r="P373" s="680"/>
    </row>
    <row r="374" spans="1:16" ht="15" customHeight="1" x14ac:dyDescent="0.3">
      <c r="A374" s="603"/>
      <c r="B374" s="606"/>
      <c r="C374" s="606"/>
      <c r="D374" s="606"/>
      <c r="E374" s="606"/>
      <c r="F374" s="606"/>
      <c r="G374" s="606"/>
      <c r="H374" s="606"/>
      <c r="I374" s="606"/>
      <c r="J374" s="606"/>
      <c r="K374" s="606"/>
      <c r="L374" s="606"/>
      <c r="M374" s="606"/>
      <c r="N374" s="608"/>
      <c r="O374" s="605"/>
      <c r="P374" s="679"/>
    </row>
    <row r="375" spans="1:16" ht="15" customHeight="1" x14ac:dyDescent="0.3">
      <c r="A375" s="603"/>
      <c r="B375" s="606"/>
      <c r="C375" s="606"/>
      <c r="D375" s="606"/>
      <c r="E375" s="606"/>
      <c r="F375" s="606"/>
      <c r="G375" s="606"/>
      <c r="H375" s="606"/>
      <c r="I375" s="606"/>
      <c r="J375" s="606"/>
      <c r="K375" s="606"/>
      <c r="L375" s="606"/>
      <c r="M375" s="606"/>
      <c r="N375" s="608"/>
      <c r="O375" s="605"/>
      <c r="P375" s="679"/>
    </row>
    <row r="376" spans="1:16" ht="15" customHeight="1" x14ac:dyDescent="0.3">
      <c r="A376" s="603"/>
      <c r="B376" s="606"/>
      <c r="C376" s="606"/>
      <c r="D376" s="606"/>
      <c r="E376" s="606"/>
      <c r="F376" s="606"/>
      <c r="G376" s="606"/>
      <c r="H376" s="606"/>
      <c r="I376" s="606"/>
      <c r="J376" s="606"/>
      <c r="K376" s="606"/>
      <c r="L376" s="606"/>
      <c r="M376" s="606"/>
      <c r="N376" s="608"/>
      <c r="O376" s="605"/>
      <c r="P376" s="679"/>
    </row>
    <row r="377" spans="1:16" ht="15" customHeight="1" x14ac:dyDescent="0.3">
      <c r="A377" s="603"/>
      <c r="B377" s="606"/>
      <c r="C377" s="606"/>
      <c r="D377" s="606"/>
      <c r="E377" s="606"/>
      <c r="F377" s="606"/>
      <c r="G377" s="606"/>
      <c r="H377" s="606"/>
      <c r="I377" s="606"/>
      <c r="J377" s="606"/>
      <c r="K377" s="606"/>
      <c r="L377" s="606"/>
      <c r="M377" s="606"/>
      <c r="N377" s="608"/>
      <c r="O377" s="605"/>
      <c r="P377" s="679"/>
    </row>
    <row r="378" spans="1:16" ht="15" customHeight="1" x14ac:dyDescent="0.3">
      <c r="A378" s="603"/>
      <c r="B378" s="606"/>
      <c r="C378" s="606"/>
      <c r="D378" s="606"/>
      <c r="E378" s="606"/>
      <c r="F378" s="606"/>
      <c r="G378" s="606"/>
      <c r="H378" s="606"/>
      <c r="I378" s="606"/>
      <c r="J378" s="606"/>
      <c r="K378" s="606"/>
      <c r="L378" s="606"/>
      <c r="M378" s="606"/>
      <c r="N378" s="608"/>
      <c r="O378" s="605"/>
      <c r="P378" s="679"/>
    </row>
    <row r="379" spans="1:16" ht="15" customHeight="1" x14ac:dyDescent="0.3">
      <c r="A379" s="603"/>
      <c r="B379" s="606"/>
      <c r="C379" s="606"/>
      <c r="D379" s="606"/>
      <c r="E379" s="606"/>
      <c r="F379" s="606"/>
      <c r="G379" s="606"/>
      <c r="H379" s="606"/>
      <c r="I379" s="606"/>
      <c r="J379" s="606"/>
      <c r="K379" s="606"/>
      <c r="L379" s="606"/>
      <c r="M379" s="606"/>
      <c r="N379" s="608"/>
      <c r="O379" s="605"/>
      <c r="P379" s="679"/>
    </row>
    <row r="380" spans="1:16" ht="15" customHeight="1" x14ac:dyDescent="0.3">
      <c r="A380" s="603"/>
      <c r="B380" s="606"/>
      <c r="C380" s="606"/>
      <c r="D380" s="606"/>
      <c r="E380" s="606"/>
      <c r="F380" s="606"/>
      <c r="G380" s="606"/>
      <c r="H380" s="606"/>
      <c r="I380" s="606"/>
      <c r="J380" s="606"/>
      <c r="K380" s="606"/>
      <c r="L380" s="606"/>
      <c r="M380" s="606"/>
      <c r="N380" s="608"/>
      <c r="O380" s="605"/>
      <c r="P380" s="679"/>
    </row>
    <row r="381" spans="1:16" ht="15" customHeight="1" x14ac:dyDescent="0.3">
      <c r="A381" s="603"/>
      <c r="B381" s="606"/>
      <c r="C381" s="606"/>
      <c r="D381" s="606"/>
      <c r="E381" s="606"/>
      <c r="F381" s="606"/>
      <c r="G381" s="606"/>
      <c r="H381" s="606"/>
      <c r="I381" s="606"/>
      <c r="J381" s="606"/>
      <c r="K381" s="606"/>
      <c r="L381" s="606"/>
      <c r="M381" s="606"/>
      <c r="N381" s="608"/>
      <c r="O381" s="605"/>
      <c r="P381" s="679"/>
    </row>
    <row r="382" spans="1:16" ht="15" customHeight="1" x14ac:dyDescent="0.3">
      <c r="A382" s="603"/>
      <c r="B382" s="606"/>
      <c r="C382" s="606"/>
      <c r="D382" s="606"/>
      <c r="E382" s="606"/>
      <c r="F382" s="606"/>
      <c r="G382" s="606"/>
      <c r="H382" s="606"/>
      <c r="I382" s="606"/>
      <c r="J382" s="606"/>
      <c r="K382" s="606"/>
      <c r="L382" s="606"/>
      <c r="M382" s="606"/>
      <c r="N382" s="608"/>
      <c r="O382" s="605"/>
      <c r="P382" s="679"/>
    </row>
    <row r="383" spans="1:16" ht="15" customHeight="1" x14ac:dyDescent="0.3">
      <c r="A383" s="603"/>
      <c r="B383" s="606"/>
      <c r="C383" s="606"/>
      <c r="D383" s="606"/>
      <c r="E383" s="606"/>
      <c r="F383" s="606"/>
      <c r="G383" s="606"/>
      <c r="H383" s="606"/>
      <c r="I383" s="606"/>
      <c r="J383" s="606"/>
      <c r="K383" s="606"/>
      <c r="L383" s="606"/>
      <c r="M383" s="606"/>
      <c r="N383" s="608"/>
      <c r="O383" s="605"/>
      <c r="P383" s="679"/>
    </row>
    <row r="384" spans="1:16" ht="15" customHeight="1" x14ac:dyDescent="0.3">
      <c r="A384" s="603"/>
      <c r="B384" s="606"/>
      <c r="C384" s="606"/>
      <c r="D384" s="606"/>
      <c r="E384" s="606"/>
      <c r="F384" s="606"/>
      <c r="G384" s="606"/>
      <c r="H384" s="606"/>
      <c r="I384" s="606"/>
      <c r="J384" s="606"/>
      <c r="K384" s="606"/>
      <c r="L384" s="606"/>
      <c r="M384" s="606"/>
      <c r="N384" s="608"/>
      <c r="O384" s="605"/>
      <c r="P384" s="679"/>
    </row>
    <row r="385" spans="1:16" ht="15" customHeight="1" x14ac:dyDescent="0.3">
      <c r="A385" s="603"/>
      <c r="B385" s="606"/>
      <c r="C385" s="606"/>
      <c r="D385" s="606"/>
      <c r="E385" s="606"/>
      <c r="F385" s="606"/>
      <c r="G385" s="606"/>
      <c r="H385" s="606"/>
      <c r="I385" s="606"/>
      <c r="J385" s="606"/>
      <c r="K385" s="606"/>
      <c r="L385" s="606"/>
      <c r="M385" s="606"/>
      <c r="N385" s="608"/>
      <c r="O385" s="605"/>
      <c r="P385" s="679"/>
    </row>
    <row r="386" spans="1:16" ht="15" customHeight="1" x14ac:dyDescent="0.3">
      <c r="A386" s="603"/>
      <c r="B386" s="606"/>
      <c r="C386" s="606"/>
      <c r="D386" s="606"/>
      <c r="E386" s="606"/>
      <c r="F386" s="606"/>
      <c r="G386" s="606"/>
      <c r="H386" s="606"/>
      <c r="I386" s="606"/>
      <c r="J386" s="606"/>
      <c r="K386" s="606"/>
      <c r="L386" s="606"/>
      <c r="M386" s="606"/>
      <c r="N386" s="608"/>
      <c r="O386" s="605"/>
      <c r="P386" s="679"/>
    </row>
    <row r="387" spans="1:16" ht="15" customHeight="1" x14ac:dyDescent="0.3">
      <c r="A387" s="603"/>
      <c r="B387" s="606"/>
      <c r="C387" s="606"/>
      <c r="D387" s="606"/>
      <c r="E387" s="606"/>
      <c r="F387" s="606"/>
      <c r="G387" s="606"/>
      <c r="H387" s="606"/>
      <c r="I387" s="606"/>
      <c r="J387" s="606"/>
      <c r="K387" s="606"/>
      <c r="L387" s="606"/>
      <c r="M387" s="606"/>
      <c r="N387" s="608"/>
      <c r="O387" s="605"/>
      <c r="P387" s="679"/>
    </row>
    <row r="388" spans="1:16" ht="15" customHeight="1" x14ac:dyDescent="0.3">
      <c r="A388" s="603"/>
      <c r="B388" s="606"/>
      <c r="C388" s="606"/>
      <c r="D388" s="606"/>
      <c r="E388" s="606"/>
      <c r="F388" s="606"/>
      <c r="G388" s="606"/>
      <c r="H388" s="606"/>
      <c r="I388" s="606"/>
      <c r="J388" s="606"/>
      <c r="K388" s="606"/>
      <c r="L388" s="606"/>
      <c r="M388" s="606"/>
      <c r="N388" s="608"/>
      <c r="O388" s="605"/>
      <c r="P388" s="679"/>
    </row>
    <row r="389" spans="1:16" ht="15" customHeight="1" x14ac:dyDescent="0.3">
      <c r="A389" s="603"/>
      <c r="B389" s="606"/>
      <c r="C389" s="606"/>
      <c r="D389" s="606"/>
      <c r="E389" s="606"/>
      <c r="F389" s="606"/>
      <c r="G389" s="606"/>
      <c r="H389" s="606"/>
      <c r="I389" s="606"/>
      <c r="J389" s="606"/>
      <c r="K389" s="606"/>
      <c r="L389" s="606"/>
      <c r="M389" s="606"/>
      <c r="N389" s="608"/>
      <c r="O389" s="605"/>
      <c r="P389" s="679"/>
    </row>
    <row r="390" spans="1:16" ht="15" customHeight="1" x14ac:dyDescent="0.3">
      <c r="A390" s="603"/>
      <c r="B390" s="606"/>
      <c r="C390" s="606"/>
      <c r="D390" s="606"/>
      <c r="E390" s="606"/>
      <c r="F390" s="606"/>
      <c r="G390" s="606"/>
      <c r="H390" s="606"/>
      <c r="I390" s="606"/>
      <c r="J390" s="606"/>
      <c r="K390" s="606"/>
      <c r="L390" s="606"/>
      <c r="M390" s="606"/>
      <c r="N390" s="608"/>
      <c r="O390" s="605"/>
      <c r="P390" s="679"/>
    </row>
    <row r="391" spans="1:16" ht="15" customHeight="1" x14ac:dyDescent="0.3">
      <c r="A391" s="603"/>
      <c r="B391" s="606"/>
      <c r="C391" s="606"/>
      <c r="D391" s="606"/>
      <c r="E391" s="606"/>
      <c r="F391" s="606"/>
      <c r="G391" s="606"/>
      <c r="H391" s="606"/>
      <c r="I391" s="606"/>
      <c r="J391" s="606"/>
      <c r="K391" s="606"/>
      <c r="L391" s="606"/>
      <c r="M391" s="606"/>
      <c r="N391" s="608"/>
      <c r="O391" s="605"/>
      <c r="P391" s="679"/>
    </row>
    <row r="392" spans="1:16" ht="15" customHeight="1" x14ac:dyDescent="0.3">
      <c r="A392" s="603"/>
      <c r="B392" s="606"/>
      <c r="C392" s="606"/>
      <c r="D392" s="606"/>
      <c r="E392" s="606"/>
      <c r="F392" s="606"/>
      <c r="G392" s="606"/>
      <c r="H392" s="606"/>
      <c r="I392" s="606"/>
      <c r="J392" s="606"/>
      <c r="K392" s="606"/>
      <c r="L392" s="606"/>
      <c r="M392" s="606"/>
      <c r="N392" s="608"/>
      <c r="O392" s="605"/>
      <c r="P392" s="679"/>
    </row>
    <row r="393" spans="1:16" ht="15" customHeight="1" x14ac:dyDescent="0.3">
      <c r="A393" s="603"/>
      <c r="B393" s="606"/>
      <c r="C393" s="606"/>
      <c r="D393" s="606"/>
      <c r="E393" s="606"/>
      <c r="F393" s="606"/>
      <c r="G393" s="606"/>
      <c r="H393" s="606"/>
      <c r="I393" s="606"/>
      <c r="J393" s="606"/>
      <c r="K393" s="606"/>
      <c r="L393" s="606"/>
      <c r="M393" s="606"/>
      <c r="N393" s="608"/>
      <c r="O393" s="605"/>
      <c r="P393" s="679"/>
    </row>
    <row r="394" spans="1:16" ht="15" customHeight="1" x14ac:dyDescent="0.3">
      <c r="A394" s="603"/>
      <c r="B394" s="606"/>
      <c r="C394" s="606"/>
      <c r="D394" s="606"/>
      <c r="E394" s="606"/>
      <c r="F394" s="606"/>
      <c r="G394" s="606"/>
      <c r="H394" s="606"/>
      <c r="I394" s="606"/>
      <c r="J394" s="606"/>
      <c r="K394" s="606"/>
      <c r="L394" s="606"/>
      <c r="M394" s="606"/>
      <c r="N394" s="608"/>
      <c r="O394" s="605"/>
      <c r="P394" s="679"/>
    </row>
    <row r="395" spans="1:16" ht="15" customHeight="1" x14ac:dyDescent="0.3">
      <c r="A395" s="603"/>
      <c r="B395" s="606"/>
      <c r="C395" s="606"/>
      <c r="D395" s="606"/>
      <c r="E395" s="606"/>
      <c r="F395" s="606"/>
      <c r="G395" s="606"/>
      <c r="H395" s="606"/>
      <c r="I395" s="606"/>
      <c r="J395" s="606"/>
      <c r="K395" s="606"/>
      <c r="L395" s="606"/>
      <c r="M395" s="606"/>
      <c r="N395" s="609"/>
      <c r="O395" s="605"/>
      <c r="P395" s="681"/>
    </row>
    <row r="396" spans="1:16" ht="15" customHeight="1" x14ac:dyDescent="0.3">
      <c r="A396" s="603">
        <v>18</v>
      </c>
      <c r="B396" s="606"/>
      <c r="C396" s="606"/>
      <c r="D396" s="606"/>
      <c r="E396" s="606"/>
      <c r="F396" s="606"/>
      <c r="G396" s="606"/>
      <c r="H396" s="606"/>
      <c r="I396" s="606"/>
      <c r="J396" s="606"/>
      <c r="K396" s="606"/>
      <c r="L396" s="606"/>
      <c r="M396" s="606"/>
      <c r="N396" s="607" t="s">
        <v>213</v>
      </c>
      <c r="O396" s="631" t="str">
        <f>VLOOKUP(A396,'LISTA DE OFERENTES'!$A$6:$B$38,2,FALSE)</f>
        <v>CONSORCIO MRTITANIUM</v>
      </c>
      <c r="P396" s="682"/>
    </row>
    <row r="397" spans="1:16" ht="15" customHeight="1" x14ac:dyDescent="0.3">
      <c r="A397" s="603"/>
      <c r="B397" s="606"/>
      <c r="C397" s="606"/>
      <c r="D397" s="606"/>
      <c r="E397" s="606"/>
      <c r="F397" s="606"/>
      <c r="G397" s="606"/>
      <c r="H397" s="606"/>
      <c r="I397" s="606"/>
      <c r="J397" s="606"/>
      <c r="K397" s="606"/>
      <c r="L397" s="606"/>
      <c r="M397" s="606"/>
      <c r="N397" s="608"/>
      <c r="O397" s="631"/>
      <c r="P397" s="682"/>
    </row>
    <row r="398" spans="1:16" ht="15" customHeight="1" x14ac:dyDescent="0.3">
      <c r="A398" s="603"/>
      <c r="B398" s="606"/>
      <c r="C398" s="606"/>
      <c r="D398" s="606"/>
      <c r="E398" s="606"/>
      <c r="F398" s="606"/>
      <c r="G398" s="606"/>
      <c r="H398" s="606"/>
      <c r="I398" s="606"/>
      <c r="J398" s="606"/>
      <c r="K398" s="606"/>
      <c r="L398" s="606"/>
      <c r="M398" s="606"/>
      <c r="N398" s="608"/>
      <c r="O398" s="631"/>
      <c r="P398" s="682"/>
    </row>
    <row r="399" spans="1:16" ht="15" customHeight="1" x14ac:dyDescent="0.3">
      <c r="A399" s="603"/>
      <c r="B399" s="606"/>
      <c r="C399" s="606"/>
      <c r="D399" s="606"/>
      <c r="E399" s="606"/>
      <c r="F399" s="606"/>
      <c r="G399" s="606"/>
      <c r="H399" s="606"/>
      <c r="I399" s="606"/>
      <c r="J399" s="606"/>
      <c r="K399" s="606"/>
      <c r="L399" s="606"/>
      <c r="M399" s="606"/>
      <c r="N399" s="608"/>
      <c r="O399" s="631"/>
      <c r="P399" s="682"/>
    </row>
    <row r="400" spans="1:16" ht="15" customHeight="1" x14ac:dyDescent="0.3">
      <c r="A400" s="603"/>
      <c r="B400" s="606"/>
      <c r="C400" s="606"/>
      <c r="D400" s="606"/>
      <c r="E400" s="606"/>
      <c r="F400" s="606"/>
      <c r="G400" s="606"/>
      <c r="H400" s="606"/>
      <c r="I400" s="606"/>
      <c r="J400" s="606"/>
      <c r="K400" s="606"/>
      <c r="L400" s="606"/>
      <c r="M400" s="606"/>
      <c r="N400" s="608"/>
      <c r="O400" s="631"/>
      <c r="P400" s="682"/>
    </row>
    <row r="401" spans="1:16" ht="15" customHeight="1" x14ac:dyDescent="0.3">
      <c r="A401" s="603"/>
      <c r="B401" s="606"/>
      <c r="C401" s="606"/>
      <c r="D401" s="606"/>
      <c r="E401" s="606"/>
      <c r="F401" s="606"/>
      <c r="G401" s="606"/>
      <c r="H401" s="606"/>
      <c r="I401" s="606"/>
      <c r="J401" s="606"/>
      <c r="K401" s="606"/>
      <c r="L401" s="606"/>
      <c r="M401" s="606"/>
      <c r="N401" s="608"/>
      <c r="O401" s="631"/>
      <c r="P401" s="682"/>
    </row>
    <row r="402" spans="1:16" ht="15" customHeight="1" x14ac:dyDescent="0.3">
      <c r="A402" s="603"/>
      <c r="B402" s="606"/>
      <c r="C402" s="606"/>
      <c r="D402" s="606"/>
      <c r="E402" s="606"/>
      <c r="F402" s="606"/>
      <c r="G402" s="606"/>
      <c r="H402" s="606"/>
      <c r="I402" s="606"/>
      <c r="J402" s="606"/>
      <c r="K402" s="606"/>
      <c r="L402" s="606"/>
      <c r="M402" s="606"/>
      <c r="N402" s="608"/>
      <c r="O402" s="631"/>
      <c r="P402" s="682"/>
    </row>
    <row r="403" spans="1:16" ht="15" customHeight="1" x14ac:dyDescent="0.3">
      <c r="A403" s="603"/>
      <c r="B403" s="606"/>
      <c r="C403" s="606"/>
      <c r="D403" s="606"/>
      <c r="E403" s="606"/>
      <c r="F403" s="606"/>
      <c r="G403" s="606"/>
      <c r="H403" s="606"/>
      <c r="I403" s="606"/>
      <c r="J403" s="606"/>
      <c r="K403" s="606"/>
      <c r="L403" s="606"/>
      <c r="M403" s="606"/>
      <c r="N403" s="608"/>
      <c r="O403" s="631"/>
      <c r="P403" s="682"/>
    </row>
    <row r="404" spans="1:16" ht="15" customHeight="1" x14ac:dyDescent="0.3">
      <c r="A404" s="603"/>
      <c r="B404" s="606"/>
      <c r="C404" s="606"/>
      <c r="D404" s="606"/>
      <c r="E404" s="606"/>
      <c r="F404" s="606"/>
      <c r="G404" s="606"/>
      <c r="H404" s="606"/>
      <c r="I404" s="606"/>
      <c r="J404" s="606"/>
      <c r="K404" s="606"/>
      <c r="L404" s="606"/>
      <c r="M404" s="606"/>
      <c r="N404" s="608"/>
      <c r="O404" s="631"/>
      <c r="P404" s="682"/>
    </row>
    <row r="405" spans="1:16" ht="15" customHeight="1" x14ac:dyDescent="0.3">
      <c r="A405" s="603"/>
      <c r="B405" s="606"/>
      <c r="C405" s="606"/>
      <c r="D405" s="606"/>
      <c r="E405" s="606"/>
      <c r="F405" s="606"/>
      <c r="G405" s="606"/>
      <c r="H405" s="606"/>
      <c r="I405" s="606"/>
      <c r="J405" s="606"/>
      <c r="K405" s="606"/>
      <c r="L405" s="606"/>
      <c r="M405" s="606"/>
      <c r="N405" s="608"/>
      <c r="O405" s="631"/>
      <c r="P405" s="682"/>
    </row>
    <row r="406" spans="1:16" ht="15" customHeight="1" x14ac:dyDescent="0.3">
      <c r="A406" s="603"/>
      <c r="B406" s="606"/>
      <c r="C406" s="606"/>
      <c r="D406" s="606"/>
      <c r="E406" s="606"/>
      <c r="F406" s="606"/>
      <c r="G406" s="606"/>
      <c r="H406" s="606"/>
      <c r="I406" s="606"/>
      <c r="J406" s="606"/>
      <c r="K406" s="606"/>
      <c r="L406" s="606"/>
      <c r="M406" s="606"/>
      <c r="N406" s="608"/>
      <c r="O406" s="631"/>
      <c r="P406" s="682"/>
    </row>
    <row r="407" spans="1:16" ht="15" customHeight="1" x14ac:dyDescent="0.3">
      <c r="A407" s="603"/>
      <c r="B407" s="606"/>
      <c r="C407" s="606"/>
      <c r="D407" s="606"/>
      <c r="E407" s="606"/>
      <c r="F407" s="606"/>
      <c r="G407" s="606"/>
      <c r="H407" s="606"/>
      <c r="I407" s="606"/>
      <c r="J407" s="606"/>
      <c r="K407" s="606"/>
      <c r="L407" s="606"/>
      <c r="M407" s="606"/>
      <c r="N407" s="608"/>
      <c r="O407" s="631"/>
      <c r="P407" s="682"/>
    </row>
    <row r="408" spans="1:16" ht="15" customHeight="1" x14ac:dyDescent="0.3">
      <c r="A408" s="603"/>
      <c r="B408" s="606"/>
      <c r="C408" s="606"/>
      <c r="D408" s="606"/>
      <c r="E408" s="606"/>
      <c r="F408" s="606"/>
      <c r="G408" s="606"/>
      <c r="H408" s="606"/>
      <c r="I408" s="606"/>
      <c r="J408" s="606"/>
      <c r="K408" s="606"/>
      <c r="L408" s="606"/>
      <c r="M408" s="606"/>
      <c r="N408" s="608"/>
      <c r="O408" s="631"/>
      <c r="P408" s="682"/>
    </row>
    <row r="409" spans="1:16" ht="15" customHeight="1" x14ac:dyDescent="0.3">
      <c r="A409" s="603"/>
      <c r="B409" s="606"/>
      <c r="C409" s="606"/>
      <c r="D409" s="606"/>
      <c r="E409" s="606"/>
      <c r="F409" s="606"/>
      <c r="G409" s="606"/>
      <c r="H409" s="606"/>
      <c r="I409" s="606"/>
      <c r="J409" s="606"/>
      <c r="K409" s="606"/>
      <c r="L409" s="606"/>
      <c r="M409" s="606"/>
      <c r="N409" s="608"/>
      <c r="O409" s="631"/>
      <c r="P409" s="682"/>
    </row>
    <row r="410" spans="1:16" ht="15" customHeight="1" x14ac:dyDescent="0.3">
      <c r="A410" s="603"/>
      <c r="B410" s="606"/>
      <c r="C410" s="606"/>
      <c r="D410" s="606"/>
      <c r="E410" s="606"/>
      <c r="F410" s="606"/>
      <c r="G410" s="606"/>
      <c r="H410" s="606"/>
      <c r="I410" s="606"/>
      <c r="J410" s="606"/>
      <c r="K410" s="606"/>
      <c r="L410" s="606"/>
      <c r="M410" s="606"/>
      <c r="N410" s="608"/>
      <c r="O410" s="631"/>
      <c r="P410" s="682"/>
    </row>
    <row r="411" spans="1:16" ht="15" customHeight="1" x14ac:dyDescent="0.3">
      <c r="A411" s="603"/>
      <c r="B411" s="606"/>
      <c r="C411" s="606"/>
      <c r="D411" s="606"/>
      <c r="E411" s="606"/>
      <c r="F411" s="606"/>
      <c r="G411" s="606"/>
      <c r="H411" s="606"/>
      <c r="I411" s="606"/>
      <c r="J411" s="606"/>
      <c r="K411" s="606"/>
      <c r="L411" s="606"/>
      <c r="M411" s="606"/>
      <c r="N411" s="608"/>
      <c r="O411" s="631"/>
      <c r="P411" s="682"/>
    </row>
    <row r="412" spans="1:16" ht="15" customHeight="1" x14ac:dyDescent="0.3">
      <c r="A412" s="603"/>
      <c r="B412" s="606"/>
      <c r="C412" s="606"/>
      <c r="D412" s="606"/>
      <c r="E412" s="606"/>
      <c r="F412" s="606"/>
      <c r="G412" s="606"/>
      <c r="H412" s="606"/>
      <c r="I412" s="606"/>
      <c r="J412" s="606"/>
      <c r="K412" s="606"/>
      <c r="L412" s="606"/>
      <c r="M412" s="606"/>
      <c r="N412" s="608"/>
      <c r="O412" s="631"/>
      <c r="P412" s="682"/>
    </row>
    <row r="413" spans="1:16" ht="15" customHeight="1" x14ac:dyDescent="0.3">
      <c r="A413" s="603"/>
      <c r="B413" s="606"/>
      <c r="C413" s="606"/>
      <c r="D413" s="606"/>
      <c r="E413" s="606"/>
      <c r="F413" s="606"/>
      <c r="G413" s="606"/>
      <c r="H413" s="606"/>
      <c r="I413" s="606"/>
      <c r="J413" s="606"/>
      <c r="K413" s="606"/>
      <c r="L413" s="606"/>
      <c r="M413" s="606"/>
      <c r="N413" s="608"/>
      <c r="O413" s="631"/>
      <c r="P413" s="682"/>
    </row>
    <row r="414" spans="1:16" ht="15" customHeight="1" x14ac:dyDescent="0.3">
      <c r="A414" s="603"/>
      <c r="B414" s="606"/>
      <c r="C414" s="606"/>
      <c r="D414" s="606"/>
      <c r="E414" s="606"/>
      <c r="F414" s="606"/>
      <c r="G414" s="606"/>
      <c r="H414" s="606"/>
      <c r="I414" s="606"/>
      <c r="J414" s="606"/>
      <c r="K414" s="606"/>
      <c r="L414" s="606"/>
      <c r="M414" s="606"/>
      <c r="N414" s="608"/>
      <c r="O414" s="631"/>
      <c r="P414" s="682"/>
    </row>
    <row r="415" spans="1:16" ht="15" customHeight="1" x14ac:dyDescent="0.3">
      <c r="A415" s="603"/>
      <c r="B415" s="606"/>
      <c r="C415" s="606"/>
      <c r="D415" s="606"/>
      <c r="E415" s="606"/>
      <c r="F415" s="606"/>
      <c r="G415" s="606"/>
      <c r="H415" s="606"/>
      <c r="I415" s="606"/>
      <c r="J415" s="606"/>
      <c r="K415" s="606"/>
      <c r="L415" s="606"/>
      <c r="M415" s="606"/>
      <c r="N415" s="608"/>
      <c r="O415" s="631"/>
      <c r="P415" s="682"/>
    </row>
    <row r="416" spans="1:16" ht="15" customHeight="1" x14ac:dyDescent="0.3">
      <c r="A416" s="603"/>
      <c r="B416" s="606"/>
      <c r="C416" s="606"/>
      <c r="D416" s="606"/>
      <c r="E416" s="606"/>
      <c r="F416" s="606"/>
      <c r="G416" s="606"/>
      <c r="H416" s="606"/>
      <c r="I416" s="606"/>
      <c r="J416" s="606"/>
      <c r="K416" s="606"/>
      <c r="L416" s="606"/>
      <c r="M416" s="606"/>
      <c r="N416" s="608"/>
      <c r="O416" s="631"/>
      <c r="P416" s="682"/>
    </row>
    <row r="417" spans="1:16" ht="15" customHeight="1" x14ac:dyDescent="0.3">
      <c r="A417" s="603"/>
      <c r="B417" s="606"/>
      <c r="C417" s="606"/>
      <c r="D417" s="606"/>
      <c r="E417" s="606"/>
      <c r="F417" s="606"/>
      <c r="G417" s="606"/>
      <c r="H417" s="606"/>
      <c r="I417" s="606"/>
      <c r="J417" s="606"/>
      <c r="K417" s="606"/>
      <c r="L417" s="606"/>
      <c r="M417" s="606"/>
      <c r="N417" s="608"/>
      <c r="O417" s="631"/>
      <c r="P417" s="682"/>
    </row>
    <row r="418" spans="1:16" ht="15" customHeight="1" x14ac:dyDescent="0.3">
      <c r="A418" s="603"/>
      <c r="B418" s="606"/>
      <c r="C418" s="606"/>
      <c r="D418" s="606"/>
      <c r="E418" s="606"/>
      <c r="F418" s="606"/>
      <c r="G418" s="606"/>
      <c r="H418" s="606"/>
      <c r="I418" s="606"/>
      <c r="J418" s="606"/>
      <c r="K418" s="606"/>
      <c r="L418" s="606"/>
      <c r="M418" s="606"/>
      <c r="N418" s="609"/>
      <c r="O418" s="631"/>
      <c r="P418" s="683"/>
    </row>
    <row r="419" spans="1:16" ht="15" customHeight="1" x14ac:dyDescent="0.3">
      <c r="A419" s="603">
        <v>19</v>
      </c>
      <c r="B419" s="604"/>
      <c r="C419" s="604"/>
      <c r="D419" s="604"/>
      <c r="E419" s="604"/>
      <c r="F419" s="604"/>
      <c r="G419" s="604"/>
      <c r="H419" s="604"/>
      <c r="I419" s="604"/>
      <c r="J419" s="604"/>
      <c r="K419" s="604"/>
      <c r="L419" s="604"/>
      <c r="M419" s="604"/>
      <c r="N419" s="607" t="s">
        <v>213</v>
      </c>
      <c r="O419" s="631" t="str">
        <f>VLOOKUP(A419,'LISTA DE OFERENTES'!$A$6:$B$38,2,FALSE)</f>
        <v>MAMUT ACERO Y CONCRETO SAS</v>
      </c>
      <c r="P419" s="684"/>
    </row>
    <row r="420" spans="1:16" ht="15" customHeight="1" x14ac:dyDescent="0.3">
      <c r="A420" s="603"/>
      <c r="B420" s="604"/>
      <c r="C420" s="604"/>
      <c r="D420" s="604"/>
      <c r="E420" s="604"/>
      <c r="F420" s="604"/>
      <c r="G420" s="604"/>
      <c r="H420" s="604"/>
      <c r="I420" s="604"/>
      <c r="J420" s="604"/>
      <c r="K420" s="604"/>
      <c r="L420" s="604"/>
      <c r="M420" s="604"/>
      <c r="N420" s="608"/>
      <c r="O420" s="631"/>
      <c r="P420" s="682"/>
    </row>
    <row r="421" spans="1:16" ht="15" customHeight="1" x14ac:dyDescent="0.3">
      <c r="A421" s="603"/>
      <c r="B421" s="604"/>
      <c r="C421" s="604"/>
      <c r="D421" s="604"/>
      <c r="E421" s="604"/>
      <c r="F421" s="604"/>
      <c r="G421" s="604"/>
      <c r="H421" s="604"/>
      <c r="I421" s="604"/>
      <c r="J421" s="604"/>
      <c r="K421" s="604"/>
      <c r="L421" s="604"/>
      <c r="M421" s="604"/>
      <c r="N421" s="608"/>
      <c r="O421" s="631"/>
      <c r="P421" s="682"/>
    </row>
    <row r="422" spans="1:16" ht="15" customHeight="1" x14ac:dyDescent="0.3">
      <c r="A422" s="603"/>
      <c r="B422" s="604"/>
      <c r="C422" s="604"/>
      <c r="D422" s="604"/>
      <c r="E422" s="604"/>
      <c r="F422" s="604"/>
      <c r="G422" s="604"/>
      <c r="H422" s="604"/>
      <c r="I422" s="604"/>
      <c r="J422" s="604"/>
      <c r="K422" s="604"/>
      <c r="L422" s="604"/>
      <c r="M422" s="604"/>
      <c r="N422" s="608"/>
      <c r="O422" s="631"/>
      <c r="P422" s="682"/>
    </row>
    <row r="423" spans="1:16" ht="15" customHeight="1" x14ac:dyDescent="0.3">
      <c r="A423" s="603"/>
      <c r="B423" s="604"/>
      <c r="C423" s="604"/>
      <c r="D423" s="604"/>
      <c r="E423" s="604"/>
      <c r="F423" s="604"/>
      <c r="G423" s="604"/>
      <c r="H423" s="604"/>
      <c r="I423" s="604"/>
      <c r="J423" s="604"/>
      <c r="K423" s="604"/>
      <c r="L423" s="604"/>
      <c r="M423" s="604"/>
      <c r="N423" s="608"/>
      <c r="O423" s="631"/>
      <c r="P423" s="682"/>
    </row>
    <row r="424" spans="1:16" ht="15" customHeight="1" x14ac:dyDescent="0.3">
      <c r="A424" s="603"/>
      <c r="B424" s="604"/>
      <c r="C424" s="604"/>
      <c r="D424" s="604"/>
      <c r="E424" s="604"/>
      <c r="F424" s="604"/>
      <c r="G424" s="604"/>
      <c r="H424" s="604"/>
      <c r="I424" s="604"/>
      <c r="J424" s="604"/>
      <c r="K424" s="604"/>
      <c r="L424" s="604"/>
      <c r="M424" s="604"/>
      <c r="N424" s="608"/>
      <c r="O424" s="631"/>
      <c r="P424" s="682"/>
    </row>
    <row r="425" spans="1:16" ht="15" customHeight="1" x14ac:dyDescent="0.3">
      <c r="A425" s="603"/>
      <c r="B425" s="604"/>
      <c r="C425" s="604"/>
      <c r="D425" s="604"/>
      <c r="E425" s="604"/>
      <c r="F425" s="604"/>
      <c r="G425" s="604"/>
      <c r="H425" s="604"/>
      <c r="I425" s="604"/>
      <c r="J425" s="604"/>
      <c r="K425" s="604"/>
      <c r="L425" s="604"/>
      <c r="M425" s="604"/>
      <c r="N425" s="608"/>
      <c r="O425" s="631"/>
      <c r="P425" s="682"/>
    </row>
    <row r="426" spans="1:16" ht="15" customHeight="1" x14ac:dyDescent="0.3">
      <c r="A426" s="603"/>
      <c r="B426" s="604"/>
      <c r="C426" s="604"/>
      <c r="D426" s="604"/>
      <c r="E426" s="604"/>
      <c r="F426" s="604"/>
      <c r="G426" s="604"/>
      <c r="H426" s="604"/>
      <c r="I426" s="604"/>
      <c r="J426" s="604"/>
      <c r="K426" s="604"/>
      <c r="L426" s="604"/>
      <c r="M426" s="604"/>
      <c r="N426" s="608"/>
      <c r="O426" s="631"/>
      <c r="P426" s="682"/>
    </row>
    <row r="427" spans="1:16" ht="15" customHeight="1" x14ac:dyDescent="0.3">
      <c r="A427" s="603"/>
      <c r="B427" s="604"/>
      <c r="C427" s="604"/>
      <c r="D427" s="604"/>
      <c r="E427" s="604"/>
      <c r="F427" s="604"/>
      <c r="G427" s="604"/>
      <c r="H427" s="604"/>
      <c r="I427" s="604"/>
      <c r="J427" s="604"/>
      <c r="K427" s="604"/>
      <c r="L427" s="604"/>
      <c r="M427" s="604"/>
      <c r="N427" s="608"/>
      <c r="O427" s="631"/>
      <c r="P427" s="682"/>
    </row>
    <row r="428" spans="1:16" ht="15" customHeight="1" x14ac:dyDescent="0.3">
      <c r="A428" s="603"/>
      <c r="B428" s="604"/>
      <c r="C428" s="604"/>
      <c r="D428" s="604"/>
      <c r="E428" s="604"/>
      <c r="F428" s="604"/>
      <c r="G428" s="604"/>
      <c r="H428" s="604"/>
      <c r="I428" s="604"/>
      <c r="J428" s="604"/>
      <c r="K428" s="604"/>
      <c r="L428" s="604"/>
      <c r="M428" s="604"/>
      <c r="N428" s="608"/>
      <c r="O428" s="631"/>
      <c r="P428" s="682"/>
    </row>
    <row r="429" spans="1:16" ht="15" customHeight="1" x14ac:dyDescent="0.3">
      <c r="A429" s="603"/>
      <c r="B429" s="604"/>
      <c r="C429" s="604"/>
      <c r="D429" s="604"/>
      <c r="E429" s="604"/>
      <c r="F429" s="604"/>
      <c r="G429" s="604"/>
      <c r="H429" s="604"/>
      <c r="I429" s="604"/>
      <c r="J429" s="604"/>
      <c r="K429" s="604"/>
      <c r="L429" s="604"/>
      <c r="M429" s="604"/>
      <c r="N429" s="608"/>
      <c r="O429" s="631"/>
      <c r="P429" s="682"/>
    </row>
    <row r="430" spans="1:16" ht="15" customHeight="1" x14ac:dyDescent="0.3">
      <c r="A430" s="603"/>
      <c r="B430" s="604"/>
      <c r="C430" s="604"/>
      <c r="D430" s="604"/>
      <c r="E430" s="604"/>
      <c r="F430" s="604"/>
      <c r="G430" s="604"/>
      <c r="H430" s="604"/>
      <c r="I430" s="604"/>
      <c r="J430" s="604"/>
      <c r="K430" s="604"/>
      <c r="L430" s="604"/>
      <c r="M430" s="604"/>
      <c r="N430" s="608"/>
      <c r="O430" s="631"/>
      <c r="P430" s="682"/>
    </row>
    <row r="431" spans="1:16" ht="15" customHeight="1" x14ac:dyDescent="0.3">
      <c r="A431" s="603"/>
      <c r="B431" s="604"/>
      <c r="C431" s="604"/>
      <c r="D431" s="604"/>
      <c r="E431" s="604"/>
      <c r="F431" s="604"/>
      <c r="G431" s="604"/>
      <c r="H431" s="604"/>
      <c r="I431" s="604"/>
      <c r="J431" s="604"/>
      <c r="K431" s="604"/>
      <c r="L431" s="604"/>
      <c r="M431" s="604"/>
      <c r="N431" s="608"/>
      <c r="O431" s="631"/>
      <c r="P431" s="682"/>
    </row>
    <row r="432" spans="1:16" ht="15" customHeight="1" x14ac:dyDescent="0.3">
      <c r="A432" s="603"/>
      <c r="B432" s="604"/>
      <c r="C432" s="604"/>
      <c r="D432" s="604"/>
      <c r="E432" s="604"/>
      <c r="F432" s="604"/>
      <c r="G432" s="604"/>
      <c r="H432" s="604"/>
      <c r="I432" s="604"/>
      <c r="J432" s="604"/>
      <c r="K432" s="604"/>
      <c r="L432" s="604"/>
      <c r="M432" s="604"/>
      <c r="N432" s="608"/>
      <c r="O432" s="631"/>
      <c r="P432" s="682"/>
    </row>
    <row r="433" spans="1:16" ht="15" customHeight="1" x14ac:dyDescent="0.3">
      <c r="A433" s="603"/>
      <c r="B433" s="604"/>
      <c r="C433" s="604"/>
      <c r="D433" s="604"/>
      <c r="E433" s="604"/>
      <c r="F433" s="604"/>
      <c r="G433" s="604"/>
      <c r="H433" s="604"/>
      <c r="I433" s="604"/>
      <c r="J433" s="604"/>
      <c r="K433" s="604"/>
      <c r="L433" s="604"/>
      <c r="M433" s="604"/>
      <c r="N433" s="608"/>
      <c r="O433" s="631"/>
      <c r="P433" s="682"/>
    </row>
    <row r="434" spans="1:16" ht="15" customHeight="1" x14ac:dyDescent="0.3">
      <c r="A434" s="603"/>
      <c r="B434" s="604"/>
      <c r="C434" s="604"/>
      <c r="D434" s="604"/>
      <c r="E434" s="604"/>
      <c r="F434" s="604"/>
      <c r="G434" s="604"/>
      <c r="H434" s="604"/>
      <c r="I434" s="604"/>
      <c r="J434" s="604"/>
      <c r="K434" s="604"/>
      <c r="L434" s="604"/>
      <c r="M434" s="604"/>
      <c r="N434" s="608"/>
      <c r="O434" s="631"/>
      <c r="P434" s="682"/>
    </row>
    <row r="435" spans="1:16" ht="15" customHeight="1" x14ac:dyDescent="0.3">
      <c r="A435" s="603"/>
      <c r="B435" s="604"/>
      <c r="C435" s="604"/>
      <c r="D435" s="604"/>
      <c r="E435" s="604"/>
      <c r="F435" s="604"/>
      <c r="G435" s="604"/>
      <c r="H435" s="604"/>
      <c r="I435" s="604"/>
      <c r="J435" s="604"/>
      <c r="K435" s="604"/>
      <c r="L435" s="604"/>
      <c r="M435" s="604"/>
      <c r="N435" s="608"/>
      <c r="O435" s="631"/>
      <c r="P435" s="682"/>
    </row>
    <row r="436" spans="1:16" ht="15" customHeight="1" x14ac:dyDescent="0.3">
      <c r="A436" s="603"/>
      <c r="B436" s="604"/>
      <c r="C436" s="604"/>
      <c r="D436" s="604"/>
      <c r="E436" s="604"/>
      <c r="F436" s="604"/>
      <c r="G436" s="604"/>
      <c r="H436" s="604"/>
      <c r="I436" s="604"/>
      <c r="J436" s="604"/>
      <c r="K436" s="604"/>
      <c r="L436" s="604"/>
      <c r="M436" s="604"/>
      <c r="N436" s="608"/>
      <c r="O436" s="631"/>
      <c r="P436" s="682"/>
    </row>
    <row r="437" spans="1:16" ht="15" customHeight="1" x14ac:dyDescent="0.3">
      <c r="A437" s="603"/>
      <c r="B437" s="604"/>
      <c r="C437" s="604"/>
      <c r="D437" s="604"/>
      <c r="E437" s="604"/>
      <c r="F437" s="604"/>
      <c r="G437" s="604"/>
      <c r="H437" s="604"/>
      <c r="I437" s="604"/>
      <c r="J437" s="604"/>
      <c r="K437" s="604"/>
      <c r="L437" s="604"/>
      <c r="M437" s="604"/>
      <c r="N437" s="608"/>
      <c r="O437" s="631"/>
      <c r="P437" s="682"/>
    </row>
    <row r="438" spans="1:16" ht="15" customHeight="1" x14ac:dyDescent="0.3">
      <c r="A438" s="603"/>
      <c r="B438" s="604"/>
      <c r="C438" s="604"/>
      <c r="D438" s="604"/>
      <c r="E438" s="604"/>
      <c r="F438" s="604"/>
      <c r="G438" s="604"/>
      <c r="H438" s="604"/>
      <c r="I438" s="604"/>
      <c r="J438" s="604"/>
      <c r="K438" s="604"/>
      <c r="L438" s="604"/>
      <c r="M438" s="604"/>
      <c r="N438" s="608"/>
      <c r="O438" s="631"/>
      <c r="P438" s="682"/>
    </row>
    <row r="439" spans="1:16" ht="15" customHeight="1" x14ac:dyDescent="0.3">
      <c r="A439" s="603"/>
      <c r="B439" s="604"/>
      <c r="C439" s="604"/>
      <c r="D439" s="604"/>
      <c r="E439" s="604"/>
      <c r="F439" s="604"/>
      <c r="G439" s="604"/>
      <c r="H439" s="604"/>
      <c r="I439" s="604"/>
      <c r="J439" s="604"/>
      <c r="K439" s="604"/>
      <c r="L439" s="604"/>
      <c r="M439" s="604"/>
      <c r="N439" s="608"/>
      <c r="O439" s="631"/>
      <c r="P439" s="682"/>
    </row>
    <row r="440" spans="1:16" ht="15" customHeight="1" x14ac:dyDescent="0.3">
      <c r="A440" s="603"/>
      <c r="B440" s="604"/>
      <c r="C440" s="604"/>
      <c r="D440" s="604"/>
      <c r="E440" s="604"/>
      <c r="F440" s="604"/>
      <c r="G440" s="604"/>
      <c r="H440" s="604"/>
      <c r="I440" s="604"/>
      <c r="J440" s="604"/>
      <c r="K440" s="604"/>
      <c r="L440" s="604"/>
      <c r="M440" s="604"/>
      <c r="N440" s="608"/>
      <c r="O440" s="631"/>
      <c r="P440" s="682"/>
    </row>
    <row r="441" spans="1:16" ht="15" customHeight="1" x14ac:dyDescent="0.3">
      <c r="A441" s="603"/>
      <c r="B441" s="604"/>
      <c r="C441" s="604"/>
      <c r="D441" s="604"/>
      <c r="E441" s="604"/>
      <c r="F441" s="604"/>
      <c r="G441" s="604"/>
      <c r="H441" s="604"/>
      <c r="I441" s="604"/>
      <c r="J441" s="604"/>
      <c r="K441" s="604"/>
      <c r="L441" s="604"/>
      <c r="M441" s="604"/>
      <c r="N441" s="609"/>
      <c r="O441" s="632"/>
      <c r="P441" s="683"/>
    </row>
    <row r="442" spans="1:16" ht="15" customHeight="1" x14ac:dyDescent="0.3">
      <c r="A442" s="603">
        <v>20</v>
      </c>
      <c r="B442" s="606"/>
      <c r="C442" s="606"/>
      <c r="D442" s="606"/>
      <c r="E442" s="606"/>
      <c r="F442" s="606"/>
      <c r="G442" s="606"/>
      <c r="H442" s="606"/>
      <c r="I442" s="606"/>
      <c r="J442" s="606"/>
      <c r="K442" s="606"/>
      <c r="L442" s="606"/>
      <c r="M442" s="606"/>
      <c r="N442" s="633" t="s">
        <v>213</v>
      </c>
      <c r="O442" s="624" t="str">
        <f>VLOOKUP(A442,'LISTA DE OFERENTES'!$A$6:$B$38,2,FALSE)</f>
        <v>PROYECTOS E INGENIERIA DE VIAS SAS-PROINVIAS SAS</v>
      </c>
      <c r="P442" s="685"/>
    </row>
    <row r="443" spans="1:16" ht="15" customHeight="1" x14ac:dyDescent="0.3">
      <c r="A443" s="603"/>
      <c r="B443" s="606"/>
      <c r="C443" s="606"/>
      <c r="D443" s="606"/>
      <c r="E443" s="606"/>
      <c r="F443" s="606"/>
      <c r="G443" s="606"/>
      <c r="H443" s="606"/>
      <c r="I443" s="606"/>
      <c r="J443" s="606"/>
      <c r="K443" s="606"/>
      <c r="L443" s="606"/>
      <c r="M443" s="606"/>
      <c r="N443" s="634"/>
      <c r="O443" s="625"/>
      <c r="P443" s="686"/>
    </row>
    <row r="444" spans="1:16" ht="15" customHeight="1" x14ac:dyDescent="0.3">
      <c r="A444" s="603"/>
      <c r="B444" s="606"/>
      <c r="C444" s="606"/>
      <c r="D444" s="606"/>
      <c r="E444" s="606"/>
      <c r="F444" s="606"/>
      <c r="G444" s="606"/>
      <c r="H444" s="606"/>
      <c r="I444" s="606"/>
      <c r="J444" s="606"/>
      <c r="K444" s="606"/>
      <c r="L444" s="606"/>
      <c r="M444" s="606"/>
      <c r="N444" s="634"/>
      <c r="O444" s="625"/>
      <c r="P444" s="686"/>
    </row>
    <row r="445" spans="1:16" ht="15" customHeight="1" x14ac:dyDescent="0.3">
      <c r="A445" s="603"/>
      <c r="B445" s="606"/>
      <c r="C445" s="606"/>
      <c r="D445" s="606"/>
      <c r="E445" s="606"/>
      <c r="F445" s="606"/>
      <c r="G445" s="606"/>
      <c r="H445" s="606"/>
      <c r="I445" s="606"/>
      <c r="J445" s="606"/>
      <c r="K445" s="606"/>
      <c r="L445" s="606"/>
      <c r="M445" s="606"/>
      <c r="N445" s="634"/>
      <c r="O445" s="625"/>
      <c r="P445" s="686"/>
    </row>
    <row r="446" spans="1:16" ht="15" customHeight="1" x14ac:dyDescent="0.3">
      <c r="A446" s="603"/>
      <c r="B446" s="606"/>
      <c r="C446" s="606"/>
      <c r="D446" s="606"/>
      <c r="E446" s="606"/>
      <c r="F446" s="606"/>
      <c r="G446" s="606"/>
      <c r="H446" s="606"/>
      <c r="I446" s="606"/>
      <c r="J446" s="606"/>
      <c r="K446" s="606"/>
      <c r="L446" s="606"/>
      <c r="M446" s="606"/>
      <c r="N446" s="634"/>
      <c r="O446" s="625"/>
      <c r="P446" s="686"/>
    </row>
    <row r="447" spans="1:16" ht="15" customHeight="1" x14ac:dyDescent="0.3">
      <c r="A447" s="603"/>
      <c r="B447" s="606"/>
      <c r="C447" s="606"/>
      <c r="D447" s="606"/>
      <c r="E447" s="606"/>
      <c r="F447" s="606"/>
      <c r="G447" s="606"/>
      <c r="H447" s="606"/>
      <c r="I447" s="606"/>
      <c r="J447" s="606"/>
      <c r="K447" s="606"/>
      <c r="L447" s="606"/>
      <c r="M447" s="606"/>
      <c r="N447" s="634"/>
      <c r="O447" s="625"/>
      <c r="P447" s="686"/>
    </row>
    <row r="448" spans="1:16" ht="15" customHeight="1" x14ac:dyDescent="0.3">
      <c r="A448" s="603"/>
      <c r="B448" s="606"/>
      <c r="C448" s="606"/>
      <c r="D448" s="606"/>
      <c r="E448" s="606"/>
      <c r="F448" s="606"/>
      <c r="G448" s="606"/>
      <c r="H448" s="606"/>
      <c r="I448" s="606"/>
      <c r="J448" s="606"/>
      <c r="K448" s="606"/>
      <c r="L448" s="606"/>
      <c r="M448" s="606"/>
      <c r="N448" s="634"/>
      <c r="O448" s="625"/>
      <c r="P448" s="686"/>
    </row>
    <row r="449" spans="1:16" ht="15" customHeight="1" x14ac:dyDescent="0.3">
      <c r="A449" s="603"/>
      <c r="B449" s="606"/>
      <c r="C449" s="606"/>
      <c r="D449" s="606"/>
      <c r="E449" s="606"/>
      <c r="F449" s="606"/>
      <c r="G449" s="606"/>
      <c r="H449" s="606"/>
      <c r="I449" s="606"/>
      <c r="J449" s="606"/>
      <c r="K449" s="606"/>
      <c r="L449" s="606"/>
      <c r="M449" s="606"/>
      <c r="N449" s="634"/>
      <c r="O449" s="625"/>
      <c r="P449" s="686"/>
    </row>
    <row r="450" spans="1:16" ht="15" customHeight="1" x14ac:dyDescent="0.3">
      <c r="A450" s="603"/>
      <c r="B450" s="606"/>
      <c r="C450" s="606"/>
      <c r="D450" s="606"/>
      <c r="E450" s="606"/>
      <c r="F450" s="606"/>
      <c r="G450" s="606"/>
      <c r="H450" s="606"/>
      <c r="I450" s="606"/>
      <c r="J450" s="606"/>
      <c r="K450" s="606"/>
      <c r="L450" s="606"/>
      <c r="M450" s="606"/>
      <c r="N450" s="634"/>
      <c r="O450" s="625"/>
      <c r="P450" s="686"/>
    </row>
    <row r="451" spans="1:16" ht="15" customHeight="1" x14ac:dyDescent="0.3">
      <c r="A451" s="603"/>
      <c r="B451" s="606"/>
      <c r="C451" s="606"/>
      <c r="D451" s="606"/>
      <c r="E451" s="606"/>
      <c r="F451" s="606"/>
      <c r="G451" s="606"/>
      <c r="H451" s="606"/>
      <c r="I451" s="606"/>
      <c r="J451" s="606"/>
      <c r="K451" s="606"/>
      <c r="L451" s="606"/>
      <c r="M451" s="606"/>
      <c r="N451" s="634"/>
      <c r="O451" s="625"/>
      <c r="P451" s="686"/>
    </row>
    <row r="452" spans="1:16" ht="15" customHeight="1" x14ac:dyDescent="0.3">
      <c r="A452" s="603"/>
      <c r="B452" s="606"/>
      <c r="C452" s="606"/>
      <c r="D452" s="606"/>
      <c r="E452" s="606"/>
      <c r="F452" s="606"/>
      <c r="G452" s="606"/>
      <c r="H452" s="606"/>
      <c r="I452" s="606"/>
      <c r="J452" s="606"/>
      <c r="K452" s="606"/>
      <c r="L452" s="606"/>
      <c r="M452" s="606"/>
      <c r="N452" s="634"/>
      <c r="O452" s="625"/>
      <c r="P452" s="686"/>
    </row>
    <row r="453" spans="1:16" ht="15" customHeight="1" x14ac:dyDescent="0.3">
      <c r="A453" s="603"/>
      <c r="B453" s="606"/>
      <c r="C453" s="606"/>
      <c r="D453" s="606"/>
      <c r="E453" s="606"/>
      <c r="F453" s="606"/>
      <c r="G453" s="606"/>
      <c r="H453" s="606"/>
      <c r="I453" s="606"/>
      <c r="J453" s="606"/>
      <c r="K453" s="606"/>
      <c r="L453" s="606"/>
      <c r="M453" s="606"/>
      <c r="N453" s="634"/>
      <c r="O453" s="625"/>
      <c r="P453" s="686"/>
    </row>
    <row r="454" spans="1:16" ht="15" customHeight="1" x14ac:dyDescent="0.3">
      <c r="A454" s="603"/>
      <c r="B454" s="606"/>
      <c r="C454" s="606"/>
      <c r="D454" s="606"/>
      <c r="E454" s="606"/>
      <c r="F454" s="606"/>
      <c r="G454" s="606"/>
      <c r="H454" s="606"/>
      <c r="I454" s="606"/>
      <c r="J454" s="606"/>
      <c r="K454" s="606"/>
      <c r="L454" s="606"/>
      <c r="M454" s="606"/>
      <c r="N454" s="634"/>
      <c r="O454" s="625"/>
      <c r="P454" s="686"/>
    </row>
    <row r="455" spans="1:16" ht="15" customHeight="1" x14ac:dyDescent="0.3">
      <c r="A455" s="603"/>
      <c r="B455" s="606"/>
      <c r="C455" s="606"/>
      <c r="D455" s="606"/>
      <c r="E455" s="606"/>
      <c r="F455" s="606"/>
      <c r="G455" s="606"/>
      <c r="H455" s="606"/>
      <c r="I455" s="606"/>
      <c r="J455" s="606"/>
      <c r="K455" s="606"/>
      <c r="L455" s="606"/>
      <c r="M455" s="606"/>
      <c r="N455" s="634"/>
      <c r="O455" s="625"/>
      <c r="P455" s="686"/>
    </row>
    <row r="456" spans="1:16" ht="15" customHeight="1" x14ac:dyDescent="0.3">
      <c r="A456" s="603"/>
      <c r="B456" s="606"/>
      <c r="C456" s="606"/>
      <c r="D456" s="606"/>
      <c r="E456" s="606"/>
      <c r="F456" s="606"/>
      <c r="G456" s="606"/>
      <c r="H456" s="606"/>
      <c r="I456" s="606"/>
      <c r="J456" s="606"/>
      <c r="K456" s="606"/>
      <c r="L456" s="606"/>
      <c r="M456" s="606"/>
      <c r="N456" s="634"/>
      <c r="O456" s="625"/>
      <c r="P456" s="686"/>
    </row>
    <row r="457" spans="1:16" ht="15" customHeight="1" x14ac:dyDescent="0.3">
      <c r="A457" s="603"/>
      <c r="B457" s="606"/>
      <c r="C457" s="606"/>
      <c r="D457" s="606"/>
      <c r="E457" s="606"/>
      <c r="F457" s="606"/>
      <c r="G457" s="606"/>
      <c r="H457" s="606"/>
      <c r="I457" s="606"/>
      <c r="J457" s="606"/>
      <c r="K457" s="606"/>
      <c r="L457" s="606"/>
      <c r="M457" s="606"/>
      <c r="N457" s="634"/>
      <c r="O457" s="625"/>
      <c r="P457" s="686"/>
    </row>
    <row r="458" spans="1:16" ht="15" customHeight="1" x14ac:dyDescent="0.3">
      <c r="A458" s="603"/>
      <c r="B458" s="606"/>
      <c r="C458" s="606"/>
      <c r="D458" s="606"/>
      <c r="E458" s="606"/>
      <c r="F458" s="606"/>
      <c r="G458" s="606"/>
      <c r="H458" s="606"/>
      <c r="I458" s="606"/>
      <c r="J458" s="606"/>
      <c r="K458" s="606"/>
      <c r="L458" s="606"/>
      <c r="M458" s="606"/>
      <c r="N458" s="634"/>
      <c r="O458" s="625"/>
      <c r="P458" s="686"/>
    </row>
    <row r="459" spans="1:16" ht="15" customHeight="1" x14ac:dyDescent="0.3">
      <c r="A459" s="603"/>
      <c r="B459" s="606"/>
      <c r="C459" s="606"/>
      <c r="D459" s="606"/>
      <c r="E459" s="606"/>
      <c r="F459" s="606"/>
      <c r="G459" s="606"/>
      <c r="H459" s="606"/>
      <c r="I459" s="606"/>
      <c r="J459" s="606"/>
      <c r="K459" s="606"/>
      <c r="L459" s="606"/>
      <c r="M459" s="606"/>
      <c r="N459" s="634"/>
      <c r="O459" s="625"/>
      <c r="P459" s="686"/>
    </row>
    <row r="460" spans="1:16" ht="15" customHeight="1" x14ac:dyDescent="0.3">
      <c r="A460" s="603"/>
      <c r="B460" s="606"/>
      <c r="C460" s="606"/>
      <c r="D460" s="606"/>
      <c r="E460" s="606"/>
      <c r="F460" s="606"/>
      <c r="G460" s="606"/>
      <c r="H460" s="606"/>
      <c r="I460" s="606"/>
      <c r="J460" s="606"/>
      <c r="K460" s="606"/>
      <c r="L460" s="606"/>
      <c r="M460" s="606"/>
      <c r="N460" s="634"/>
      <c r="O460" s="625"/>
      <c r="P460" s="686"/>
    </row>
    <row r="461" spans="1:16" ht="15" customHeight="1" x14ac:dyDescent="0.3">
      <c r="A461" s="603"/>
      <c r="B461" s="606"/>
      <c r="C461" s="606"/>
      <c r="D461" s="606"/>
      <c r="E461" s="606"/>
      <c r="F461" s="606"/>
      <c r="G461" s="606"/>
      <c r="H461" s="606"/>
      <c r="I461" s="606"/>
      <c r="J461" s="606"/>
      <c r="K461" s="606"/>
      <c r="L461" s="606"/>
      <c r="M461" s="606"/>
      <c r="N461" s="634"/>
      <c r="O461" s="625"/>
      <c r="P461" s="686"/>
    </row>
    <row r="462" spans="1:16" ht="15" customHeight="1" x14ac:dyDescent="0.3">
      <c r="A462" s="603"/>
      <c r="B462" s="606"/>
      <c r="C462" s="606"/>
      <c r="D462" s="606"/>
      <c r="E462" s="606"/>
      <c r="F462" s="606"/>
      <c r="G462" s="606"/>
      <c r="H462" s="606"/>
      <c r="I462" s="606"/>
      <c r="J462" s="606"/>
      <c r="K462" s="606"/>
      <c r="L462" s="606"/>
      <c r="M462" s="606"/>
      <c r="N462" s="634"/>
      <c r="O462" s="625"/>
      <c r="P462" s="686"/>
    </row>
    <row r="463" spans="1:16" ht="15" customHeight="1" x14ac:dyDescent="0.3">
      <c r="A463" s="603"/>
      <c r="B463" s="606"/>
      <c r="C463" s="606"/>
      <c r="D463" s="606"/>
      <c r="E463" s="606"/>
      <c r="F463" s="606"/>
      <c r="G463" s="606"/>
      <c r="H463" s="606"/>
      <c r="I463" s="606"/>
      <c r="J463" s="606"/>
      <c r="K463" s="606"/>
      <c r="L463" s="606"/>
      <c r="M463" s="606"/>
      <c r="N463" s="634"/>
      <c r="O463" s="625"/>
      <c r="P463" s="686"/>
    </row>
    <row r="464" spans="1:16" ht="15" customHeight="1" x14ac:dyDescent="0.3">
      <c r="A464" s="603"/>
      <c r="B464" s="606"/>
      <c r="C464" s="606"/>
      <c r="D464" s="606"/>
      <c r="E464" s="606"/>
      <c r="F464" s="606"/>
      <c r="G464" s="606"/>
      <c r="H464" s="606"/>
      <c r="I464" s="606"/>
      <c r="J464" s="606"/>
      <c r="K464" s="606"/>
      <c r="L464" s="606"/>
      <c r="M464" s="606"/>
      <c r="N464" s="634"/>
      <c r="O464" s="626"/>
      <c r="P464" s="686"/>
    </row>
    <row r="465" spans="1:16" ht="15" customHeight="1" x14ac:dyDescent="0.3">
      <c r="A465" s="603">
        <v>21</v>
      </c>
      <c r="B465" s="606"/>
      <c r="C465" s="606"/>
      <c r="D465" s="606"/>
      <c r="E465" s="606"/>
      <c r="F465" s="606"/>
      <c r="G465" s="606"/>
      <c r="H465" s="606"/>
      <c r="I465" s="606"/>
      <c r="J465" s="606"/>
      <c r="K465" s="606"/>
      <c r="L465" s="606"/>
      <c r="M465" s="627"/>
      <c r="N465" s="635" t="s">
        <v>213</v>
      </c>
      <c r="O465" s="630" t="str">
        <f>VLOOKUP(A465,'LISTA DE OFERENTES'!$A$6:$B$38,2,FALSE)</f>
        <v>CARLOS ARTURO VERGARA NEGRETE</v>
      </c>
      <c r="P465" s="687"/>
    </row>
    <row r="466" spans="1:16" ht="15" customHeight="1" x14ac:dyDescent="0.3">
      <c r="A466" s="603"/>
      <c r="B466" s="606"/>
      <c r="C466" s="606"/>
      <c r="D466" s="606"/>
      <c r="E466" s="606"/>
      <c r="F466" s="606"/>
      <c r="G466" s="606"/>
      <c r="H466" s="606"/>
      <c r="I466" s="606"/>
      <c r="J466" s="606"/>
      <c r="K466" s="606"/>
      <c r="L466" s="606"/>
      <c r="M466" s="627"/>
      <c r="N466" s="635"/>
      <c r="O466" s="630"/>
      <c r="P466" s="687"/>
    </row>
    <row r="467" spans="1:16" ht="15" customHeight="1" x14ac:dyDescent="0.3">
      <c r="A467" s="603"/>
      <c r="B467" s="606"/>
      <c r="C467" s="606"/>
      <c r="D467" s="606"/>
      <c r="E467" s="606"/>
      <c r="F467" s="606"/>
      <c r="G467" s="606"/>
      <c r="H467" s="606"/>
      <c r="I467" s="606"/>
      <c r="J467" s="606"/>
      <c r="K467" s="606"/>
      <c r="L467" s="606"/>
      <c r="M467" s="627"/>
      <c r="N467" s="635"/>
      <c r="O467" s="630"/>
      <c r="P467" s="687"/>
    </row>
    <row r="468" spans="1:16" ht="15" customHeight="1" x14ac:dyDescent="0.3">
      <c r="A468" s="603"/>
      <c r="B468" s="606"/>
      <c r="C468" s="606"/>
      <c r="D468" s="606"/>
      <c r="E468" s="606"/>
      <c r="F468" s="606"/>
      <c r="G468" s="606"/>
      <c r="H468" s="606"/>
      <c r="I468" s="606"/>
      <c r="J468" s="606"/>
      <c r="K468" s="606"/>
      <c r="L468" s="606"/>
      <c r="M468" s="627"/>
      <c r="N468" s="635"/>
      <c r="O468" s="630"/>
      <c r="P468" s="687"/>
    </row>
    <row r="469" spans="1:16" ht="15" customHeight="1" x14ac:dyDescent="0.3">
      <c r="A469" s="603"/>
      <c r="B469" s="606"/>
      <c r="C469" s="606"/>
      <c r="D469" s="606"/>
      <c r="E469" s="606"/>
      <c r="F469" s="606"/>
      <c r="G469" s="606"/>
      <c r="H469" s="606"/>
      <c r="I469" s="606"/>
      <c r="J469" s="606"/>
      <c r="K469" s="606"/>
      <c r="L469" s="606"/>
      <c r="M469" s="627"/>
      <c r="N469" s="635"/>
      <c r="O469" s="630"/>
      <c r="P469" s="687"/>
    </row>
    <row r="470" spans="1:16" ht="15" customHeight="1" x14ac:dyDescent="0.3">
      <c r="A470" s="603"/>
      <c r="B470" s="606"/>
      <c r="C470" s="606"/>
      <c r="D470" s="606"/>
      <c r="E470" s="606"/>
      <c r="F470" s="606"/>
      <c r="G470" s="606"/>
      <c r="H470" s="606"/>
      <c r="I470" s="606"/>
      <c r="J470" s="606"/>
      <c r="K470" s="606"/>
      <c r="L470" s="606"/>
      <c r="M470" s="627"/>
      <c r="N470" s="635"/>
      <c r="O470" s="630"/>
      <c r="P470" s="687"/>
    </row>
    <row r="471" spans="1:16" ht="15" customHeight="1" x14ac:dyDescent="0.3">
      <c r="A471" s="603"/>
      <c r="B471" s="606"/>
      <c r="C471" s="606"/>
      <c r="D471" s="606"/>
      <c r="E471" s="606"/>
      <c r="F471" s="606"/>
      <c r="G471" s="606"/>
      <c r="H471" s="606"/>
      <c r="I471" s="606"/>
      <c r="J471" s="606"/>
      <c r="K471" s="606"/>
      <c r="L471" s="606"/>
      <c r="M471" s="627"/>
      <c r="N471" s="635"/>
      <c r="O471" s="630"/>
      <c r="P471" s="687"/>
    </row>
    <row r="472" spans="1:16" ht="15" customHeight="1" x14ac:dyDescent="0.3">
      <c r="A472" s="603"/>
      <c r="B472" s="606"/>
      <c r="C472" s="606"/>
      <c r="D472" s="606"/>
      <c r="E472" s="606"/>
      <c r="F472" s="606"/>
      <c r="G472" s="606"/>
      <c r="H472" s="606"/>
      <c r="I472" s="606"/>
      <c r="J472" s="606"/>
      <c r="K472" s="606"/>
      <c r="L472" s="606"/>
      <c r="M472" s="627"/>
      <c r="N472" s="635"/>
      <c r="O472" s="630"/>
      <c r="P472" s="687"/>
    </row>
    <row r="473" spans="1:16" ht="15" customHeight="1" x14ac:dyDescent="0.3">
      <c r="A473" s="603"/>
      <c r="B473" s="606"/>
      <c r="C473" s="606"/>
      <c r="D473" s="606"/>
      <c r="E473" s="606"/>
      <c r="F473" s="606"/>
      <c r="G473" s="606"/>
      <c r="H473" s="606"/>
      <c r="I473" s="606"/>
      <c r="J473" s="606"/>
      <c r="K473" s="606"/>
      <c r="L473" s="606"/>
      <c r="M473" s="627"/>
      <c r="N473" s="635"/>
      <c r="O473" s="630"/>
      <c r="P473" s="687"/>
    </row>
    <row r="474" spans="1:16" ht="15" customHeight="1" x14ac:dyDescent="0.3">
      <c r="A474" s="603"/>
      <c r="B474" s="606"/>
      <c r="C474" s="606"/>
      <c r="D474" s="606"/>
      <c r="E474" s="606"/>
      <c r="F474" s="606"/>
      <c r="G474" s="606"/>
      <c r="H474" s="606"/>
      <c r="I474" s="606"/>
      <c r="J474" s="606"/>
      <c r="K474" s="606"/>
      <c r="L474" s="606"/>
      <c r="M474" s="627"/>
      <c r="N474" s="635"/>
      <c r="O474" s="630"/>
      <c r="P474" s="687"/>
    </row>
    <row r="475" spans="1:16" ht="15" customHeight="1" x14ac:dyDescent="0.3">
      <c r="A475" s="603"/>
      <c r="B475" s="606"/>
      <c r="C475" s="606"/>
      <c r="D475" s="606"/>
      <c r="E475" s="606"/>
      <c r="F475" s="606"/>
      <c r="G475" s="606"/>
      <c r="H475" s="606"/>
      <c r="I475" s="606"/>
      <c r="J475" s="606"/>
      <c r="K475" s="606"/>
      <c r="L475" s="606"/>
      <c r="M475" s="627"/>
      <c r="N475" s="635"/>
      <c r="O475" s="630"/>
      <c r="P475" s="687"/>
    </row>
    <row r="476" spans="1:16" ht="15" customHeight="1" x14ac:dyDescent="0.3">
      <c r="A476" s="603"/>
      <c r="B476" s="606"/>
      <c r="C476" s="606"/>
      <c r="D476" s="606"/>
      <c r="E476" s="606"/>
      <c r="F476" s="606"/>
      <c r="G476" s="606"/>
      <c r="H476" s="606"/>
      <c r="I476" s="606"/>
      <c r="J476" s="606"/>
      <c r="K476" s="606"/>
      <c r="L476" s="606"/>
      <c r="M476" s="627"/>
      <c r="N476" s="635"/>
      <c r="O476" s="630"/>
      <c r="P476" s="687"/>
    </row>
    <row r="477" spans="1:16" ht="15" customHeight="1" x14ac:dyDescent="0.3">
      <c r="A477" s="603"/>
      <c r="B477" s="606"/>
      <c r="C477" s="606"/>
      <c r="D477" s="606"/>
      <c r="E477" s="606"/>
      <c r="F477" s="606"/>
      <c r="G477" s="606"/>
      <c r="H477" s="606"/>
      <c r="I477" s="606"/>
      <c r="J477" s="606"/>
      <c r="K477" s="606"/>
      <c r="L477" s="606"/>
      <c r="M477" s="627"/>
      <c r="N477" s="635"/>
      <c r="O477" s="630"/>
      <c r="P477" s="687"/>
    </row>
    <row r="478" spans="1:16" ht="15" customHeight="1" x14ac:dyDescent="0.3">
      <c r="A478" s="603"/>
      <c r="B478" s="606"/>
      <c r="C478" s="606"/>
      <c r="D478" s="606"/>
      <c r="E478" s="606"/>
      <c r="F478" s="606"/>
      <c r="G478" s="606"/>
      <c r="H478" s="606"/>
      <c r="I478" s="606"/>
      <c r="J478" s="606"/>
      <c r="K478" s="606"/>
      <c r="L478" s="606"/>
      <c r="M478" s="627"/>
      <c r="N478" s="635"/>
      <c r="O478" s="630"/>
      <c r="P478" s="687"/>
    </row>
    <row r="479" spans="1:16" ht="15" customHeight="1" x14ac:dyDescent="0.3">
      <c r="A479" s="603"/>
      <c r="B479" s="606"/>
      <c r="C479" s="606"/>
      <c r="D479" s="606"/>
      <c r="E479" s="606"/>
      <c r="F479" s="606"/>
      <c r="G479" s="606"/>
      <c r="H479" s="606"/>
      <c r="I479" s="606"/>
      <c r="J479" s="606"/>
      <c r="K479" s="606"/>
      <c r="L479" s="606"/>
      <c r="M479" s="627"/>
      <c r="N479" s="635"/>
      <c r="O479" s="630"/>
      <c r="P479" s="687"/>
    </row>
    <row r="480" spans="1:16" ht="15" customHeight="1" x14ac:dyDescent="0.3">
      <c r="A480" s="603"/>
      <c r="B480" s="606"/>
      <c r="C480" s="606"/>
      <c r="D480" s="606"/>
      <c r="E480" s="606"/>
      <c r="F480" s="606"/>
      <c r="G480" s="606"/>
      <c r="H480" s="606"/>
      <c r="I480" s="606"/>
      <c r="J480" s="606"/>
      <c r="K480" s="606"/>
      <c r="L480" s="606"/>
      <c r="M480" s="627"/>
      <c r="N480" s="635"/>
      <c r="O480" s="630"/>
      <c r="P480" s="687"/>
    </row>
    <row r="481" spans="1:16" ht="15" customHeight="1" x14ac:dyDescent="0.3">
      <c r="A481" s="603"/>
      <c r="B481" s="606"/>
      <c r="C481" s="606"/>
      <c r="D481" s="606"/>
      <c r="E481" s="606"/>
      <c r="F481" s="606"/>
      <c r="G481" s="606"/>
      <c r="H481" s="606"/>
      <c r="I481" s="606"/>
      <c r="J481" s="606"/>
      <c r="K481" s="606"/>
      <c r="L481" s="606"/>
      <c r="M481" s="627"/>
      <c r="N481" s="635"/>
      <c r="O481" s="630"/>
      <c r="P481" s="687"/>
    </row>
    <row r="482" spans="1:16" ht="15" customHeight="1" x14ac:dyDescent="0.3">
      <c r="A482" s="603"/>
      <c r="B482" s="606"/>
      <c r="C482" s="606"/>
      <c r="D482" s="606"/>
      <c r="E482" s="606"/>
      <c r="F482" s="606"/>
      <c r="G482" s="606"/>
      <c r="H482" s="606"/>
      <c r="I482" s="606"/>
      <c r="J482" s="606"/>
      <c r="K482" s="606"/>
      <c r="L482" s="606"/>
      <c r="M482" s="627"/>
      <c r="N482" s="635"/>
      <c r="O482" s="630"/>
      <c r="P482" s="687"/>
    </row>
    <row r="483" spans="1:16" ht="15" customHeight="1" x14ac:dyDescent="0.3">
      <c r="A483" s="603"/>
      <c r="B483" s="606"/>
      <c r="C483" s="606"/>
      <c r="D483" s="606"/>
      <c r="E483" s="606"/>
      <c r="F483" s="606"/>
      <c r="G483" s="606"/>
      <c r="H483" s="606"/>
      <c r="I483" s="606"/>
      <c r="J483" s="606"/>
      <c r="K483" s="606"/>
      <c r="L483" s="606"/>
      <c r="M483" s="627"/>
      <c r="N483" s="635"/>
      <c r="O483" s="630"/>
      <c r="P483" s="687"/>
    </row>
    <row r="484" spans="1:16" ht="15" customHeight="1" x14ac:dyDescent="0.3">
      <c r="A484" s="603"/>
      <c r="B484" s="606"/>
      <c r="C484" s="606"/>
      <c r="D484" s="606"/>
      <c r="E484" s="606"/>
      <c r="F484" s="606"/>
      <c r="G484" s="606"/>
      <c r="H484" s="606"/>
      <c r="I484" s="606"/>
      <c r="J484" s="606"/>
      <c r="K484" s="606"/>
      <c r="L484" s="606"/>
      <c r="M484" s="627"/>
      <c r="N484" s="635"/>
      <c r="O484" s="630"/>
      <c r="P484" s="687"/>
    </row>
    <row r="485" spans="1:16" ht="15" customHeight="1" x14ac:dyDescent="0.3">
      <c r="A485" s="603"/>
      <c r="B485" s="606"/>
      <c r="C485" s="606"/>
      <c r="D485" s="606"/>
      <c r="E485" s="606"/>
      <c r="F485" s="606"/>
      <c r="G485" s="606"/>
      <c r="H485" s="606"/>
      <c r="I485" s="606"/>
      <c r="J485" s="606"/>
      <c r="K485" s="606"/>
      <c r="L485" s="606"/>
      <c r="M485" s="627"/>
      <c r="N485" s="635"/>
      <c r="O485" s="630"/>
      <c r="P485" s="687"/>
    </row>
    <row r="486" spans="1:16" ht="15" customHeight="1" x14ac:dyDescent="0.3">
      <c r="A486" s="603"/>
      <c r="B486" s="606"/>
      <c r="C486" s="606"/>
      <c r="D486" s="606"/>
      <c r="E486" s="606"/>
      <c r="F486" s="606"/>
      <c r="G486" s="606"/>
      <c r="H486" s="606"/>
      <c r="I486" s="606"/>
      <c r="J486" s="606"/>
      <c r="K486" s="606"/>
      <c r="L486" s="606"/>
      <c r="M486" s="627"/>
      <c r="N486" s="635"/>
      <c r="O486" s="630"/>
      <c r="P486" s="687"/>
    </row>
    <row r="487" spans="1:16" ht="15" customHeight="1" x14ac:dyDescent="0.3">
      <c r="A487" s="603"/>
      <c r="B487" s="628"/>
      <c r="C487" s="628"/>
      <c r="D487" s="628"/>
      <c r="E487" s="628"/>
      <c r="F487" s="628"/>
      <c r="G487" s="628"/>
      <c r="H487" s="628"/>
      <c r="I487" s="628"/>
      <c r="J487" s="628"/>
      <c r="K487" s="628"/>
      <c r="L487" s="628"/>
      <c r="M487" s="629"/>
      <c r="N487" s="635"/>
      <c r="O487" s="630"/>
      <c r="P487" s="687"/>
    </row>
    <row r="488" spans="1:16" ht="15" customHeight="1" x14ac:dyDescent="0.3">
      <c r="A488" s="636">
        <v>22</v>
      </c>
      <c r="B488" s="637"/>
      <c r="C488" s="638"/>
      <c r="D488" s="638"/>
      <c r="E488" s="638"/>
      <c r="F488" s="638"/>
      <c r="G488" s="638"/>
      <c r="H488" s="638"/>
      <c r="I488" s="638"/>
      <c r="J488" s="638"/>
      <c r="K488" s="638"/>
      <c r="L488" s="638"/>
      <c r="M488" s="639"/>
      <c r="N488" s="649" t="s">
        <v>213</v>
      </c>
      <c r="O488" s="645" t="str">
        <f>VLOOKUP(A488,'LISTA DE OFERENTES'!$A$6:$B$38,2,FALSE)</f>
        <v>CJS INGENIERIA SAS</v>
      </c>
      <c r="P488" s="682"/>
    </row>
    <row r="489" spans="1:16" ht="15" customHeight="1" x14ac:dyDescent="0.3">
      <c r="A489" s="636"/>
      <c r="B489" s="640"/>
      <c r="C489" s="606"/>
      <c r="D489" s="606"/>
      <c r="E489" s="606"/>
      <c r="F489" s="606"/>
      <c r="G489" s="606"/>
      <c r="H489" s="606"/>
      <c r="I489" s="606"/>
      <c r="J489" s="606"/>
      <c r="K489" s="606"/>
      <c r="L489" s="606"/>
      <c r="M489" s="641"/>
      <c r="N489" s="649"/>
      <c r="O489" s="605"/>
      <c r="P489" s="682"/>
    </row>
    <row r="490" spans="1:16" ht="15" customHeight="1" x14ac:dyDescent="0.3">
      <c r="A490" s="636"/>
      <c r="B490" s="640"/>
      <c r="C490" s="606"/>
      <c r="D490" s="606"/>
      <c r="E490" s="606"/>
      <c r="F490" s="606"/>
      <c r="G490" s="606"/>
      <c r="H490" s="606"/>
      <c r="I490" s="606"/>
      <c r="J490" s="606"/>
      <c r="K490" s="606"/>
      <c r="L490" s="606"/>
      <c r="M490" s="641"/>
      <c r="N490" s="649"/>
      <c r="O490" s="605"/>
      <c r="P490" s="682"/>
    </row>
    <row r="491" spans="1:16" ht="15" customHeight="1" x14ac:dyDescent="0.3">
      <c r="A491" s="636"/>
      <c r="B491" s="640"/>
      <c r="C491" s="606"/>
      <c r="D491" s="606"/>
      <c r="E491" s="606"/>
      <c r="F491" s="606"/>
      <c r="G491" s="606"/>
      <c r="H491" s="606"/>
      <c r="I491" s="606"/>
      <c r="J491" s="606"/>
      <c r="K491" s="606"/>
      <c r="L491" s="606"/>
      <c r="M491" s="641"/>
      <c r="N491" s="649"/>
      <c r="O491" s="605"/>
      <c r="P491" s="682"/>
    </row>
    <row r="492" spans="1:16" ht="15" customHeight="1" x14ac:dyDescent="0.3">
      <c r="A492" s="636"/>
      <c r="B492" s="640"/>
      <c r="C492" s="606"/>
      <c r="D492" s="606"/>
      <c r="E492" s="606"/>
      <c r="F492" s="606"/>
      <c r="G492" s="606"/>
      <c r="H492" s="606"/>
      <c r="I492" s="606"/>
      <c r="J492" s="606"/>
      <c r="K492" s="606"/>
      <c r="L492" s="606"/>
      <c r="M492" s="641"/>
      <c r="N492" s="649"/>
      <c r="O492" s="605"/>
      <c r="P492" s="682"/>
    </row>
    <row r="493" spans="1:16" ht="15" customHeight="1" x14ac:dyDescent="0.3">
      <c r="A493" s="636"/>
      <c r="B493" s="640"/>
      <c r="C493" s="606"/>
      <c r="D493" s="606"/>
      <c r="E493" s="606"/>
      <c r="F493" s="606"/>
      <c r="G493" s="606"/>
      <c r="H493" s="606"/>
      <c r="I493" s="606"/>
      <c r="J493" s="606"/>
      <c r="K493" s="606"/>
      <c r="L493" s="606"/>
      <c r="M493" s="641"/>
      <c r="N493" s="649"/>
      <c r="O493" s="605"/>
      <c r="P493" s="682"/>
    </row>
    <row r="494" spans="1:16" ht="15" customHeight="1" x14ac:dyDescent="0.3">
      <c r="A494" s="636"/>
      <c r="B494" s="640"/>
      <c r="C494" s="606"/>
      <c r="D494" s="606"/>
      <c r="E494" s="606"/>
      <c r="F494" s="606"/>
      <c r="G494" s="606"/>
      <c r="H494" s="606"/>
      <c r="I494" s="606"/>
      <c r="J494" s="606"/>
      <c r="K494" s="606"/>
      <c r="L494" s="606"/>
      <c r="M494" s="641"/>
      <c r="N494" s="649"/>
      <c r="O494" s="605"/>
      <c r="P494" s="682"/>
    </row>
    <row r="495" spans="1:16" ht="15" customHeight="1" x14ac:dyDescent="0.3">
      <c r="A495" s="636"/>
      <c r="B495" s="640"/>
      <c r="C495" s="606"/>
      <c r="D495" s="606"/>
      <c r="E495" s="606"/>
      <c r="F495" s="606"/>
      <c r="G495" s="606"/>
      <c r="H495" s="606"/>
      <c r="I495" s="606"/>
      <c r="J495" s="606"/>
      <c r="K495" s="606"/>
      <c r="L495" s="606"/>
      <c r="M495" s="641"/>
      <c r="N495" s="649"/>
      <c r="O495" s="605"/>
      <c r="P495" s="682"/>
    </row>
    <row r="496" spans="1:16" ht="15" customHeight="1" x14ac:dyDescent="0.3">
      <c r="A496" s="636"/>
      <c r="B496" s="640"/>
      <c r="C496" s="606"/>
      <c r="D496" s="606"/>
      <c r="E496" s="606"/>
      <c r="F496" s="606"/>
      <c r="G496" s="606"/>
      <c r="H496" s="606"/>
      <c r="I496" s="606"/>
      <c r="J496" s="606"/>
      <c r="K496" s="606"/>
      <c r="L496" s="606"/>
      <c r="M496" s="641"/>
      <c r="N496" s="649"/>
      <c r="O496" s="605"/>
      <c r="P496" s="682"/>
    </row>
    <row r="497" spans="1:16" ht="15" customHeight="1" x14ac:dyDescent="0.3">
      <c r="A497" s="636"/>
      <c r="B497" s="640"/>
      <c r="C497" s="606"/>
      <c r="D497" s="606"/>
      <c r="E497" s="606"/>
      <c r="F497" s="606"/>
      <c r="G497" s="606"/>
      <c r="H497" s="606"/>
      <c r="I497" s="606"/>
      <c r="J497" s="606"/>
      <c r="K497" s="606"/>
      <c r="L497" s="606"/>
      <c r="M497" s="641"/>
      <c r="N497" s="649"/>
      <c r="O497" s="605"/>
      <c r="P497" s="682"/>
    </row>
    <row r="498" spans="1:16" ht="15" customHeight="1" x14ac:dyDescent="0.3">
      <c r="A498" s="636"/>
      <c r="B498" s="640"/>
      <c r="C498" s="606"/>
      <c r="D498" s="606"/>
      <c r="E498" s="606"/>
      <c r="F498" s="606"/>
      <c r="G498" s="606"/>
      <c r="H498" s="606"/>
      <c r="I498" s="606"/>
      <c r="J498" s="606"/>
      <c r="K498" s="606"/>
      <c r="L498" s="606"/>
      <c r="M498" s="641"/>
      <c r="N498" s="649"/>
      <c r="O498" s="605"/>
      <c r="P498" s="682"/>
    </row>
    <row r="499" spans="1:16" ht="15" customHeight="1" x14ac:dyDescent="0.3">
      <c r="A499" s="636"/>
      <c r="B499" s="640"/>
      <c r="C499" s="606"/>
      <c r="D499" s="606"/>
      <c r="E499" s="606"/>
      <c r="F499" s="606"/>
      <c r="G499" s="606"/>
      <c r="H499" s="606"/>
      <c r="I499" s="606"/>
      <c r="J499" s="606"/>
      <c r="K499" s="606"/>
      <c r="L499" s="606"/>
      <c r="M499" s="641"/>
      <c r="N499" s="649"/>
      <c r="O499" s="605"/>
      <c r="P499" s="682"/>
    </row>
    <row r="500" spans="1:16" ht="15" customHeight="1" x14ac:dyDescent="0.3">
      <c r="A500" s="636"/>
      <c r="B500" s="640"/>
      <c r="C500" s="606"/>
      <c r="D500" s="606"/>
      <c r="E500" s="606"/>
      <c r="F500" s="606"/>
      <c r="G500" s="606"/>
      <c r="H500" s="606"/>
      <c r="I500" s="606"/>
      <c r="J500" s="606"/>
      <c r="K500" s="606"/>
      <c r="L500" s="606"/>
      <c r="M500" s="641"/>
      <c r="N500" s="649"/>
      <c r="O500" s="605"/>
      <c r="P500" s="682"/>
    </row>
    <row r="501" spans="1:16" ht="15" customHeight="1" x14ac:dyDescent="0.3">
      <c r="A501" s="636"/>
      <c r="B501" s="640"/>
      <c r="C501" s="606"/>
      <c r="D501" s="606"/>
      <c r="E501" s="606"/>
      <c r="F501" s="606"/>
      <c r="G501" s="606"/>
      <c r="H501" s="606"/>
      <c r="I501" s="606"/>
      <c r="J501" s="606"/>
      <c r="K501" s="606"/>
      <c r="L501" s="606"/>
      <c r="M501" s="641"/>
      <c r="N501" s="649"/>
      <c r="O501" s="605"/>
      <c r="P501" s="682"/>
    </row>
    <row r="502" spans="1:16" ht="15" customHeight="1" x14ac:dyDescent="0.3">
      <c r="A502" s="636"/>
      <c r="B502" s="640"/>
      <c r="C502" s="606"/>
      <c r="D502" s="606"/>
      <c r="E502" s="606"/>
      <c r="F502" s="606"/>
      <c r="G502" s="606"/>
      <c r="H502" s="606"/>
      <c r="I502" s="606"/>
      <c r="J502" s="606"/>
      <c r="K502" s="606"/>
      <c r="L502" s="606"/>
      <c r="M502" s="641"/>
      <c r="N502" s="649"/>
      <c r="O502" s="605"/>
      <c r="P502" s="682"/>
    </row>
    <row r="503" spans="1:16" ht="15" customHeight="1" x14ac:dyDescent="0.3">
      <c r="A503" s="636"/>
      <c r="B503" s="640"/>
      <c r="C503" s="606"/>
      <c r="D503" s="606"/>
      <c r="E503" s="606"/>
      <c r="F503" s="606"/>
      <c r="G503" s="606"/>
      <c r="H503" s="606"/>
      <c r="I503" s="606"/>
      <c r="J503" s="606"/>
      <c r="K503" s="606"/>
      <c r="L503" s="606"/>
      <c r="M503" s="641"/>
      <c r="N503" s="649"/>
      <c r="O503" s="605"/>
      <c r="P503" s="682"/>
    </row>
    <row r="504" spans="1:16" ht="15" customHeight="1" x14ac:dyDescent="0.3">
      <c r="A504" s="636"/>
      <c r="B504" s="640"/>
      <c r="C504" s="606"/>
      <c r="D504" s="606"/>
      <c r="E504" s="606"/>
      <c r="F504" s="606"/>
      <c r="G504" s="606"/>
      <c r="H504" s="606"/>
      <c r="I504" s="606"/>
      <c r="J504" s="606"/>
      <c r="K504" s="606"/>
      <c r="L504" s="606"/>
      <c r="M504" s="641"/>
      <c r="N504" s="649"/>
      <c r="O504" s="605"/>
      <c r="P504" s="682"/>
    </row>
    <row r="505" spans="1:16" ht="15" customHeight="1" x14ac:dyDescent="0.3">
      <c r="A505" s="636"/>
      <c r="B505" s="640"/>
      <c r="C505" s="606"/>
      <c r="D505" s="606"/>
      <c r="E505" s="606"/>
      <c r="F505" s="606"/>
      <c r="G505" s="606"/>
      <c r="H505" s="606"/>
      <c r="I505" s="606"/>
      <c r="J505" s="606"/>
      <c r="K505" s="606"/>
      <c r="L505" s="606"/>
      <c r="M505" s="641"/>
      <c r="N505" s="649"/>
      <c r="O505" s="605"/>
      <c r="P505" s="682"/>
    </row>
    <row r="506" spans="1:16" ht="15" customHeight="1" x14ac:dyDescent="0.3">
      <c r="A506" s="636"/>
      <c r="B506" s="640"/>
      <c r="C506" s="606"/>
      <c r="D506" s="606"/>
      <c r="E506" s="606"/>
      <c r="F506" s="606"/>
      <c r="G506" s="606"/>
      <c r="H506" s="606"/>
      <c r="I506" s="606"/>
      <c r="J506" s="606"/>
      <c r="K506" s="606"/>
      <c r="L506" s="606"/>
      <c r="M506" s="641"/>
      <c r="N506" s="649"/>
      <c r="O506" s="605"/>
      <c r="P506" s="682"/>
    </row>
    <row r="507" spans="1:16" ht="15" customHeight="1" x14ac:dyDescent="0.3">
      <c r="A507" s="636"/>
      <c r="B507" s="640"/>
      <c r="C507" s="606"/>
      <c r="D507" s="606"/>
      <c r="E507" s="606"/>
      <c r="F507" s="606"/>
      <c r="G507" s="606"/>
      <c r="H507" s="606"/>
      <c r="I507" s="606"/>
      <c r="J507" s="606"/>
      <c r="K507" s="606"/>
      <c r="L507" s="606"/>
      <c r="M507" s="641"/>
      <c r="N507" s="649"/>
      <c r="O507" s="605"/>
      <c r="P507" s="682"/>
    </row>
    <row r="508" spans="1:16" ht="15" customHeight="1" x14ac:dyDescent="0.3">
      <c r="A508" s="636"/>
      <c r="B508" s="640"/>
      <c r="C508" s="606"/>
      <c r="D508" s="606"/>
      <c r="E508" s="606"/>
      <c r="F508" s="606"/>
      <c r="G508" s="606"/>
      <c r="H508" s="606"/>
      <c r="I508" s="606"/>
      <c r="J508" s="606"/>
      <c r="K508" s="606"/>
      <c r="L508" s="606"/>
      <c r="M508" s="641"/>
      <c r="N508" s="649"/>
      <c r="O508" s="605"/>
      <c r="P508" s="682"/>
    </row>
    <row r="509" spans="1:16" ht="15" customHeight="1" x14ac:dyDescent="0.3">
      <c r="A509" s="636"/>
      <c r="B509" s="640"/>
      <c r="C509" s="606"/>
      <c r="D509" s="606"/>
      <c r="E509" s="606"/>
      <c r="F509" s="606"/>
      <c r="G509" s="606"/>
      <c r="H509" s="606"/>
      <c r="I509" s="606"/>
      <c r="J509" s="606"/>
      <c r="K509" s="606"/>
      <c r="L509" s="606"/>
      <c r="M509" s="641"/>
      <c r="N509" s="649"/>
      <c r="O509" s="605"/>
      <c r="P509" s="682"/>
    </row>
    <row r="510" spans="1:16" ht="15" customHeight="1" x14ac:dyDescent="0.3">
      <c r="A510" s="636"/>
      <c r="B510" s="642"/>
      <c r="C510" s="643"/>
      <c r="D510" s="643"/>
      <c r="E510" s="643"/>
      <c r="F510" s="643"/>
      <c r="G510" s="643"/>
      <c r="H510" s="643"/>
      <c r="I510" s="643"/>
      <c r="J510" s="643"/>
      <c r="K510" s="643"/>
      <c r="L510" s="643"/>
      <c r="M510" s="644"/>
      <c r="N510" s="650"/>
      <c r="O510" s="646"/>
      <c r="P510" s="683"/>
    </row>
    <row r="511" spans="1:16" ht="15" customHeight="1" x14ac:dyDescent="0.3">
      <c r="A511" s="603">
        <v>23</v>
      </c>
      <c r="B511" s="647"/>
      <c r="C511" s="647"/>
      <c r="D511" s="647"/>
      <c r="E511" s="647"/>
      <c r="F511" s="647"/>
      <c r="G511" s="647"/>
      <c r="H511" s="647"/>
      <c r="I511" s="647"/>
      <c r="J511" s="647"/>
      <c r="K511" s="647"/>
      <c r="L511" s="647"/>
      <c r="M511" s="647"/>
      <c r="N511" s="608" t="s">
        <v>213</v>
      </c>
      <c r="O511" s="648" t="str">
        <f>VLOOKUP(A511,'LISTA DE OFERENTES'!$A$6:$B$38,2,FALSE)</f>
        <v>CONSORCIO VECINAL GC</v>
      </c>
      <c r="P511" s="688"/>
    </row>
    <row r="512" spans="1:16" ht="15" customHeight="1" x14ac:dyDescent="0.3">
      <c r="A512" s="603"/>
      <c r="B512" s="604"/>
      <c r="C512" s="604"/>
      <c r="D512" s="604"/>
      <c r="E512" s="604"/>
      <c r="F512" s="604"/>
      <c r="G512" s="604"/>
      <c r="H512" s="604"/>
      <c r="I512" s="604"/>
      <c r="J512" s="604"/>
      <c r="K512" s="604"/>
      <c r="L512" s="604"/>
      <c r="M512" s="604"/>
      <c r="N512" s="608"/>
      <c r="O512" s="631"/>
      <c r="P512" s="688"/>
    </row>
    <row r="513" spans="1:16" ht="15" customHeight="1" x14ac:dyDescent="0.3">
      <c r="A513" s="603"/>
      <c r="B513" s="604"/>
      <c r="C513" s="604"/>
      <c r="D513" s="604"/>
      <c r="E513" s="604"/>
      <c r="F513" s="604"/>
      <c r="G513" s="604"/>
      <c r="H513" s="604"/>
      <c r="I513" s="604"/>
      <c r="J513" s="604"/>
      <c r="K513" s="604"/>
      <c r="L513" s="604"/>
      <c r="M513" s="604"/>
      <c r="N513" s="608"/>
      <c r="O513" s="631"/>
      <c r="P513" s="688"/>
    </row>
    <row r="514" spans="1:16" ht="15" customHeight="1" x14ac:dyDescent="0.3">
      <c r="A514" s="603"/>
      <c r="B514" s="604"/>
      <c r="C514" s="604"/>
      <c r="D514" s="604"/>
      <c r="E514" s="604"/>
      <c r="F514" s="604"/>
      <c r="G514" s="604"/>
      <c r="H514" s="604"/>
      <c r="I514" s="604"/>
      <c r="J514" s="604"/>
      <c r="K514" s="604"/>
      <c r="L514" s="604"/>
      <c r="M514" s="604"/>
      <c r="N514" s="608"/>
      <c r="O514" s="631"/>
      <c r="P514" s="688"/>
    </row>
    <row r="515" spans="1:16" ht="15" customHeight="1" x14ac:dyDescent="0.3">
      <c r="A515" s="603"/>
      <c r="B515" s="604"/>
      <c r="C515" s="604"/>
      <c r="D515" s="604"/>
      <c r="E515" s="604"/>
      <c r="F515" s="604"/>
      <c r="G515" s="604"/>
      <c r="H515" s="604"/>
      <c r="I515" s="604"/>
      <c r="J515" s="604"/>
      <c r="K515" s="604"/>
      <c r="L515" s="604"/>
      <c r="M515" s="604"/>
      <c r="N515" s="608"/>
      <c r="O515" s="631"/>
      <c r="P515" s="688"/>
    </row>
    <row r="516" spans="1:16" ht="15" customHeight="1" x14ac:dyDescent="0.3">
      <c r="A516" s="603"/>
      <c r="B516" s="604"/>
      <c r="C516" s="604"/>
      <c r="D516" s="604"/>
      <c r="E516" s="604"/>
      <c r="F516" s="604"/>
      <c r="G516" s="604"/>
      <c r="H516" s="604"/>
      <c r="I516" s="604"/>
      <c r="J516" s="604"/>
      <c r="K516" s="604"/>
      <c r="L516" s="604"/>
      <c r="M516" s="604"/>
      <c r="N516" s="608"/>
      <c r="O516" s="631"/>
      <c r="P516" s="688"/>
    </row>
    <row r="517" spans="1:16" ht="15" customHeight="1" x14ac:dyDescent="0.3">
      <c r="A517" s="603"/>
      <c r="B517" s="604"/>
      <c r="C517" s="604"/>
      <c r="D517" s="604"/>
      <c r="E517" s="604"/>
      <c r="F517" s="604"/>
      <c r="G517" s="604"/>
      <c r="H517" s="604"/>
      <c r="I517" s="604"/>
      <c r="J517" s="604"/>
      <c r="K517" s="604"/>
      <c r="L517" s="604"/>
      <c r="M517" s="604"/>
      <c r="N517" s="608"/>
      <c r="O517" s="631"/>
      <c r="P517" s="688"/>
    </row>
    <row r="518" spans="1:16" ht="15" customHeight="1" x14ac:dyDescent="0.3">
      <c r="A518" s="603"/>
      <c r="B518" s="604"/>
      <c r="C518" s="604"/>
      <c r="D518" s="604"/>
      <c r="E518" s="604"/>
      <c r="F518" s="604"/>
      <c r="G518" s="604"/>
      <c r="H518" s="604"/>
      <c r="I518" s="604"/>
      <c r="J518" s="604"/>
      <c r="K518" s="604"/>
      <c r="L518" s="604"/>
      <c r="M518" s="604"/>
      <c r="N518" s="608"/>
      <c r="O518" s="631"/>
      <c r="P518" s="688"/>
    </row>
    <row r="519" spans="1:16" ht="15" customHeight="1" x14ac:dyDescent="0.3">
      <c r="A519" s="603"/>
      <c r="B519" s="604"/>
      <c r="C519" s="604"/>
      <c r="D519" s="604"/>
      <c r="E519" s="604"/>
      <c r="F519" s="604"/>
      <c r="G519" s="604"/>
      <c r="H519" s="604"/>
      <c r="I519" s="604"/>
      <c r="J519" s="604"/>
      <c r="K519" s="604"/>
      <c r="L519" s="604"/>
      <c r="M519" s="604"/>
      <c r="N519" s="608"/>
      <c r="O519" s="631"/>
      <c r="P519" s="688"/>
    </row>
    <row r="520" spans="1:16" ht="15" customHeight="1" x14ac:dyDescent="0.3">
      <c r="A520" s="603"/>
      <c r="B520" s="604"/>
      <c r="C520" s="604"/>
      <c r="D520" s="604"/>
      <c r="E520" s="604"/>
      <c r="F520" s="604"/>
      <c r="G520" s="604"/>
      <c r="H520" s="604"/>
      <c r="I520" s="604"/>
      <c r="J520" s="604"/>
      <c r="K520" s="604"/>
      <c r="L520" s="604"/>
      <c r="M520" s="604"/>
      <c r="N520" s="608"/>
      <c r="O520" s="631"/>
      <c r="P520" s="688"/>
    </row>
    <row r="521" spans="1:16" ht="15" customHeight="1" x14ac:dyDescent="0.3">
      <c r="A521" s="603"/>
      <c r="B521" s="604"/>
      <c r="C521" s="604"/>
      <c r="D521" s="604"/>
      <c r="E521" s="604"/>
      <c r="F521" s="604"/>
      <c r="G521" s="604"/>
      <c r="H521" s="604"/>
      <c r="I521" s="604"/>
      <c r="J521" s="604"/>
      <c r="K521" s="604"/>
      <c r="L521" s="604"/>
      <c r="M521" s="604"/>
      <c r="N521" s="608"/>
      <c r="O521" s="631"/>
      <c r="P521" s="688"/>
    </row>
    <row r="522" spans="1:16" ht="15" customHeight="1" x14ac:dyDescent="0.3">
      <c r="A522" s="603"/>
      <c r="B522" s="604"/>
      <c r="C522" s="604"/>
      <c r="D522" s="604"/>
      <c r="E522" s="604"/>
      <c r="F522" s="604"/>
      <c r="G522" s="604"/>
      <c r="H522" s="604"/>
      <c r="I522" s="604"/>
      <c r="J522" s="604"/>
      <c r="K522" s="604"/>
      <c r="L522" s="604"/>
      <c r="M522" s="604"/>
      <c r="N522" s="608"/>
      <c r="O522" s="631"/>
      <c r="P522" s="688"/>
    </row>
    <row r="523" spans="1:16" ht="15" customHeight="1" x14ac:dyDescent="0.3">
      <c r="A523" s="603"/>
      <c r="B523" s="604"/>
      <c r="C523" s="604"/>
      <c r="D523" s="604"/>
      <c r="E523" s="604"/>
      <c r="F523" s="604"/>
      <c r="G523" s="604"/>
      <c r="H523" s="604"/>
      <c r="I523" s="604"/>
      <c r="J523" s="604"/>
      <c r="K523" s="604"/>
      <c r="L523" s="604"/>
      <c r="M523" s="604"/>
      <c r="N523" s="608"/>
      <c r="O523" s="631"/>
      <c r="P523" s="688"/>
    </row>
    <row r="524" spans="1:16" ht="15" customHeight="1" x14ac:dyDescent="0.3">
      <c r="A524" s="603"/>
      <c r="B524" s="604"/>
      <c r="C524" s="604"/>
      <c r="D524" s="604"/>
      <c r="E524" s="604"/>
      <c r="F524" s="604"/>
      <c r="G524" s="604"/>
      <c r="H524" s="604"/>
      <c r="I524" s="604"/>
      <c r="J524" s="604"/>
      <c r="K524" s="604"/>
      <c r="L524" s="604"/>
      <c r="M524" s="604"/>
      <c r="N524" s="608"/>
      <c r="O524" s="631"/>
      <c r="P524" s="688"/>
    </row>
    <row r="525" spans="1:16" ht="15" customHeight="1" x14ac:dyDescent="0.3">
      <c r="A525" s="603"/>
      <c r="B525" s="604"/>
      <c r="C525" s="604"/>
      <c r="D525" s="604"/>
      <c r="E525" s="604"/>
      <c r="F525" s="604"/>
      <c r="G525" s="604"/>
      <c r="H525" s="604"/>
      <c r="I525" s="604"/>
      <c r="J525" s="604"/>
      <c r="K525" s="604"/>
      <c r="L525" s="604"/>
      <c r="M525" s="604"/>
      <c r="N525" s="608"/>
      <c r="O525" s="631"/>
      <c r="P525" s="688"/>
    </row>
    <row r="526" spans="1:16" ht="15" customHeight="1" x14ac:dyDescent="0.3">
      <c r="A526" s="603"/>
      <c r="B526" s="604"/>
      <c r="C526" s="604"/>
      <c r="D526" s="604"/>
      <c r="E526" s="604"/>
      <c r="F526" s="604"/>
      <c r="G526" s="604"/>
      <c r="H526" s="604"/>
      <c r="I526" s="604"/>
      <c r="J526" s="604"/>
      <c r="K526" s="604"/>
      <c r="L526" s="604"/>
      <c r="M526" s="604"/>
      <c r="N526" s="608"/>
      <c r="O526" s="631"/>
      <c r="P526" s="688"/>
    </row>
    <row r="527" spans="1:16" ht="15" customHeight="1" x14ac:dyDescent="0.3">
      <c r="A527" s="603"/>
      <c r="B527" s="604"/>
      <c r="C527" s="604"/>
      <c r="D527" s="604"/>
      <c r="E527" s="604"/>
      <c r="F527" s="604"/>
      <c r="G527" s="604"/>
      <c r="H527" s="604"/>
      <c r="I527" s="604"/>
      <c r="J527" s="604"/>
      <c r="K527" s="604"/>
      <c r="L527" s="604"/>
      <c r="M527" s="604"/>
      <c r="N527" s="608"/>
      <c r="O527" s="631"/>
      <c r="P527" s="688"/>
    </row>
    <row r="528" spans="1:16" ht="15" customHeight="1" x14ac:dyDescent="0.3">
      <c r="A528" s="603"/>
      <c r="B528" s="604"/>
      <c r="C528" s="604"/>
      <c r="D528" s="604"/>
      <c r="E528" s="604"/>
      <c r="F528" s="604"/>
      <c r="G528" s="604"/>
      <c r="H528" s="604"/>
      <c r="I528" s="604"/>
      <c r="J528" s="604"/>
      <c r="K528" s="604"/>
      <c r="L528" s="604"/>
      <c r="M528" s="604"/>
      <c r="N528" s="608"/>
      <c r="O528" s="631"/>
      <c r="P528" s="688"/>
    </row>
    <row r="529" spans="1:16" ht="15" customHeight="1" x14ac:dyDescent="0.3">
      <c r="A529" s="603"/>
      <c r="B529" s="604"/>
      <c r="C529" s="604"/>
      <c r="D529" s="604"/>
      <c r="E529" s="604"/>
      <c r="F529" s="604"/>
      <c r="G529" s="604"/>
      <c r="H529" s="604"/>
      <c r="I529" s="604"/>
      <c r="J529" s="604"/>
      <c r="K529" s="604"/>
      <c r="L529" s="604"/>
      <c r="M529" s="604"/>
      <c r="N529" s="608"/>
      <c r="O529" s="631"/>
      <c r="P529" s="688"/>
    </row>
    <row r="530" spans="1:16" ht="15" customHeight="1" x14ac:dyDescent="0.3">
      <c r="A530" s="603"/>
      <c r="B530" s="604"/>
      <c r="C530" s="604"/>
      <c r="D530" s="604"/>
      <c r="E530" s="604"/>
      <c r="F530" s="604"/>
      <c r="G530" s="604"/>
      <c r="H530" s="604"/>
      <c r="I530" s="604"/>
      <c r="J530" s="604"/>
      <c r="K530" s="604"/>
      <c r="L530" s="604"/>
      <c r="M530" s="604"/>
      <c r="N530" s="608"/>
      <c r="O530" s="631"/>
      <c r="P530" s="688"/>
    </row>
    <row r="531" spans="1:16" ht="15" customHeight="1" x14ac:dyDescent="0.3">
      <c r="A531" s="603"/>
      <c r="B531" s="604"/>
      <c r="C531" s="604"/>
      <c r="D531" s="604"/>
      <c r="E531" s="604"/>
      <c r="F531" s="604"/>
      <c r="G531" s="604"/>
      <c r="H531" s="604"/>
      <c r="I531" s="604"/>
      <c r="J531" s="604"/>
      <c r="K531" s="604"/>
      <c r="L531" s="604"/>
      <c r="M531" s="604"/>
      <c r="N531" s="608"/>
      <c r="O531" s="631"/>
      <c r="P531" s="688"/>
    </row>
    <row r="532" spans="1:16" ht="15" customHeight="1" x14ac:dyDescent="0.3">
      <c r="A532" s="603"/>
      <c r="B532" s="604"/>
      <c r="C532" s="604"/>
      <c r="D532" s="604"/>
      <c r="E532" s="604"/>
      <c r="F532" s="604"/>
      <c r="G532" s="604"/>
      <c r="H532" s="604"/>
      <c r="I532" s="604"/>
      <c r="J532" s="604"/>
      <c r="K532" s="604"/>
      <c r="L532" s="604"/>
      <c r="M532" s="604"/>
      <c r="N532" s="608"/>
      <c r="O532" s="631"/>
      <c r="P532" s="688"/>
    </row>
    <row r="533" spans="1:16" ht="15" customHeight="1" x14ac:dyDescent="0.3">
      <c r="A533" s="603"/>
      <c r="B533" s="604"/>
      <c r="C533" s="604"/>
      <c r="D533" s="604"/>
      <c r="E533" s="604"/>
      <c r="F533" s="604"/>
      <c r="G533" s="604"/>
      <c r="H533" s="604"/>
      <c r="I533" s="604"/>
      <c r="J533" s="604"/>
      <c r="K533" s="604"/>
      <c r="L533" s="604"/>
      <c r="M533" s="604"/>
      <c r="N533" s="609"/>
      <c r="O533" s="631"/>
      <c r="P533" s="689"/>
    </row>
    <row r="534" spans="1:16" ht="15" customHeight="1" x14ac:dyDescent="0.3">
      <c r="A534" s="603">
        <v>24</v>
      </c>
      <c r="B534" s="623"/>
      <c r="C534" s="623"/>
      <c r="D534" s="623"/>
      <c r="E534" s="623"/>
      <c r="F534" s="623"/>
      <c r="G534" s="623"/>
      <c r="H534" s="623"/>
      <c r="I534" s="623"/>
      <c r="J534" s="623"/>
      <c r="K534" s="623"/>
      <c r="L534" s="623"/>
      <c r="M534" s="623"/>
      <c r="N534" s="607" t="s">
        <v>213</v>
      </c>
      <c r="O534" s="631" t="str">
        <f>VLOOKUP(A534,'LISTA DE OFERENTES'!$A$6:$B$38,2,FALSE)</f>
        <v>BYR CONSTRUCCIONES SAS</v>
      </c>
      <c r="P534" s="684"/>
    </row>
    <row r="535" spans="1:16" ht="15" customHeight="1" x14ac:dyDescent="0.3">
      <c r="A535" s="603"/>
      <c r="B535" s="623"/>
      <c r="C535" s="623"/>
      <c r="D535" s="623"/>
      <c r="E535" s="623"/>
      <c r="F535" s="623"/>
      <c r="G535" s="623"/>
      <c r="H535" s="623"/>
      <c r="I535" s="623"/>
      <c r="J535" s="623"/>
      <c r="K535" s="623"/>
      <c r="L535" s="623"/>
      <c r="M535" s="623"/>
      <c r="N535" s="608"/>
      <c r="O535" s="631"/>
      <c r="P535" s="682"/>
    </row>
    <row r="536" spans="1:16" ht="15" customHeight="1" x14ac:dyDescent="0.3">
      <c r="A536" s="603"/>
      <c r="B536" s="623"/>
      <c r="C536" s="623"/>
      <c r="D536" s="623"/>
      <c r="E536" s="623"/>
      <c r="F536" s="623"/>
      <c r="G536" s="623"/>
      <c r="H536" s="623"/>
      <c r="I536" s="623"/>
      <c r="J536" s="623"/>
      <c r="K536" s="623"/>
      <c r="L536" s="623"/>
      <c r="M536" s="623"/>
      <c r="N536" s="608"/>
      <c r="O536" s="631"/>
      <c r="P536" s="682"/>
    </row>
    <row r="537" spans="1:16" ht="15" customHeight="1" x14ac:dyDescent="0.3">
      <c r="A537" s="603"/>
      <c r="B537" s="623"/>
      <c r="C537" s="623"/>
      <c r="D537" s="623"/>
      <c r="E537" s="623"/>
      <c r="F537" s="623"/>
      <c r="G537" s="623"/>
      <c r="H537" s="623"/>
      <c r="I537" s="623"/>
      <c r="J537" s="623"/>
      <c r="K537" s="623"/>
      <c r="L537" s="623"/>
      <c r="M537" s="623"/>
      <c r="N537" s="608"/>
      <c r="O537" s="631"/>
      <c r="P537" s="682"/>
    </row>
    <row r="538" spans="1:16" ht="15" customHeight="1" x14ac:dyDescent="0.3">
      <c r="A538" s="603"/>
      <c r="B538" s="623"/>
      <c r="C538" s="623"/>
      <c r="D538" s="623"/>
      <c r="E538" s="623"/>
      <c r="F538" s="623"/>
      <c r="G538" s="623"/>
      <c r="H538" s="623"/>
      <c r="I538" s="623"/>
      <c r="J538" s="623"/>
      <c r="K538" s="623"/>
      <c r="L538" s="623"/>
      <c r="M538" s="623"/>
      <c r="N538" s="608"/>
      <c r="O538" s="631"/>
      <c r="P538" s="682"/>
    </row>
    <row r="539" spans="1:16" ht="15" customHeight="1" x14ac:dyDescent="0.3">
      <c r="A539" s="603"/>
      <c r="B539" s="623"/>
      <c r="C539" s="623"/>
      <c r="D539" s="623"/>
      <c r="E539" s="623"/>
      <c r="F539" s="623"/>
      <c r="G539" s="623"/>
      <c r="H539" s="623"/>
      <c r="I539" s="623"/>
      <c r="J539" s="623"/>
      <c r="K539" s="623"/>
      <c r="L539" s="623"/>
      <c r="M539" s="623"/>
      <c r="N539" s="608"/>
      <c r="O539" s="631"/>
      <c r="P539" s="682"/>
    </row>
    <row r="540" spans="1:16" ht="15" customHeight="1" x14ac:dyDescent="0.3">
      <c r="A540" s="603"/>
      <c r="B540" s="623"/>
      <c r="C540" s="623"/>
      <c r="D540" s="623"/>
      <c r="E540" s="623"/>
      <c r="F540" s="623"/>
      <c r="G540" s="623"/>
      <c r="H540" s="623"/>
      <c r="I540" s="623"/>
      <c r="J540" s="623"/>
      <c r="K540" s="623"/>
      <c r="L540" s="623"/>
      <c r="M540" s="623"/>
      <c r="N540" s="608"/>
      <c r="O540" s="631"/>
      <c r="P540" s="682"/>
    </row>
    <row r="541" spans="1:16" ht="15" customHeight="1" x14ac:dyDescent="0.3">
      <c r="A541" s="603"/>
      <c r="B541" s="623"/>
      <c r="C541" s="623"/>
      <c r="D541" s="623"/>
      <c r="E541" s="623"/>
      <c r="F541" s="623"/>
      <c r="G541" s="623"/>
      <c r="H541" s="623"/>
      <c r="I541" s="623"/>
      <c r="J541" s="623"/>
      <c r="K541" s="623"/>
      <c r="L541" s="623"/>
      <c r="M541" s="623"/>
      <c r="N541" s="608"/>
      <c r="O541" s="631"/>
      <c r="P541" s="682"/>
    </row>
    <row r="542" spans="1:16" ht="15" customHeight="1" x14ac:dyDescent="0.3">
      <c r="A542" s="603"/>
      <c r="B542" s="623"/>
      <c r="C542" s="623"/>
      <c r="D542" s="623"/>
      <c r="E542" s="623"/>
      <c r="F542" s="623"/>
      <c r="G542" s="623"/>
      <c r="H542" s="623"/>
      <c r="I542" s="623"/>
      <c r="J542" s="623"/>
      <c r="K542" s="623"/>
      <c r="L542" s="623"/>
      <c r="M542" s="623"/>
      <c r="N542" s="608"/>
      <c r="O542" s="631"/>
      <c r="P542" s="682"/>
    </row>
    <row r="543" spans="1:16" ht="15" customHeight="1" x14ac:dyDescent="0.3">
      <c r="A543" s="603"/>
      <c r="B543" s="623"/>
      <c r="C543" s="623"/>
      <c r="D543" s="623"/>
      <c r="E543" s="623"/>
      <c r="F543" s="623"/>
      <c r="G543" s="623"/>
      <c r="H543" s="623"/>
      <c r="I543" s="623"/>
      <c r="J543" s="623"/>
      <c r="K543" s="623"/>
      <c r="L543" s="623"/>
      <c r="M543" s="623"/>
      <c r="N543" s="608"/>
      <c r="O543" s="631"/>
      <c r="P543" s="682"/>
    </row>
    <row r="544" spans="1:16" ht="15" customHeight="1" x14ac:dyDescent="0.3">
      <c r="A544" s="603"/>
      <c r="B544" s="623"/>
      <c r="C544" s="623"/>
      <c r="D544" s="623"/>
      <c r="E544" s="623"/>
      <c r="F544" s="623"/>
      <c r="G544" s="623"/>
      <c r="H544" s="623"/>
      <c r="I544" s="623"/>
      <c r="J544" s="623"/>
      <c r="K544" s="623"/>
      <c r="L544" s="623"/>
      <c r="M544" s="623"/>
      <c r="N544" s="608"/>
      <c r="O544" s="631"/>
      <c r="P544" s="682"/>
    </row>
    <row r="545" spans="1:16" ht="15" customHeight="1" x14ac:dyDescent="0.3">
      <c r="A545" s="603"/>
      <c r="B545" s="623"/>
      <c r="C545" s="623"/>
      <c r="D545" s="623"/>
      <c r="E545" s="623"/>
      <c r="F545" s="623"/>
      <c r="G545" s="623"/>
      <c r="H545" s="623"/>
      <c r="I545" s="623"/>
      <c r="J545" s="623"/>
      <c r="K545" s="623"/>
      <c r="L545" s="623"/>
      <c r="M545" s="623"/>
      <c r="N545" s="608"/>
      <c r="O545" s="631"/>
      <c r="P545" s="682"/>
    </row>
    <row r="546" spans="1:16" ht="15" customHeight="1" x14ac:dyDescent="0.3">
      <c r="A546" s="603"/>
      <c r="B546" s="623"/>
      <c r="C546" s="623"/>
      <c r="D546" s="623"/>
      <c r="E546" s="623"/>
      <c r="F546" s="623"/>
      <c r="G546" s="623"/>
      <c r="H546" s="623"/>
      <c r="I546" s="623"/>
      <c r="J546" s="623"/>
      <c r="K546" s="623"/>
      <c r="L546" s="623"/>
      <c r="M546" s="623"/>
      <c r="N546" s="608"/>
      <c r="O546" s="631"/>
      <c r="P546" s="682"/>
    </row>
    <row r="547" spans="1:16" ht="15" customHeight="1" x14ac:dyDescent="0.3">
      <c r="A547" s="603"/>
      <c r="B547" s="623"/>
      <c r="C547" s="623"/>
      <c r="D547" s="623"/>
      <c r="E547" s="623"/>
      <c r="F547" s="623"/>
      <c r="G547" s="623"/>
      <c r="H547" s="623"/>
      <c r="I547" s="623"/>
      <c r="J547" s="623"/>
      <c r="K547" s="623"/>
      <c r="L547" s="623"/>
      <c r="M547" s="623"/>
      <c r="N547" s="608"/>
      <c r="O547" s="631"/>
      <c r="P547" s="682"/>
    </row>
    <row r="548" spans="1:16" ht="15" customHeight="1" x14ac:dyDescent="0.3">
      <c r="A548" s="603"/>
      <c r="B548" s="623"/>
      <c r="C548" s="623"/>
      <c r="D548" s="623"/>
      <c r="E548" s="623"/>
      <c r="F548" s="623"/>
      <c r="G548" s="623"/>
      <c r="H548" s="623"/>
      <c r="I548" s="623"/>
      <c r="J548" s="623"/>
      <c r="K548" s="623"/>
      <c r="L548" s="623"/>
      <c r="M548" s="623"/>
      <c r="N548" s="608"/>
      <c r="O548" s="631"/>
      <c r="P548" s="682"/>
    </row>
    <row r="549" spans="1:16" ht="15" customHeight="1" x14ac:dyDescent="0.3">
      <c r="A549" s="603"/>
      <c r="B549" s="623"/>
      <c r="C549" s="623"/>
      <c r="D549" s="623"/>
      <c r="E549" s="623"/>
      <c r="F549" s="623"/>
      <c r="G549" s="623"/>
      <c r="H549" s="623"/>
      <c r="I549" s="623"/>
      <c r="J549" s="623"/>
      <c r="K549" s="623"/>
      <c r="L549" s="623"/>
      <c r="M549" s="623"/>
      <c r="N549" s="608"/>
      <c r="O549" s="631"/>
      <c r="P549" s="682"/>
    </row>
    <row r="550" spans="1:16" ht="15" customHeight="1" x14ac:dyDescent="0.3">
      <c r="A550" s="603"/>
      <c r="B550" s="623"/>
      <c r="C550" s="623"/>
      <c r="D550" s="623"/>
      <c r="E550" s="623"/>
      <c r="F550" s="623"/>
      <c r="G550" s="623"/>
      <c r="H550" s="623"/>
      <c r="I550" s="623"/>
      <c r="J550" s="623"/>
      <c r="K550" s="623"/>
      <c r="L550" s="623"/>
      <c r="M550" s="623"/>
      <c r="N550" s="608"/>
      <c r="O550" s="631"/>
      <c r="P550" s="682"/>
    </row>
    <row r="551" spans="1:16" ht="15" customHeight="1" x14ac:dyDescent="0.3">
      <c r="A551" s="603"/>
      <c r="B551" s="623"/>
      <c r="C551" s="623"/>
      <c r="D551" s="623"/>
      <c r="E551" s="623"/>
      <c r="F551" s="623"/>
      <c r="G551" s="623"/>
      <c r="H551" s="623"/>
      <c r="I551" s="623"/>
      <c r="J551" s="623"/>
      <c r="K551" s="623"/>
      <c r="L551" s="623"/>
      <c r="M551" s="623"/>
      <c r="N551" s="608"/>
      <c r="O551" s="631"/>
      <c r="P551" s="682"/>
    </row>
    <row r="552" spans="1:16" ht="15" customHeight="1" x14ac:dyDescent="0.3">
      <c r="A552" s="603"/>
      <c r="B552" s="623"/>
      <c r="C552" s="623"/>
      <c r="D552" s="623"/>
      <c r="E552" s="623"/>
      <c r="F552" s="623"/>
      <c r="G552" s="623"/>
      <c r="H552" s="623"/>
      <c r="I552" s="623"/>
      <c r="J552" s="623"/>
      <c r="K552" s="623"/>
      <c r="L552" s="623"/>
      <c r="M552" s="623"/>
      <c r="N552" s="608"/>
      <c r="O552" s="631"/>
      <c r="P552" s="682"/>
    </row>
    <row r="553" spans="1:16" ht="15" customHeight="1" x14ac:dyDescent="0.3">
      <c r="A553" s="603"/>
      <c r="B553" s="623"/>
      <c r="C553" s="623"/>
      <c r="D553" s="623"/>
      <c r="E553" s="623"/>
      <c r="F553" s="623"/>
      <c r="G553" s="623"/>
      <c r="H553" s="623"/>
      <c r="I553" s="623"/>
      <c r="J553" s="623"/>
      <c r="K553" s="623"/>
      <c r="L553" s="623"/>
      <c r="M553" s="623"/>
      <c r="N553" s="608"/>
      <c r="O553" s="631"/>
      <c r="P553" s="682"/>
    </row>
    <row r="554" spans="1:16" ht="15" customHeight="1" x14ac:dyDescent="0.3">
      <c r="A554" s="603"/>
      <c r="B554" s="623"/>
      <c r="C554" s="623"/>
      <c r="D554" s="623"/>
      <c r="E554" s="623"/>
      <c r="F554" s="623"/>
      <c r="G554" s="623"/>
      <c r="H554" s="623"/>
      <c r="I554" s="623"/>
      <c r="J554" s="623"/>
      <c r="K554" s="623"/>
      <c r="L554" s="623"/>
      <c r="M554" s="623"/>
      <c r="N554" s="608"/>
      <c r="O554" s="631"/>
      <c r="P554" s="682"/>
    </row>
    <row r="555" spans="1:16" ht="15" customHeight="1" x14ac:dyDescent="0.3">
      <c r="A555" s="603"/>
      <c r="B555" s="623"/>
      <c r="C555" s="623"/>
      <c r="D555" s="623"/>
      <c r="E555" s="623"/>
      <c r="F555" s="623"/>
      <c r="G555" s="623"/>
      <c r="H555" s="623"/>
      <c r="I555" s="623"/>
      <c r="J555" s="623"/>
      <c r="K555" s="623"/>
      <c r="L555" s="623"/>
      <c r="M555" s="623"/>
      <c r="N555" s="608"/>
      <c r="O555" s="631"/>
      <c r="P555" s="682"/>
    </row>
    <row r="556" spans="1:16" ht="15" customHeight="1" x14ac:dyDescent="0.3">
      <c r="A556" s="603"/>
      <c r="B556" s="623"/>
      <c r="C556" s="623"/>
      <c r="D556" s="623"/>
      <c r="E556" s="623"/>
      <c r="F556" s="623"/>
      <c r="G556" s="623"/>
      <c r="H556" s="623"/>
      <c r="I556" s="623"/>
      <c r="J556" s="623"/>
      <c r="K556" s="623"/>
      <c r="L556" s="623"/>
      <c r="M556" s="623"/>
      <c r="N556" s="609"/>
      <c r="O556" s="631"/>
      <c r="P556" s="683"/>
    </row>
    <row r="557" spans="1:16" ht="15" customHeight="1" x14ac:dyDescent="0.3">
      <c r="A557" s="603">
        <v>25</v>
      </c>
      <c r="B557" s="606"/>
      <c r="C557" s="606"/>
      <c r="D557" s="606"/>
      <c r="E557" s="606"/>
      <c r="F557" s="606"/>
      <c r="G557" s="606"/>
      <c r="H557" s="606"/>
      <c r="I557" s="606"/>
      <c r="J557" s="606"/>
      <c r="K557" s="606"/>
      <c r="L557" s="606"/>
      <c r="M557" s="606"/>
      <c r="N557" s="607" t="s">
        <v>213</v>
      </c>
      <c r="O557" s="631" t="str">
        <f>VLOOKUP(A557,'LISTA DE OFERENTES'!$A$6:$B$38,2,FALSE)</f>
        <v>CONSORCIO PANORAMA</v>
      </c>
      <c r="P557" s="684"/>
    </row>
    <row r="558" spans="1:16" ht="15" customHeight="1" x14ac:dyDescent="0.3">
      <c r="A558" s="603"/>
      <c r="B558" s="606"/>
      <c r="C558" s="606"/>
      <c r="D558" s="606"/>
      <c r="E558" s="606"/>
      <c r="F558" s="606"/>
      <c r="G558" s="606"/>
      <c r="H558" s="606"/>
      <c r="I558" s="606"/>
      <c r="J558" s="606"/>
      <c r="K558" s="606"/>
      <c r="L558" s="606"/>
      <c r="M558" s="606"/>
      <c r="N558" s="608"/>
      <c r="O558" s="631"/>
      <c r="P558" s="682"/>
    </row>
    <row r="559" spans="1:16" ht="15" customHeight="1" x14ac:dyDescent="0.3">
      <c r="A559" s="603"/>
      <c r="B559" s="606"/>
      <c r="C559" s="606"/>
      <c r="D559" s="606"/>
      <c r="E559" s="606"/>
      <c r="F559" s="606"/>
      <c r="G559" s="606"/>
      <c r="H559" s="606"/>
      <c r="I559" s="606"/>
      <c r="J559" s="606"/>
      <c r="K559" s="606"/>
      <c r="L559" s="606"/>
      <c r="M559" s="606"/>
      <c r="N559" s="608"/>
      <c r="O559" s="631"/>
      <c r="P559" s="682"/>
    </row>
    <row r="560" spans="1:16" ht="15" customHeight="1" x14ac:dyDescent="0.3">
      <c r="A560" s="603"/>
      <c r="B560" s="606"/>
      <c r="C560" s="606"/>
      <c r="D560" s="606"/>
      <c r="E560" s="606"/>
      <c r="F560" s="606"/>
      <c r="G560" s="606"/>
      <c r="H560" s="606"/>
      <c r="I560" s="606"/>
      <c r="J560" s="606"/>
      <c r="K560" s="606"/>
      <c r="L560" s="606"/>
      <c r="M560" s="606"/>
      <c r="N560" s="608"/>
      <c r="O560" s="631"/>
      <c r="P560" s="682"/>
    </row>
    <row r="561" spans="1:16" ht="15" customHeight="1" x14ac:dyDescent="0.3">
      <c r="A561" s="603"/>
      <c r="B561" s="606"/>
      <c r="C561" s="606"/>
      <c r="D561" s="606"/>
      <c r="E561" s="606"/>
      <c r="F561" s="606"/>
      <c r="G561" s="606"/>
      <c r="H561" s="606"/>
      <c r="I561" s="606"/>
      <c r="J561" s="606"/>
      <c r="K561" s="606"/>
      <c r="L561" s="606"/>
      <c r="M561" s="606"/>
      <c r="N561" s="608"/>
      <c r="O561" s="631"/>
      <c r="P561" s="682"/>
    </row>
    <row r="562" spans="1:16" ht="15" customHeight="1" x14ac:dyDescent="0.3">
      <c r="A562" s="603"/>
      <c r="B562" s="606"/>
      <c r="C562" s="606"/>
      <c r="D562" s="606"/>
      <c r="E562" s="606"/>
      <c r="F562" s="606"/>
      <c r="G562" s="606"/>
      <c r="H562" s="606"/>
      <c r="I562" s="606"/>
      <c r="J562" s="606"/>
      <c r="K562" s="606"/>
      <c r="L562" s="606"/>
      <c r="M562" s="606"/>
      <c r="N562" s="608"/>
      <c r="O562" s="631"/>
      <c r="P562" s="682"/>
    </row>
    <row r="563" spans="1:16" ht="15" customHeight="1" x14ac:dyDescent="0.3">
      <c r="A563" s="603"/>
      <c r="B563" s="606"/>
      <c r="C563" s="606"/>
      <c r="D563" s="606"/>
      <c r="E563" s="606"/>
      <c r="F563" s="606"/>
      <c r="G563" s="606"/>
      <c r="H563" s="606"/>
      <c r="I563" s="606"/>
      <c r="J563" s="606"/>
      <c r="K563" s="606"/>
      <c r="L563" s="606"/>
      <c r="M563" s="606"/>
      <c r="N563" s="608"/>
      <c r="O563" s="631"/>
      <c r="P563" s="682"/>
    </row>
    <row r="564" spans="1:16" ht="15" customHeight="1" x14ac:dyDescent="0.3">
      <c r="A564" s="603"/>
      <c r="B564" s="606"/>
      <c r="C564" s="606"/>
      <c r="D564" s="606"/>
      <c r="E564" s="606"/>
      <c r="F564" s="606"/>
      <c r="G564" s="606"/>
      <c r="H564" s="606"/>
      <c r="I564" s="606"/>
      <c r="J564" s="606"/>
      <c r="K564" s="606"/>
      <c r="L564" s="606"/>
      <c r="M564" s="606"/>
      <c r="N564" s="608"/>
      <c r="O564" s="631"/>
      <c r="P564" s="682"/>
    </row>
    <row r="565" spans="1:16" ht="15" customHeight="1" x14ac:dyDescent="0.3">
      <c r="A565" s="603"/>
      <c r="B565" s="606"/>
      <c r="C565" s="606"/>
      <c r="D565" s="606"/>
      <c r="E565" s="606"/>
      <c r="F565" s="606"/>
      <c r="G565" s="606"/>
      <c r="H565" s="606"/>
      <c r="I565" s="606"/>
      <c r="J565" s="606"/>
      <c r="K565" s="606"/>
      <c r="L565" s="606"/>
      <c r="M565" s="606"/>
      <c r="N565" s="608"/>
      <c r="O565" s="631"/>
      <c r="P565" s="682"/>
    </row>
    <row r="566" spans="1:16" ht="15" customHeight="1" x14ac:dyDescent="0.3">
      <c r="A566" s="603"/>
      <c r="B566" s="606"/>
      <c r="C566" s="606"/>
      <c r="D566" s="606"/>
      <c r="E566" s="606"/>
      <c r="F566" s="606"/>
      <c r="G566" s="606"/>
      <c r="H566" s="606"/>
      <c r="I566" s="606"/>
      <c r="J566" s="606"/>
      <c r="K566" s="606"/>
      <c r="L566" s="606"/>
      <c r="M566" s="606"/>
      <c r="N566" s="608"/>
      <c r="O566" s="631"/>
      <c r="P566" s="682"/>
    </row>
    <row r="567" spans="1:16" ht="15" customHeight="1" x14ac:dyDescent="0.3">
      <c r="A567" s="603"/>
      <c r="B567" s="606"/>
      <c r="C567" s="606"/>
      <c r="D567" s="606"/>
      <c r="E567" s="606"/>
      <c r="F567" s="606"/>
      <c r="G567" s="606"/>
      <c r="H567" s="606"/>
      <c r="I567" s="606"/>
      <c r="J567" s="606"/>
      <c r="K567" s="606"/>
      <c r="L567" s="606"/>
      <c r="M567" s="606"/>
      <c r="N567" s="608"/>
      <c r="O567" s="631"/>
      <c r="P567" s="682"/>
    </row>
    <row r="568" spans="1:16" ht="15" customHeight="1" x14ac:dyDescent="0.3">
      <c r="A568" s="603"/>
      <c r="B568" s="606"/>
      <c r="C568" s="606"/>
      <c r="D568" s="606"/>
      <c r="E568" s="606"/>
      <c r="F568" s="606"/>
      <c r="G568" s="606"/>
      <c r="H568" s="606"/>
      <c r="I568" s="606"/>
      <c r="J568" s="606"/>
      <c r="K568" s="606"/>
      <c r="L568" s="606"/>
      <c r="M568" s="606"/>
      <c r="N568" s="608"/>
      <c r="O568" s="631"/>
      <c r="P568" s="682"/>
    </row>
    <row r="569" spans="1:16" ht="15" customHeight="1" x14ac:dyDescent="0.3">
      <c r="A569" s="603"/>
      <c r="B569" s="606"/>
      <c r="C569" s="606"/>
      <c r="D569" s="606"/>
      <c r="E569" s="606"/>
      <c r="F569" s="606"/>
      <c r="G569" s="606"/>
      <c r="H569" s="606"/>
      <c r="I569" s="606"/>
      <c r="J569" s="606"/>
      <c r="K569" s="606"/>
      <c r="L569" s="606"/>
      <c r="M569" s="606"/>
      <c r="N569" s="608"/>
      <c r="O569" s="631"/>
      <c r="P569" s="682"/>
    </row>
    <row r="570" spans="1:16" ht="15" customHeight="1" x14ac:dyDescent="0.3">
      <c r="A570" s="603"/>
      <c r="B570" s="606"/>
      <c r="C570" s="606"/>
      <c r="D570" s="606"/>
      <c r="E570" s="606"/>
      <c r="F570" s="606"/>
      <c r="G570" s="606"/>
      <c r="H570" s="606"/>
      <c r="I570" s="606"/>
      <c r="J570" s="606"/>
      <c r="K570" s="606"/>
      <c r="L570" s="606"/>
      <c r="M570" s="606"/>
      <c r="N570" s="608"/>
      <c r="O570" s="631"/>
      <c r="P570" s="682"/>
    </row>
    <row r="571" spans="1:16" ht="15" customHeight="1" x14ac:dyDescent="0.3">
      <c r="A571" s="603"/>
      <c r="B571" s="606"/>
      <c r="C571" s="606"/>
      <c r="D571" s="606"/>
      <c r="E571" s="606"/>
      <c r="F571" s="606"/>
      <c r="G571" s="606"/>
      <c r="H571" s="606"/>
      <c r="I571" s="606"/>
      <c r="J571" s="606"/>
      <c r="K571" s="606"/>
      <c r="L571" s="606"/>
      <c r="M571" s="606"/>
      <c r="N571" s="608"/>
      <c r="O571" s="631"/>
      <c r="P571" s="682"/>
    </row>
    <row r="572" spans="1:16" ht="15" customHeight="1" x14ac:dyDescent="0.3">
      <c r="A572" s="603"/>
      <c r="B572" s="606"/>
      <c r="C572" s="606"/>
      <c r="D572" s="606"/>
      <c r="E572" s="606"/>
      <c r="F572" s="606"/>
      <c r="G572" s="606"/>
      <c r="H572" s="606"/>
      <c r="I572" s="606"/>
      <c r="J572" s="606"/>
      <c r="K572" s="606"/>
      <c r="L572" s="606"/>
      <c r="M572" s="606"/>
      <c r="N572" s="608"/>
      <c r="O572" s="631"/>
      <c r="P572" s="682"/>
    </row>
    <row r="573" spans="1:16" ht="15" customHeight="1" x14ac:dyDescent="0.3">
      <c r="A573" s="603"/>
      <c r="B573" s="606"/>
      <c r="C573" s="606"/>
      <c r="D573" s="606"/>
      <c r="E573" s="606"/>
      <c r="F573" s="606"/>
      <c r="G573" s="606"/>
      <c r="H573" s="606"/>
      <c r="I573" s="606"/>
      <c r="J573" s="606"/>
      <c r="K573" s="606"/>
      <c r="L573" s="606"/>
      <c r="M573" s="606"/>
      <c r="N573" s="608"/>
      <c r="O573" s="631"/>
      <c r="P573" s="682"/>
    </row>
    <row r="574" spans="1:16" ht="15" customHeight="1" x14ac:dyDescent="0.3">
      <c r="A574" s="603"/>
      <c r="B574" s="606"/>
      <c r="C574" s="606"/>
      <c r="D574" s="606"/>
      <c r="E574" s="606"/>
      <c r="F574" s="606"/>
      <c r="G574" s="606"/>
      <c r="H574" s="606"/>
      <c r="I574" s="606"/>
      <c r="J574" s="606"/>
      <c r="K574" s="606"/>
      <c r="L574" s="606"/>
      <c r="M574" s="606"/>
      <c r="N574" s="608"/>
      <c r="O574" s="631"/>
      <c r="P574" s="682"/>
    </row>
    <row r="575" spans="1:16" ht="15" customHeight="1" x14ac:dyDescent="0.3">
      <c r="A575" s="603"/>
      <c r="B575" s="606"/>
      <c r="C575" s="606"/>
      <c r="D575" s="606"/>
      <c r="E575" s="606"/>
      <c r="F575" s="606"/>
      <c r="G575" s="606"/>
      <c r="H575" s="606"/>
      <c r="I575" s="606"/>
      <c r="J575" s="606"/>
      <c r="K575" s="606"/>
      <c r="L575" s="606"/>
      <c r="M575" s="606"/>
      <c r="N575" s="608"/>
      <c r="O575" s="631"/>
      <c r="P575" s="682"/>
    </row>
    <row r="576" spans="1:16" ht="15" customHeight="1" x14ac:dyDescent="0.3">
      <c r="A576" s="603"/>
      <c r="B576" s="606"/>
      <c r="C576" s="606"/>
      <c r="D576" s="606"/>
      <c r="E576" s="606"/>
      <c r="F576" s="606"/>
      <c r="G576" s="606"/>
      <c r="H576" s="606"/>
      <c r="I576" s="606"/>
      <c r="J576" s="606"/>
      <c r="K576" s="606"/>
      <c r="L576" s="606"/>
      <c r="M576" s="606"/>
      <c r="N576" s="608"/>
      <c r="O576" s="631"/>
      <c r="P576" s="682"/>
    </row>
    <row r="577" spans="1:16" ht="15" customHeight="1" x14ac:dyDescent="0.3">
      <c r="A577" s="603"/>
      <c r="B577" s="606"/>
      <c r="C577" s="606"/>
      <c r="D577" s="606"/>
      <c r="E577" s="606"/>
      <c r="F577" s="606"/>
      <c r="G577" s="606"/>
      <c r="H577" s="606"/>
      <c r="I577" s="606"/>
      <c r="J577" s="606"/>
      <c r="K577" s="606"/>
      <c r="L577" s="606"/>
      <c r="M577" s="606"/>
      <c r="N577" s="608"/>
      <c r="O577" s="631"/>
      <c r="P577" s="682"/>
    </row>
    <row r="578" spans="1:16" ht="15" customHeight="1" x14ac:dyDescent="0.3">
      <c r="A578" s="603"/>
      <c r="B578" s="606"/>
      <c r="C578" s="606"/>
      <c r="D578" s="606"/>
      <c r="E578" s="606"/>
      <c r="F578" s="606"/>
      <c r="G578" s="606"/>
      <c r="H578" s="606"/>
      <c r="I578" s="606"/>
      <c r="J578" s="606"/>
      <c r="K578" s="606"/>
      <c r="L578" s="606"/>
      <c r="M578" s="606"/>
      <c r="N578" s="608"/>
      <c r="O578" s="631"/>
      <c r="P578" s="682"/>
    </row>
    <row r="579" spans="1:16" ht="15" customHeight="1" x14ac:dyDescent="0.3">
      <c r="A579" s="603"/>
      <c r="B579" s="628"/>
      <c r="C579" s="628"/>
      <c r="D579" s="628"/>
      <c r="E579" s="628"/>
      <c r="F579" s="628"/>
      <c r="G579" s="628"/>
      <c r="H579" s="628"/>
      <c r="I579" s="628"/>
      <c r="J579" s="628"/>
      <c r="K579" s="628"/>
      <c r="L579" s="628"/>
      <c r="M579" s="628"/>
      <c r="N579" s="609"/>
      <c r="O579" s="632"/>
      <c r="P579" s="683"/>
    </row>
    <row r="580" spans="1:16" ht="15" customHeight="1" x14ac:dyDescent="0.3">
      <c r="A580" s="636">
        <v>26</v>
      </c>
      <c r="B580" s="637"/>
      <c r="C580" s="638"/>
      <c r="D580" s="638"/>
      <c r="E580" s="638"/>
      <c r="F580" s="638"/>
      <c r="G580" s="638"/>
      <c r="H580" s="638"/>
      <c r="I580" s="638"/>
      <c r="J580" s="638"/>
      <c r="K580" s="638"/>
      <c r="L580" s="638"/>
      <c r="M580" s="639"/>
      <c r="N580" s="660" t="s">
        <v>213</v>
      </c>
      <c r="O580" s="624" t="str">
        <f>VLOOKUP(A580,'LISTA DE OFERENTES'!$A$6:$B$38,2,FALSE)</f>
        <v xml:space="preserve">UNIOBRAS DEL ORIENTE SAS </v>
      </c>
      <c r="P580" s="685"/>
    </row>
    <row r="581" spans="1:16" ht="15" customHeight="1" x14ac:dyDescent="0.3">
      <c r="A581" s="636"/>
      <c r="B581" s="640"/>
      <c r="C581" s="606"/>
      <c r="D581" s="606"/>
      <c r="E581" s="606"/>
      <c r="F581" s="606"/>
      <c r="G581" s="606"/>
      <c r="H581" s="606"/>
      <c r="I581" s="606"/>
      <c r="J581" s="606"/>
      <c r="K581" s="606"/>
      <c r="L581" s="606"/>
      <c r="M581" s="641"/>
      <c r="N581" s="661"/>
      <c r="O581" s="625"/>
      <c r="P581" s="686"/>
    </row>
    <row r="582" spans="1:16" ht="15" customHeight="1" x14ac:dyDescent="0.3">
      <c r="A582" s="636"/>
      <c r="B582" s="640"/>
      <c r="C582" s="606"/>
      <c r="D582" s="606"/>
      <c r="E582" s="606"/>
      <c r="F582" s="606"/>
      <c r="G582" s="606"/>
      <c r="H582" s="606"/>
      <c r="I582" s="606"/>
      <c r="J582" s="606"/>
      <c r="K582" s="606"/>
      <c r="L582" s="606"/>
      <c r="M582" s="641"/>
      <c r="N582" s="661"/>
      <c r="O582" s="625"/>
      <c r="P582" s="686"/>
    </row>
    <row r="583" spans="1:16" ht="15" customHeight="1" x14ac:dyDescent="0.3">
      <c r="A583" s="636"/>
      <c r="B583" s="640"/>
      <c r="C583" s="606"/>
      <c r="D583" s="606"/>
      <c r="E583" s="606"/>
      <c r="F583" s="606"/>
      <c r="G583" s="606"/>
      <c r="H583" s="606"/>
      <c r="I583" s="606"/>
      <c r="J583" s="606"/>
      <c r="K583" s="606"/>
      <c r="L583" s="606"/>
      <c r="M583" s="641"/>
      <c r="N583" s="661"/>
      <c r="O583" s="625"/>
      <c r="P583" s="686"/>
    </row>
    <row r="584" spans="1:16" ht="15" customHeight="1" x14ac:dyDescent="0.3">
      <c r="A584" s="636"/>
      <c r="B584" s="640"/>
      <c r="C584" s="606"/>
      <c r="D584" s="606"/>
      <c r="E584" s="606"/>
      <c r="F584" s="606"/>
      <c r="G584" s="606"/>
      <c r="H584" s="606"/>
      <c r="I584" s="606"/>
      <c r="J584" s="606"/>
      <c r="K584" s="606"/>
      <c r="L584" s="606"/>
      <c r="M584" s="641"/>
      <c r="N584" s="661"/>
      <c r="O584" s="625"/>
      <c r="P584" s="686"/>
    </row>
    <row r="585" spans="1:16" ht="15" customHeight="1" x14ac:dyDescent="0.3">
      <c r="A585" s="636"/>
      <c r="B585" s="640"/>
      <c r="C585" s="606"/>
      <c r="D585" s="606"/>
      <c r="E585" s="606"/>
      <c r="F585" s="606"/>
      <c r="G585" s="606"/>
      <c r="H585" s="606"/>
      <c r="I585" s="606"/>
      <c r="J585" s="606"/>
      <c r="K585" s="606"/>
      <c r="L585" s="606"/>
      <c r="M585" s="641"/>
      <c r="N585" s="661"/>
      <c r="O585" s="625"/>
      <c r="P585" s="686"/>
    </row>
    <row r="586" spans="1:16" ht="15" customHeight="1" x14ac:dyDescent="0.3">
      <c r="A586" s="636"/>
      <c r="B586" s="640"/>
      <c r="C586" s="606"/>
      <c r="D586" s="606"/>
      <c r="E586" s="606"/>
      <c r="F586" s="606"/>
      <c r="G586" s="606"/>
      <c r="H586" s="606"/>
      <c r="I586" s="606"/>
      <c r="J586" s="606"/>
      <c r="K586" s="606"/>
      <c r="L586" s="606"/>
      <c r="M586" s="641"/>
      <c r="N586" s="661"/>
      <c r="O586" s="625"/>
      <c r="P586" s="686"/>
    </row>
    <row r="587" spans="1:16" ht="15" customHeight="1" x14ac:dyDescent="0.3">
      <c r="A587" s="636"/>
      <c r="B587" s="640"/>
      <c r="C587" s="606"/>
      <c r="D587" s="606"/>
      <c r="E587" s="606"/>
      <c r="F587" s="606"/>
      <c r="G587" s="606"/>
      <c r="H587" s="606"/>
      <c r="I587" s="606"/>
      <c r="J587" s="606"/>
      <c r="K587" s="606"/>
      <c r="L587" s="606"/>
      <c r="M587" s="641"/>
      <c r="N587" s="661"/>
      <c r="O587" s="625"/>
      <c r="P587" s="686"/>
    </row>
    <row r="588" spans="1:16" ht="15" customHeight="1" x14ac:dyDescent="0.3">
      <c r="A588" s="636"/>
      <c r="B588" s="640"/>
      <c r="C588" s="606"/>
      <c r="D588" s="606"/>
      <c r="E588" s="606"/>
      <c r="F588" s="606"/>
      <c r="G588" s="606"/>
      <c r="H588" s="606"/>
      <c r="I588" s="606"/>
      <c r="J588" s="606"/>
      <c r="K588" s="606"/>
      <c r="L588" s="606"/>
      <c r="M588" s="641"/>
      <c r="N588" s="661"/>
      <c r="O588" s="625"/>
      <c r="P588" s="686"/>
    </row>
    <row r="589" spans="1:16" ht="15" customHeight="1" x14ac:dyDescent="0.3">
      <c r="A589" s="636"/>
      <c r="B589" s="640"/>
      <c r="C589" s="606"/>
      <c r="D589" s="606"/>
      <c r="E589" s="606"/>
      <c r="F589" s="606"/>
      <c r="G589" s="606"/>
      <c r="H589" s="606"/>
      <c r="I589" s="606"/>
      <c r="J589" s="606"/>
      <c r="K589" s="606"/>
      <c r="L589" s="606"/>
      <c r="M589" s="641"/>
      <c r="N589" s="661"/>
      <c r="O589" s="625"/>
      <c r="P589" s="686"/>
    </row>
    <row r="590" spans="1:16" ht="15" customHeight="1" x14ac:dyDescent="0.3">
      <c r="A590" s="636"/>
      <c r="B590" s="640"/>
      <c r="C590" s="606"/>
      <c r="D590" s="606"/>
      <c r="E590" s="606"/>
      <c r="F590" s="606"/>
      <c r="G590" s="606"/>
      <c r="H590" s="606"/>
      <c r="I590" s="606"/>
      <c r="J590" s="606"/>
      <c r="K590" s="606"/>
      <c r="L590" s="606"/>
      <c r="M590" s="641"/>
      <c r="N590" s="661"/>
      <c r="O590" s="625"/>
      <c r="P590" s="686"/>
    </row>
    <row r="591" spans="1:16" ht="15" customHeight="1" x14ac:dyDescent="0.3">
      <c r="A591" s="636"/>
      <c r="B591" s="640"/>
      <c r="C591" s="606"/>
      <c r="D591" s="606"/>
      <c r="E591" s="606"/>
      <c r="F591" s="606"/>
      <c r="G591" s="606"/>
      <c r="H591" s="606"/>
      <c r="I591" s="606"/>
      <c r="J591" s="606"/>
      <c r="K591" s="606"/>
      <c r="L591" s="606"/>
      <c r="M591" s="641"/>
      <c r="N591" s="661"/>
      <c r="O591" s="625"/>
      <c r="P591" s="686"/>
    </row>
    <row r="592" spans="1:16" ht="15" customHeight="1" x14ac:dyDescent="0.3">
      <c r="A592" s="636"/>
      <c r="B592" s="640"/>
      <c r="C592" s="606"/>
      <c r="D592" s="606"/>
      <c r="E592" s="606"/>
      <c r="F592" s="606"/>
      <c r="G592" s="606"/>
      <c r="H592" s="606"/>
      <c r="I592" s="606"/>
      <c r="J592" s="606"/>
      <c r="K592" s="606"/>
      <c r="L592" s="606"/>
      <c r="M592" s="641"/>
      <c r="N592" s="661"/>
      <c r="O592" s="625"/>
      <c r="P592" s="686"/>
    </row>
    <row r="593" spans="1:16" ht="15" customHeight="1" x14ac:dyDescent="0.3">
      <c r="A593" s="636"/>
      <c r="B593" s="640"/>
      <c r="C593" s="606"/>
      <c r="D593" s="606"/>
      <c r="E593" s="606"/>
      <c r="F593" s="606"/>
      <c r="G593" s="606"/>
      <c r="H593" s="606"/>
      <c r="I593" s="606"/>
      <c r="J593" s="606"/>
      <c r="K593" s="606"/>
      <c r="L593" s="606"/>
      <c r="M593" s="641"/>
      <c r="N593" s="661"/>
      <c r="O593" s="625"/>
      <c r="P593" s="686"/>
    </row>
    <row r="594" spans="1:16" ht="15" customHeight="1" x14ac:dyDescent="0.3">
      <c r="A594" s="636"/>
      <c r="B594" s="640"/>
      <c r="C594" s="606"/>
      <c r="D594" s="606"/>
      <c r="E594" s="606"/>
      <c r="F594" s="606"/>
      <c r="G594" s="606"/>
      <c r="H594" s="606"/>
      <c r="I594" s="606"/>
      <c r="J594" s="606"/>
      <c r="K594" s="606"/>
      <c r="L594" s="606"/>
      <c r="M594" s="641"/>
      <c r="N594" s="661"/>
      <c r="O594" s="625"/>
      <c r="P594" s="686"/>
    </row>
    <row r="595" spans="1:16" ht="15" customHeight="1" x14ac:dyDescent="0.3">
      <c r="A595" s="636"/>
      <c r="B595" s="640"/>
      <c r="C595" s="606"/>
      <c r="D595" s="606"/>
      <c r="E595" s="606"/>
      <c r="F595" s="606"/>
      <c r="G595" s="606"/>
      <c r="H595" s="606"/>
      <c r="I595" s="606"/>
      <c r="J595" s="606"/>
      <c r="K595" s="606"/>
      <c r="L595" s="606"/>
      <c r="M595" s="641"/>
      <c r="N595" s="661"/>
      <c r="O595" s="625"/>
      <c r="P595" s="686"/>
    </row>
    <row r="596" spans="1:16" ht="15" customHeight="1" x14ac:dyDescent="0.3">
      <c r="A596" s="636"/>
      <c r="B596" s="640"/>
      <c r="C596" s="606"/>
      <c r="D596" s="606"/>
      <c r="E596" s="606"/>
      <c r="F596" s="606"/>
      <c r="G596" s="606"/>
      <c r="H596" s="606"/>
      <c r="I596" s="606"/>
      <c r="J596" s="606"/>
      <c r="K596" s="606"/>
      <c r="L596" s="606"/>
      <c r="M596" s="641"/>
      <c r="N596" s="661"/>
      <c r="O596" s="625"/>
      <c r="P596" s="686"/>
    </row>
    <row r="597" spans="1:16" ht="15" customHeight="1" x14ac:dyDescent="0.3">
      <c r="A597" s="636"/>
      <c r="B597" s="640"/>
      <c r="C597" s="606"/>
      <c r="D597" s="606"/>
      <c r="E597" s="606"/>
      <c r="F597" s="606"/>
      <c r="G597" s="606"/>
      <c r="H597" s="606"/>
      <c r="I597" s="606"/>
      <c r="J597" s="606"/>
      <c r="K597" s="606"/>
      <c r="L597" s="606"/>
      <c r="M597" s="641"/>
      <c r="N597" s="661"/>
      <c r="O597" s="625"/>
      <c r="P597" s="686"/>
    </row>
    <row r="598" spans="1:16" ht="15" customHeight="1" x14ac:dyDescent="0.3">
      <c r="A598" s="636"/>
      <c r="B598" s="640"/>
      <c r="C598" s="606"/>
      <c r="D598" s="606"/>
      <c r="E598" s="606"/>
      <c r="F598" s="606"/>
      <c r="G598" s="606"/>
      <c r="H598" s="606"/>
      <c r="I598" s="606"/>
      <c r="J598" s="606"/>
      <c r="K598" s="606"/>
      <c r="L598" s="606"/>
      <c r="M598" s="641"/>
      <c r="N598" s="661"/>
      <c r="O598" s="625"/>
      <c r="P598" s="686"/>
    </row>
    <row r="599" spans="1:16" ht="15" customHeight="1" x14ac:dyDescent="0.3">
      <c r="A599" s="636"/>
      <c r="B599" s="640"/>
      <c r="C599" s="606"/>
      <c r="D599" s="606"/>
      <c r="E599" s="606"/>
      <c r="F599" s="606"/>
      <c r="G599" s="606"/>
      <c r="H599" s="606"/>
      <c r="I599" s="606"/>
      <c r="J599" s="606"/>
      <c r="K599" s="606"/>
      <c r="L599" s="606"/>
      <c r="M599" s="641"/>
      <c r="N599" s="661"/>
      <c r="O599" s="625"/>
      <c r="P599" s="686"/>
    </row>
    <row r="600" spans="1:16" ht="15" customHeight="1" x14ac:dyDescent="0.3">
      <c r="A600" s="636"/>
      <c r="B600" s="640"/>
      <c r="C600" s="606"/>
      <c r="D600" s="606"/>
      <c r="E600" s="606"/>
      <c r="F600" s="606"/>
      <c r="G600" s="606"/>
      <c r="H600" s="606"/>
      <c r="I600" s="606"/>
      <c r="J600" s="606"/>
      <c r="K600" s="606"/>
      <c r="L600" s="606"/>
      <c r="M600" s="641"/>
      <c r="N600" s="661"/>
      <c r="O600" s="625"/>
      <c r="P600" s="686"/>
    </row>
    <row r="601" spans="1:16" ht="15" customHeight="1" x14ac:dyDescent="0.3">
      <c r="A601" s="636"/>
      <c r="B601" s="640"/>
      <c r="C601" s="606"/>
      <c r="D601" s="606"/>
      <c r="E601" s="606"/>
      <c r="F601" s="606"/>
      <c r="G601" s="606"/>
      <c r="H601" s="606"/>
      <c r="I601" s="606"/>
      <c r="J601" s="606"/>
      <c r="K601" s="606"/>
      <c r="L601" s="606"/>
      <c r="M601" s="641"/>
      <c r="N601" s="661"/>
      <c r="O601" s="625"/>
      <c r="P601" s="686"/>
    </row>
    <row r="602" spans="1:16" ht="15" customHeight="1" x14ac:dyDescent="0.3">
      <c r="A602" s="636"/>
      <c r="B602" s="642"/>
      <c r="C602" s="643"/>
      <c r="D602" s="643"/>
      <c r="E602" s="643"/>
      <c r="F602" s="643"/>
      <c r="G602" s="643"/>
      <c r="H602" s="643"/>
      <c r="I602" s="643"/>
      <c r="J602" s="643"/>
      <c r="K602" s="643"/>
      <c r="L602" s="643"/>
      <c r="M602" s="644"/>
      <c r="N602" s="662"/>
      <c r="O602" s="652"/>
      <c r="P602" s="690"/>
    </row>
    <row r="603" spans="1:16" ht="15" customHeight="1" x14ac:dyDescent="0.3">
      <c r="A603" s="636">
        <v>27</v>
      </c>
      <c r="B603" s="653"/>
      <c r="C603" s="647"/>
      <c r="D603" s="647"/>
      <c r="E603" s="647"/>
      <c r="F603" s="647"/>
      <c r="G603" s="647"/>
      <c r="H603" s="647"/>
      <c r="I603" s="647"/>
      <c r="J603" s="647"/>
      <c r="K603" s="647"/>
      <c r="L603" s="647"/>
      <c r="M603" s="654"/>
      <c r="N603" s="663" t="s">
        <v>213</v>
      </c>
      <c r="O603" s="648" t="str">
        <f>VLOOKUP(A603,'LISTA DE OFERENTES'!$A$6:$B$38,2,FALSE)</f>
        <v>CONSORCIO TUNAL CL</v>
      </c>
      <c r="P603" s="691"/>
    </row>
    <row r="604" spans="1:16" ht="15" customHeight="1" x14ac:dyDescent="0.3">
      <c r="A604" s="636"/>
      <c r="B604" s="655"/>
      <c r="C604" s="604"/>
      <c r="D604" s="604"/>
      <c r="E604" s="604"/>
      <c r="F604" s="604"/>
      <c r="G604" s="604"/>
      <c r="H604" s="604"/>
      <c r="I604" s="604"/>
      <c r="J604" s="604"/>
      <c r="K604" s="604"/>
      <c r="L604" s="604"/>
      <c r="M604" s="656"/>
      <c r="N604" s="649"/>
      <c r="O604" s="631"/>
      <c r="P604" s="692"/>
    </row>
    <row r="605" spans="1:16" ht="15" customHeight="1" x14ac:dyDescent="0.3">
      <c r="A605" s="636"/>
      <c r="B605" s="655"/>
      <c r="C605" s="604"/>
      <c r="D605" s="604"/>
      <c r="E605" s="604"/>
      <c r="F605" s="604"/>
      <c r="G605" s="604"/>
      <c r="H605" s="604"/>
      <c r="I605" s="604"/>
      <c r="J605" s="604"/>
      <c r="K605" s="604"/>
      <c r="L605" s="604"/>
      <c r="M605" s="656"/>
      <c r="N605" s="649"/>
      <c r="O605" s="631"/>
      <c r="P605" s="692"/>
    </row>
    <row r="606" spans="1:16" ht="15" customHeight="1" x14ac:dyDescent="0.3">
      <c r="A606" s="636"/>
      <c r="B606" s="655"/>
      <c r="C606" s="604"/>
      <c r="D606" s="604"/>
      <c r="E606" s="604"/>
      <c r="F606" s="604"/>
      <c r="G606" s="604"/>
      <c r="H606" s="604"/>
      <c r="I606" s="604"/>
      <c r="J606" s="604"/>
      <c r="K606" s="604"/>
      <c r="L606" s="604"/>
      <c r="M606" s="656"/>
      <c r="N606" s="649"/>
      <c r="O606" s="631"/>
      <c r="P606" s="692"/>
    </row>
    <row r="607" spans="1:16" ht="15" customHeight="1" x14ac:dyDescent="0.3">
      <c r="A607" s="636"/>
      <c r="B607" s="655"/>
      <c r="C607" s="604"/>
      <c r="D607" s="604"/>
      <c r="E607" s="604"/>
      <c r="F607" s="604"/>
      <c r="G607" s="604"/>
      <c r="H607" s="604"/>
      <c r="I607" s="604"/>
      <c r="J607" s="604"/>
      <c r="K607" s="604"/>
      <c r="L607" s="604"/>
      <c r="M607" s="656"/>
      <c r="N607" s="649"/>
      <c r="O607" s="631"/>
      <c r="P607" s="692"/>
    </row>
    <row r="608" spans="1:16" ht="15" customHeight="1" x14ac:dyDescent="0.3">
      <c r="A608" s="636"/>
      <c r="B608" s="655"/>
      <c r="C608" s="604"/>
      <c r="D608" s="604"/>
      <c r="E608" s="604"/>
      <c r="F608" s="604"/>
      <c r="G608" s="604"/>
      <c r="H608" s="604"/>
      <c r="I608" s="604"/>
      <c r="J608" s="604"/>
      <c r="K608" s="604"/>
      <c r="L608" s="604"/>
      <c r="M608" s="656"/>
      <c r="N608" s="649"/>
      <c r="O608" s="631"/>
      <c r="P608" s="692"/>
    </row>
    <row r="609" spans="1:16" ht="15" customHeight="1" x14ac:dyDescent="0.3">
      <c r="A609" s="636"/>
      <c r="B609" s="655"/>
      <c r="C609" s="604"/>
      <c r="D609" s="604"/>
      <c r="E609" s="604"/>
      <c r="F609" s="604"/>
      <c r="G609" s="604"/>
      <c r="H609" s="604"/>
      <c r="I609" s="604"/>
      <c r="J609" s="604"/>
      <c r="K609" s="604"/>
      <c r="L609" s="604"/>
      <c r="M609" s="656"/>
      <c r="N609" s="649"/>
      <c r="O609" s="631"/>
      <c r="P609" s="692"/>
    </row>
    <row r="610" spans="1:16" ht="15" customHeight="1" x14ac:dyDescent="0.3">
      <c r="A610" s="636"/>
      <c r="B610" s="655"/>
      <c r="C610" s="604"/>
      <c r="D610" s="604"/>
      <c r="E610" s="604"/>
      <c r="F610" s="604"/>
      <c r="G610" s="604"/>
      <c r="H610" s="604"/>
      <c r="I610" s="604"/>
      <c r="J610" s="604"/>
      <c r="K610" s="604"/>
      <c r="L610" s="604"/>
      <c r="M610" s="656"/>
      <c r="N610" s="649"/>
      <c r="O610" s="631"/>
      <c r="P610" s="692"/>
    </row>
    <row r="611" spans="1:16" ht="15" customHeight="1" x14ac:dyDescent="0.3">
      <c r="A611" s="636"/>
      <c r="B611" s="655"/>
      <c r="C611" s="604"/>
      <c r="D611" s="604"/>
      <c r="E611" s="604"/>
      <c r="F611" s="604"/>
      <c r="G611" s="604"/>
      <c r="H611" s="604"/>
      <c r="I611" s="604"/>
      <c r="J611" s="604"/>
      <c r="K611" s="604"/>
      <c r="L611" s="604"/>
      <c r="M611" s="656"/>
      <c r="N611" s="649"/>
      <c r="O611" s="631"/>
      <c r="P611" s="692"/>
    </row>
    <row r="612" spans="1:16" ht="15" customHeight="1" x14ac:dyDescent="0.3">
      <c r="A612" s="636"/>
      <c r="B612" s="655"/>
      <c r="C612" s="604"/>
      <c r="D612" s="604"/>
      <c r="E612" s="604"/>
      <c r="F612" s="604"/>
      <c r="G612" s="604"/>
      <c r="H612" s="604"/>
      <c r="I612" s="604"/>
      <c r="J612" s="604"/>
      <c r="K612" s="604"/>
      <c r="L612" s="604"/>
      <c r="M612" s="656"/>
      <c r="N612" s="649"/>
      <c r="O612" s="631"/>
      <c r="P612" s="692"/>
    </row>
    <row r="613" spans="1:16" ht="15" customHeight="1" x14ac:dyDescent="0.3">
      <c r="A613" s="636"/>
      <c r="B613" s="655"/>
      <c r="C613" s="604"/>
      <c r="D613" s="604"/>
      <c r="E613" s="604"/>
      <c r="F613" s="604"/>
      <c r="G613" s="604"/>
      <c r="H613" s="604"/>
      <c r="I613" s="604"/>
      <c r="J613" s="604"/>
      <c r="K613" s="604"/>
      <c r="L613" s="604"/>
      <c r="M613" s="656"/>
      <c r="N613" s="649"/>
      <c r="O613" s="631"/>
      <c r="P613" s="692"/>
    </row>
    <row r="614" spans="1:16" ht="15" customHeight="1" x14ac:dyDescent="0.3">
      <c r="A614" s="636"/>
      <c r="B614" s="655"/>
      <c r="C614" s="604"/>
      <c r="D614" s="604"/>
      <c r="E614" s="604"/>
      <c r="F614" s="604"/>
      <c r="G614" s="604"/>
      <c r="H614" s="604"/>
      <c r="I614" s="604"/>
      <c r="J614" s="604"/>
      <c r="K614" s="604"/>
      <c r="L614" s="604"/>
      <c r="M614" s="656"/>
      <c r="N614" s="649"/>
      <c r="O614" s="631"/>
      <c r="P614" s="692"/>
    </row>
    <row r="615" spans="1:16" ht="15" customHeight="1" x14ac:dyDescent="0.3">
      <c r="A615" s="636"/>
      <c r="B615" s="655"/>
      <c r="C615" s="604"/>
      <c r="D615" s="604"/>
      <c r="E615" s="604"/>
      <c r="F615" s="604"/>
      <c r="G615" s="604"/>
      <c r="H615" s="604"/>
      <c r="I615" s="604"/>
      <c r="J615" s="604"/>
      <c r="K615" s="604"/>
      <c r="L615" s="604"/>
      <c r="M615" s="656"/>
      <c r="N615" s="649"/>
      <c r="O615" s="631"/>
      <c r="P615" s="692"/>
    </row>
    <row r="616" spans="1:16" ht="15" customHeight="1" x14ac:dyDescent="0.3">
      <c r="A616" s="636"/>
      <c r="B616" s="655"/>
      <c r="C616" s="604"/>
      <c r="D616" s="604"/>
      <c r="E616" s="604"/>
      <c r="F616" s="604"/>
      <c r="G616" s="604"/>
      <c r="H616" s="604"/>
      <c r="I616" s="604"/>
      <c r="J616" s="604"/>
      <c r="K616" s="604"/>
      <c r="L616" s="604"/>
      <c r="M616" s="656"/>
      <c r="N616" s="649"/>
      <c r="O616" s="631"/>
      <c r="P616" s="692"/>
    </row>
    <row r="617" spans="1:16" ht="15" customHeight="1" x14ac:dyDescent="0.3">
      <c r="A617" s="636"/>
      <c r="B617" s="655"/>
      <c r="C617" s="604"/>
      <c r="D617" s="604"/>
      <c r="E617" s="604"/>
      <c r="F617" s="604"/>
      <c r="G617" s="604"/>
      <c r="H617" s="604"/>
      <c r="I617" s="604"/>
      <c r="J617" s="604"/>
      <c r="K617" s="604"/>
      <c r="L617" s="604"/>
      <c r="M617" s="656"/>
      <c r="N617" s="649"/>
      <c r="O617" s="631"/>
      <c r="P617" s="692"/>
    </row>
    <row r="618" spans="1:16" ht="15" customHeight="1" x14ac:dyDescent="0.3">
      <c r="A618" s="636"/>
      <c r="B618" s="655"/>
      <c r="C618" s="604"/>
      <c r="D618" s="604"/>
      <c r="E618" s="604"/>
      <c r="F618" s="604"/>
      <c r="G618" s="604"/>
      <c r="H618" s="604"/>
      <c r="I618" s="604"/>
      <c r="J618" s="604"/>
      <c r="K618" s="604"/>
      <c r="L618" s="604"/>
      <c r="M618" s="656"/>
      <c r="N618" s="649"/>
      <c r="O618" s="631"/>
      <c r="P618" s="692"/>
    </row>
    <row r="619" spans="1:16" ht="15" customHeight="1" x14ac:dyDescent="0.3">
      <c r="A619" s="636"/>
      <c r="B619" s="655"/>
      <c r="C619" s="604"/>
      <c r="D619" s="604"/>
      <c r="E619" s="604"/>
      <c r="F619" s="604"/>
      <c r="G619" s="604"/>
      <c r="H619" s="604"/>
      <c r="I619" s="604"/>
      <c r="J619" s="604"/>
      <c r="K619" s="604"/>
      <c r="L619" s="604"/>
      <c r="M619" s="656"/>
      <c r="N619" s="649"/>
      <c r="O619" s="631"/>
      <c r="P619" s="692"/>
    </row>
    <row r="620" spans="1:16" ht="15" customHeight="1" x14ac:dyDescent="0.3">
      <c r="A620" s="636"/>
      <c r="B620" s="655"/>
      <c r="C620" s="604"/>
      <c r="D620" s="604"/>
      <c r="E620" s="604"/>
      <c r="F620" s="604"/>
      <c r="G620" s="604"/>
      <c r="H620" s="604"/>
      <c r="I620" s="604"/>
      <c r="J620" s="604"/>
      <c r="K620" s="604"/>
      <c r="L620" s="604"/>
      <c r="M620" s="656"/>
      <c r="N620" s="649"/>
      <c r="O620" s="631"/>
      <c r="P620" s="692"/>
    </row>
    <row r="621" spans="1:16" ht="15" customHeight="1" x14ac:dyDescent="0.3">
      <c r="A621" s="636"/>
      <c r="B621" s="655"/>
      <c r="C621" s="604"/>
      <c r="D621" s="604"/>
      <c r="E621" s="604"/>
      <c r="F621" s="604"/>
      <c r="G621" s="604"/>
      <c r="H621" s="604"/>
      <c r="I621" s="604"/>
      <c r="J621" s="604"/>
      <c r="K621" s="604"/>
      <c r="L621" s="604"/>
      <c r="M621" s="656"/>
      <c r="N621" s="649"/>
      <c r="O621" s="631"/>
      <c r="P621" s="692"/>
    </row>
    <row r="622" spans="1:16" ht="15" customHeight="1" x14ac:dyDescent="0.3">
      <c r="A622" s="636"/>
      <c r="B622" s="655"/>
      <c r="C622" s="604"/>
      <c r="D622" s="604"/>
      <c r="E622" s="604"/>
      <c r="F622" s="604"/>
      <c r="G622" s="604"/>
      <c r="H622" s="604"/>
      <c r="I622" s="604"/>
      <c r="J622" s="604"/>
      <c r="K622" s="604"/>
      <c r="L622" s="604"/>
      <c r="M622" s="656"/>
      <c r="N622" s="649"/>
      <c r="O622" s="631"/>
      <c r="P622" s="692"/>
    </row>
    <row r="623" spans="1:16" ht="15" customHeight="1" x14ac:dyDescent="0.3">
      <c r="A623" s="636"/>
      <c r="B623" s="655"/>
      <c r="C623" s="604"/>
      <c r="D623" s="604"/>
      <c r="E623" s="604"/>
      <c r="F623" s="604"/>
      <c r="G623" s="604"/>
      <c r="H623" s="604"/>
      <c r="I623" s="604"/>
      <c r="J623" s="604"/>
      <c r="K623" s="604"/>
      <c r="L623" s="604"/>
      <c r="M623" s="656"/>
      <c r="N623" s="649"/>
      <c r="O623" s="631"/>
      <c r="P623" s="692"/>
    </row>
    <row r="624" spans="1:16" ht="15" customHeight="1" x14ac:dyDescent="0.3">
      <c r="A624" s="636"/>
      <c r="B624" s="655"/>
      <c r="C624" s="604"/>
      <c r="D624" s="604"/>
      <c r="E624" s="604"/>
      <c r="F624" s="604"/>
      <c r="G624" s="604"/>
      <c r="H624" s="604"/>
      <c r="I624" s="604"/>
      <c r="J624" s="604"/>
      <c r="K624" s="604"/>
      <c r="L624" s="604"/>
      <c r="M624" s="656"/>
      <c r="N624" s="649"/>
      <c r="O624" s="631"/>
      <c r="P624" s="692"/>
    </row>
    <row r="625" spans="1:16" ht="15" customHeight="1" x14ac:dyDescent="0.3">
      <c r="A625" s="636"/>
      <c r="B625" s="657"/>
      <c r="C625" s="658"/>
      <c r="D625" s="658"/>
      <c r="E625" s="658"/>
      <c r="F625" s="658"/>
      <c r="G625" s="658"/>
      <c r="H625" s="658"/>
      <c r="I625" s="658"/>
      <c r="J625" s="658"/>
      <c r="K625" s="658"/>
      <c r="L625" s="658"/>
      <c r="M625" s="659"/>
      <c r="N625" s="664"/>
      <c r="O625" s="631"/>
      <c r="P625" s="693"/>
    </row>
    <row r="626" spans="1:16" ht="15" customHeight="1" x14ac:dyDescent="0.3">
      <c r="A626" s="603">
        <v>28</v>
      </c>
      <c r="B626" s="651"/>
      <c r="C626" s="651"/>
      <c r="D626" s="651"/>
      <c r="E626" s="651"/>
      <c r="F626" s="651"/>
      <c r="G626" s="651"/>
      <c r="H626" s="651"/>
      <c r="I626" s="651"/>
      <c r="J626" s="651"/>
      <c r="K626" s="651"/>
      <c r="L626" s="651"/>
      <c r="M626" s="651"/>
      <c r="N626" s="607" t="s">
        <v>213</v>
      </c>
      <c r="O626" s="631" t="str">
        <f>VLOOKUP(A626,'LISTA DE OFERENTES'!$A$6:$B$38,2,FALSE)</f>
        <v xml:space="preserve">MAURICIO RAFAEL PABA PINZON </v>
      </c>
      <c r="P626" s="691"/>
    </row>
    <row r="627" spans="1:16" ht="15" customHeight="1" x14ac:dyDescent="0.3">
      <c r="A627" s="603"/>
      <c r="B627" s="606"/>
      <c r="C627" s="606"/>
      <c r="D627" s="606"/>
      <c r="E627" s="606"/>
      <c r="F627" s="606"/>
      <c r="G627" s="606"/>
      <c r="H627" s="606"/>
      <c r="I627" s="606"/>
      <c r="J627" s="606"/>
      <c r="K627" s="606"/>
      <c r="L627" s="606"/>
      <c r="M627" s="606"/>
      <c r="N627" s="608"/>
      <c r="O627" s="631"/>
      <c r="P627" s="692"/>
    </row>
    <row r="628" spans="1:16" ht="15" customHeight="1" x14ac:dyDescent="0.3">
      <c r="A628" s="603"/>
      <c r="B628" s="606"/>
      <c r="C628" s="606"/>
      <c r="D628" s="606"/>
      <c r="E628" s="606"/>
      <c r="F628" s="606"/>
      <c r="G628" s="606"/>
      <c r="H628" s="606"/>
      <c r="I628" s="606"/>
      <c r="J628" s="606"/>
      <c r="K628" s="606"/>
      <c r="L628" s="606"/>
      <c r="M628" s="606"/>
      <c r="N628" s="608"/>
      <c r="O628" s="631"/>
      <c r="P628" s="692"/>
    </row>
    <row r="629" spans="1:16" ht="15" customHeight="1" x14ac:dyDescent="0.3">
      <c r="A629" s="603"/>
      <c r="B629" s="606"/>
      <c r="C629" s="606"/>
      <c r="D629" s="606"/>
      <c r="E629" s="606"/>
      <c r="F629" s="606"/>
      <c r="G629" s="606"/>
      <c r="H629" s="606"/>
      <c r="I629" s="606"/>
      <c r="J629" s="606"/>
      <c r="K629" s="606"/>
      <c r="L629" s="606"/>
      <c r="M629" s="606"/>
      <c r="N629" s="608"/>
      <c r="O629" s="631"/>
      <c r="P629" s="692"/>
    </row>
    <row r="630" spans="1:16" ht="15" customHeight="1" x14ac:dyDescent="0.3">
      <c r="A630" s="603"/>
      <c r="B630" s="606"/>
      <c r="C630" s="606"/>
      <c r="D630" s="606"/>
      <c r="E630" s="606"/>
      <c r="F630" s="606"/>
      <c r="G630" s="606"/>
      <c r="H630" s="606"/>
      <c r="I630" s="606"/>
      <c r="J630" s="606"/>
      <c r="K630" s="606"/>
      <c r="L630" s="606"/>
      <c r="M630" s="606"/>
      <c r="N630" s="608"/>
      <c r="O630" s="631"/>
      <c r="P630" s="692"/>
    </row>
    <row r="631" spans="1:16" ht="15" customHeight="1" x14ac:dyDescent="0.3">
      <c r="A631" s="603"/>
      <c r="B631" s="606"/>
      <c r="C631" s="606"/>
      <c r="D631" s="606"/>
      <c r="E631" s="606"/>
      <c r="F631" s="606"/>
      <c r="G631" s="606"/>
      <c r="H631" s="606"/>
      <c r="I631" s="606"/>
      <c r="J631" s="606"/>
      <c r="K631" s="606"/>
      <c r="L631" s="606"/>
      <c r="M631" s="606"/>
      <c r="N631" s="608"/>
      <c r="O631" s="631"/>
      <c r="P631" s="692"/>
    </row>
    <row r="632" spans="1:16" ht="15" customHeight="1" x14ac:dyDescent="0.3">
      <c r="A632" s="603"/>
      <c r="B632" s="606"/>
      <c r="C632" s="606"/>
      <c r="D632" s="606"/>
      <c r="E632" s="606"/>
      <c r="F632" s="606"/>
      <c r="G632" s="606"/>
      <c r="H632" s="606"/>
      <c r="I632" s="606"/>
      <c r="J632" s="606"/>
      <c r="K632" s="606"/>
      <c r="L632" s="606"/>
      <c r="M632" s="606"/>
      <c r="N632" s="608"/>
      <c r="O632" s="631"/>
      <c r="P632" s="692"/>
    </row>
    <row r="633" spans="1:16" ht="15" customHeight="1" x14ac:dyDescent="0.3">
      <c r="A633" s="603"/>
      <c r="B633" s="606"/>
      <c r="C633" s="606"/>
      <c r="D633" s="606"/>
      <c r="E633" s="606"/>
      <c r="F633" s="606"/>
      <c r="G633" s="606"/>
      <c r="H633" s="606"/>
      <c r="I633" s="606"/>
      <c r="J633" s="606"/>
      <c r="K633" s="606"/>
      <c r="L633" s="606"/>
      <c r="M633" s="606"/>
      <c r="N633" s="608"/>
      <c r="O633" s="631"/>
      <c r="P633" s="692"/>
    </row>
    <row r="634" spans="1:16" ht="15" customHeight="1" x14ac:dyDescent="0.3">
      <c r="A634" s="603"/>
      <c r="B634" s="606"/>
      <c r="C634" s="606"/>
      <c r="D634" s="606"/>
      <c r="E634" s="606"/>
      <c r="F634" s="606"/>
      <c r="G634" s="606"/>
      <c r="H634" s="606"/>
      <c r="I634" s="606"/>
      <c r="J634" s="606"/>
      <c r="K634" s="606"/>
      <c r="L634" s="606"/>
      <c r="M634" s="606"/>
      <c r="N634" s="608"/>
      <c r="O634" s="631"/>
      <c r="P634" s="692"/>
    </row>
    <row r="635" spans="1:16" ht="15" customHeight="1" x14ac:dyDescent="0.3">
      <c r="A635" s="603"/>
      <c r="B635" s="606"/>
      <c r="C635" s="606"/>
      <c r="D635" s="606"/>
      <c r="E635" s="606"/>
      <c r="F635" s="606"/>
      <c r="G635" s="606"/>
      <c r="H635" s="606"/>
      <c r="I635" s="606"/>
      <c r="J635" s="606"/>
      <c r="K635" s="606"/>
      <c r="L635" s="606"/>
      <c r="M635" s="606"/>
      <c r="N635" s="608"/>
      <c r="O635" s="631"/>
      <c r="P635" s="692"/>
    </row>
    <row r="636" spans="1:16" ht="15" customHeight="1" x14ac:dyDescent="0.3">
      <c r="A636" s="603"/>
      <c r="B636" s="606"/>
      <c r="C636" s="606"/>
      <c r="D636" s="606"/>
      <c r="E636" s="606"/>
      <c r="F636" s="606"/>
      <c r="G636" s="606"/>
      <c r="H636" s="606"/>
      <c r="I636" s="606"/>
      <c r="J636" s="606"/>
      <c r="K636" s="606"/>
      <c r="L636" s="606"/>
      <c r="M636" s="606"/>
      <c r="N636" s="608"/>
      <c r="O636" s="631"/>
      <c r="P636" s="692"/>
    </row>
    <row r="637" spans="1:16" ht="15" customHeight="1" x14ac:dyDescent="0.3">
      <c r="A637" s="603"/>
      <c r="B637" s="606"/>
      <c r="C637" s="606"/>
      <c r="D637" s="606"/>
      <c r="E637" s="606"/>
      <c r="F637" s="606"/>
      <c r="G637" s="606"/>
      <c r="H637" s="606"/>
      <c r="I637" s="606"/>
      <c r="J637" s="606"/>
      <c r="K637" s="606"/>
      <c r="L637" s="606"/>
      <c r="M637" s="606"/>
      <c r="N637" s="608"/>
      <c r="O637" s="631"/>
      <c r="P637" s="692"/>
    </row>
    <row r="638" spans="1:16" ht="15" customHeight="1" x14ac:dyDescent="0.3">
      <c r="A638" s="603"/>
      <c r="B638" s="606"/>
      <c r="C638" s="606"/>
      <c r="D638" s="606"/>
      <c r="E638" s="606"/>
      <c r="F638" s="606"/>
      <c r="G638" s="606"/>
      <c r="H638" s="606"/>
      <c r="I638" s="606"/>
      <c r="J638" s="606"/>
      <c r="K638" s="606"/>
      <c r="L638" s="606"/>
      <c r="M638" s="606"/>
      <c r="N638" s="608"/>
      <c r="O638" s="631"/>
      <c r="P638" s="692"/>
    </row>
    <row r="639" spans="1:16" ht="15" customHeight="1" x14ac:dyDescent="0.3">
      <c r="A639" s="603"/>
      <c r="B639" s="606"/>
      <c r="C639" s="606"/>
      <c r="D639" s="606"/>
      <c r="E639" s="606"/>
      <c r="F639" s="606"/>
      <c r="G639" s="606"/>
      <c r="H639" s="606"/>
      <c r="I639" s="606"/>
      <c r="J639" s="606"/>
      <c r="K639" s="606"/>
      <c r="L639" s="606"/>
      <c r="M639" s="606"/>
      <c r="N639" s="608"/>
      <c r="O639" s="631"/>
      <c r="P639" s="692"/>
    </row>
    <row r="640" spans="1:16" ht="15" customHeight="1" x14ac:dyDescent="0.3">
      <c r="A640" s="603"/>
      <c r="B640" s="606"/>
      <c r="C640" s="606"/>
      <c r="D640" s="606"/>
      <c r="E640" s="606"/>
      <c r="F640" s="606"/>
      <c r="G640" s="606"/>
      <c r="H640" s="606"/>
      <c r="I640" s="606"/>
      <c r="J640" s="606"/>
      <c r="K640" s="606"/>
      <c r="L640" s="606"/>
      <c r="M640" s="606"/>
      <c r="N640" s="608"/>
      <c r="O640" s="631"/>
      <c r="P640" s="692"/>
    </row>
    <row r="641" spans="1:16" ht="15" customHeight="1" x14ac:dyDescent="0.3">
      <c r="A641" s="603"/>
      <c r="B641" s="606"/>
      <c r="C641" s="606"/>
      <c r="D641" s="606"/>
      <c r="E641" s="606"/>
      <c r="F641" s="606"/>
      <c r="G641" s="606"/>
      <c r="H641" s="606"/>
      <c r="I641" s="606"/>
      <c r="J641" s="606"/>
      <c r="K641" s="606"/>
      <c r="L641" s="606"/>
      <c r="M641" s="606"/>
      <c r="N641" s="608"/>
      <c r="O641" s="631"/>
      <c r="P641" s="692"/>
    </row>
    <row r="642" spans="1:16" ht="15" customHeight="1" x14ac:dyDescent="0.3">
      <c r="A642" s="603"/>
      <c r="B642" s="606"/>
      <c r="C642" s="606"/>
      <c r="D642" s="606"/>
      <c r="E642" s="606"/>
      <c r="F642" s="606"/>
      <c r="G642" s="606"/>
      <c r="H642" s="606"/>
      <c r="I642" s="606"/>
      <c r="J642" s="606"/>
      <c r="K642" s="606"/>
      <c r="L642" s="606"/>
      <c r="M642" s="606"/>
      <c r="N642" s="608"/>
      <c r="O642" s="631"/>
      <c r="P642" s="692"/>
    </row>
    <row r="643" spans="1:16" ht="15" customHeight="1" x14ac:dyDescent="0.3">
      <c r="A643" s="603"/>
      <c r="B643" s="606"/>
      <c r="C643" s="606"/>
      <c r="D643" s="606"/>
      <c r="E643" s="606"/>
      <c r="F643" s="606"/>
      <c r="G643" s="606"/>
      <c r="H643" s="606"/>
      <c r="I643" s="606"/>
      <c r="J643" s="606"/>
      <c r="K643" s="606"/>
      <c r="L643" s="606"/>
      <c r="M643" s="606"/>
      <c r="N643" s="608"/>
      <c r="O643" s="631"/>
      <c r="P643" s="692"/>
    </row>
    <row r="644" spans="1:16" ht="15" customHeight="1" x14ac:dyDescent="0.3">
      <c r="A644" s="603"/>
      <c r="B644" s="606"/>
      <c r="C644" s="606"/>
      <c r="D644" s="606"/>
      <c r="E644" s="606"/>
      <c r="F644" s="606"/>
      <c r="G644" s="606"/>
      <c r="H644" s="606"/>
      <c r="I644" s="606"/>
      <c r="J644" s="606"/>
      <c r="K644" s="606"/>
      <c r="L644" s="606"/>
      <c r="M644" s="606"/>
      <c r="N644" s="608"/>
      <c r="O644" s="631"/>
      <c r="P644" s="692"/>
    </row>
    <row r="645" spans="1:16" ht="15" customHeight="1" x14ac:dyDescent="0.3">
      <c r="A645" s="603"/>
      <c r="B645" s="606"/>
      <c r="C645" s="606"/>
      <c r="D645" s="606"/>
      <c r="E645" s="606"/>
      <c r="F645" s="606"/>
      <c r="G645" s="606"/>
      <c r="H645" s="606"/>
      <c r="I645" s="606"/>
      <c r="J645" s="606"/>
      <c r="K645" s="606"/>
      <c r="L645" s="606"/>
      <c r="M645" s="606"/>
      <c r="N645" s="608"/>
      <c r="O645" s="631"/>
      <c r="P645" s="692"/>
    </row>
    <row r="646" spans="1:16" ht="15" customHeight="1" x14ac:dyDescent="0.3">
      <c r="A646" s="603"/>
      <c r="B646" s="606"/>
      <c r="C646" s="606"/>
      <c r="D646" s="606"/>
      <c r="E646" s="606"/>
      <c r="F646" s="606"/>
      <c r="G646" s="606"/>
      <c r="H646" s="606"/>
      <c r="I646" s="606"/>
      <c r="J646" s="606"/>
      <c r="K646" s="606"/>
      <c r="L646" s="606"/>
      <c r="M646" s="606"/>
      <c r="N646" s="608"/>
      <c r="O646" s="631"/>
      <c r="P646" s="692"/>
    </row>
    <row r="647" spans="1:16" ht="15" customHeight="1" x14ac:dyDescent="0.3">
      <c r="A647" s="603"/>
      <c r="B647" s="606"/>
      <c r="C647" s="606"/>
      <c r="D647" s="606"/>
      <c r="E647" s="606"/>
      <c r="F647" s="606"/>
      <c r="G647" s="606"/>
      <c r="H647" s="606"/>
      <c r="I647" s="606"/>
      <c r="J647" s="606"/>
      <c r="K647" s="606"/>
      <c r="L647" s="606"/>
      <c r="M647" s="606"/>
      <c r="N647" s="608"/>
      <c r="O647" s="631"/>
      <c r="P647" s="692"/>
    </row>
    <row r="648" spans="1:16" ht="15" customHeight="1" x14ac:dyDescent="0.3">
      <c r="A648" s="603"/>
      <c r="B648" s="606"/>
      <c r="C648" s="606"/>
      <c r="D648" s="606"/>
      <c r="E648" s="606"/>
      <c r="F648" s="606"/>
      <c r="G648" s="606"/>
      <c r="H648" s="606"/>
      <c r="I648" s="606"/>
      <c r="J648" s="606"/>
      <c r="K648" s="606"/>
      <c r="L648" s="606"/>
      <c r="M648" s="606"/>
      <c r="N648" s="609"/>
      <c r="O648" s="631"/>
      <c r="P648" s="693"/>
    </row>
    <row r="649" spans="1:16" ht="15" customHeight="1" x14ac:dyDescent="0.3">
      <c r="A649" s="603">
        <v>29</v>
      </c>
      <c r="B649" s="604"/>
      <c r="C649" s="604"/>
      <c r="D649" s="604"/>
      <c r="E649" s="604"/>
      <c r="F649" s="604"/>
      <c r="G649" s="604"/>
      <c r="H649" s="604"/>
      <c r="I649" s="604"/>
      <c r="J649" s="604"/>
      <c r="K649" s="604"/>
      <c r="L649" s="604"/>
      <c r="M649" s="604"/>
      <c r="N649" s="607" t="s">
        <v>213</v>
      </c>
      <c r="O649" s="631" t="str">
        <f>VLOOKUP(A649,'LISTA DE OFERENTES'!$A$6:$B$38,2,FALSE)</f>
        <v>CONSORCIO CDJ 05</v>
      </c>
      <c r="P649" s="688"/>
    </row>
    <row r="650" spans="1:16" ht="15" customHeight="1" x14ac:dyDescent="0.3">
      <c r="A650" s="603"/>
      <c r="B650" s="604"/>
      <c r="C650" s="604"/>
      <c r="D650" s="604"/>
      <c r="E650" s="604"/>
      <c r="F650" s="604"/>
      <c r="G650" s="604"/>
      <c r="H650" s="604"/>
      <c r="I650" s="604"/>
      <c r="J650" s="604"/>
      <c r="K650" s="604"/>
      <c r="L650" s="604"/>
      <c r="M650" s="604"/>
      <c r="N650" s="608"/>
      <c r="O650" s="631"/>
      <c r="P650" s="688"/>
    </row>
    <row r="651" spans="1:16" ht="15" customHeight="1" x14ac:dyDescent="0.3">
      <c r="A651" s="603"/>
      <c r="B651" s="604"/>
      <c r="C651" s="604"/>
      <c r="D651" s="604"/>
      <c r="E651" s="604"/>
      <c r="F651" s="604"/>
      <c r="G651" s="604"/>
      <c r="H651" s="604"/>
      <c r="I651" s="604"/>
      <c r="J651" s="604"/>
      <c r="K651" s="604"/>
      <c r="L651" s="604"/>
      <c r="M651" s="604"/>
      <c r="N651" s="608"/>
      <c r="O651" s="631"/>
      <c r="P651" s="688"/>
    </row>
    <row r="652" spans="1:16" ht="15" customHeight="1" x14ac:dyDescent="0.3">
      <c r="A652" s="603"/>
      <c r="B652" s="604"/>
      <c r="C652" s="604"/>
      <c r="D652" s="604"/>
      <c r="E652" s="604"/>
      <c r="F652" s="604"/>
      <c r="G652" s="604"/>
      <c r="H652" s="604"/>
      <c r="I652" s="604"/>
      <c r="J652" s="604"/>
      <c r="K652" s="604"/>
      <c r="L652" s="604"/>
      <c r="M652" s="604"/>
      <c r="N652" s="608"/>
      <c r="O652" s="631"/>
      <c r="P652" s="688"/>
    </row>
    <row r="653" spans="1:16" ht="15" customHeight="1" x14ac:dyDescent="0.3">
      <c r="A653" s="603"/>
      <c r="B653" s="604"/>
      <c r="C653" s="604"/>
      <c r="D653" s="604"/>
      <c r="E653" s="604"/>
      <c r="F653" s="604"/>
      <c r="G653" s="604"/>
      <c r="H653" s="604"/>
      <c r="I653" s="604"/>
      <c r="J653" s="604"/>
      <c r="K653" s="604"/>
      <c r="L653" s="604"/>
      <c r="M653" s="604"/>
      <c r="N653" s="608"/>
      <c r="O653" s="631"/>
      <c r="P653" s="688"/>
    </row>
    <row r="654" spans="1:16" ht="15" customHeight="1" x14ac:dyDescent="0.3">
      <c r="A654" s="603"/>
      <c r="B654" s="604"/>
      <c r="C654" s="604"/>
      <c r="D654" s="604"/>
      <c r="E654" s="604"/>
      <c r="F654" s="604"/>
      <c r="G654" s="604"/>
      <c r="H654" s="604"/>
      <c r="I654" s="604"/>
      <c r="J654" s="604"/>
      <c r="K654" s="604"/>
      <c r="L654" s="604"/>
      <c r="M654" s="604"/>
      <c r="N654" s="608"/>
      <c r="O654" s="631"/>
      <c r="P654" s="688"/>
    </row>
    <row r="655" spans="1:16" ht="15" customHeight="1" x14ac:dyDescent="0.3">
      <c r="A655" s="603"/>
      <c r="B655" s="604"/>
      <c r="C655" s="604"/>
      <c r="D655" s="604"/>
      <c r="E655" s="604"/>
      <c r="F655" s="604"/>
      <c r="G655" s="604"/>
      <c r="H655" s="604"/>
      <c r="I655" s="604"/>
      <c r="J655" s="604"/>
      <c r="K655" s="604"/>
      <c r="L655" s="604"/>
      <c r="M655" s="604"/>
      <c r="N655" s="608"/>
      <c r="O655" s="631"/>
      <c r="P655" s="688"/>
    </row>
    <row r="656" spans="1:16" ht="15" customHeight="1" x14ac:dyDescent="0.3">
      <c r="A656" s="603"/>
      <c r="B656" s="604"/>
      <c r="C656" s="604"/>
      <c r="D656" s="604"/>
      <c r="E656" s="604"/>
      <c r="F656" s="604"/>
      <c r="G656" s="604"/>
      <c r="H656" s="604"/>
      <c r="I656" s="604"/>
      <c r="J656" s="604"/>
      <c r="K656" s="604"/>
      <c r="L656" s="604"/>
      <c r="M656" s="604"/>
      <c r="N656" s="608"/>
      <c r="O656" s="631"/>
      <c r="P656" s="688"/>
    </row>
    <row r="657" spans="1:16" ht="15" customHeight="1" x14ac:dyDescent="0.3">
      <c r="A657" s="603"/>
      <c r="B657" s="604"/>
      <c r="C657" s="604"/>
      <c r="D657" s="604"/>
      <c r="E657" s="604"/>
      <c r="F657" s="604"/>
      <c r="G657" s="604"/>
      <c r="H657" s="604"/>
      <c r="I657" s="604"/>
      <c r="J657" s="604"/>
      <c r="K657" s="604"/>
      <c r="L657" s="604"/>
      <c r="M657" s="604"/>
      <c r="N657" s="608"/>
      <c r="O657" s="631"/>
      <c r="P657" s="688"/>
    </row>
    <row r="658" spans="1:16" ht="15" customHeight="1" x14ac:dyDescent="0.3">
      <c r="A658" s="603"/>
      <c r="B658" s="604"/>
      <c r="C658" s="604"/>
      <c r="D658" s="604"/>
      <c r="E658" s="604"/>
      <c r="F658" s="604"/>
      <c r="G658" s="604"/>
      <c r="H658" s="604"/>
      <c r="I658" s="604"/>
      <c r="J658" s="604"/>
      <c r="K658" s="604"/>
      <c r="L658" s="604"/>
      <c r="M658" s="604"/>
      <c r="N658" s="608"/>
      <c r="O658" s="631"/>
      <c r="P658" s="688"/>
    </row>
    <row r="659" spans="1:16" ht="15" customHeight="1" x14ac:dyDescent="0.3">
      <c r="A659" s="603"/>
      <c r="B659" s="604"/>
      <c r="C659" s="604"/>
      <c r="D659" s="604"/>
      <c r="E659" s="604"/>
      <c r="F659" s="604"/>
      <c r="G659" s="604"/>
      <c r="H659" s="604"/>
      <c r="I659" s="604"/>
      <c r="J659" s="604"/>
      <c r="K659" s="604"/>
      <c r="L659" s="604"/>
      <c r="M659" s="604"/>
      <c r="N659" s="608"/>
      <c r="O659" s="631"/>
      <c r="P659" s="688"/>
    </row>
    <row r="660" spans="1:16" ht="15" customHeight="1" x14ac:dyDescent="0.3">
      <c r="A660" s="603"/>
      <c r="B660" s="604"/>
      <c r="C660" s="604"/>
      <c r="D660" s="604"/>
      <c r="E660" s="604"/>
      <c r="F660" s="604"/>
      <c r="G660" s="604"/>
      <c r="H660" s="604"/>
      <c r="I660" s="604"/>
      <c r="J660" s="604"/>
      <c r="K660" s="604"/>
      <c r="L660" s="604"/>
      <c r="M660" s="604"/>
      <c r="N660" s="608"/>
      <c r="O660" s="631"/>
      <c r="P660" s="688"/>
    </row>
    <row r="661" spans="1:16" ht="15" customHeight="1" x14ac:dyDescent="0.3">
      <c r="A661" s="603"/>
      <c r="B661" s="604"/>
      <c r="C661" s="604"/>
      <c r="D661" s="604"/>
      <c r="E661" s="604"/>
      <c r="F661" s="604"/>
      <c r="G661" s="604"/>
      <c r="H661" s="604"/>
      <c r="I661" s="604"/>
      <c r="J661" s="604"/>
      <c r="K661" s="604"/>
      <c r="L661" s="604"/>
      <c r="M661" s="604"/>
      <c r="N661" s="608"/>
      <c r="O661" s="631"/>
      <c r="P661" s="688"/>
    </row>
    <row r="662" spans="1:16" ht="15" customHeight="1" x14ac:dyDescent="0.3">
      <c r="A662" s="603"/>
      <c r="B662" s="604"/>
      <c r="C662" s="604"/>
      <c r="D662" s="604"/>
      <c r="E662" s="604"/>
      <c r="F662" s="604"/>
      <c r="G662" s="604"/>
      <c r="H662" s="604"/>
      <c r="I662" s="604"/>
      <c r="J662" s="604"/>
      <c r="K662" s="604"/>
      <c r="L662" s="604"/>
      <c r="M662" s="604"/>
      <c r="N662" s="608"/>
      <c r="O662" s="631"/>
      <c r="P662" s="688"/>
    </row>
    <row r="663" spans="1:16" ht="15" customHeight="1" x14ac:dyDescent="0.3">
      <c r="A663" s="603"/>
      <c r="B663" s="604"/>
      <c r="C663" s="604"/>
      <c r="D663" s="604"/>
      <c r="E663" s="604"/>
      <c r="F663" s="604"/>
      <c r="G663" s="604"/>
      <c r="H663" s="604"/>
      <c r="I663" s="604"/>
      <c r="J663" s="604"/>
      <c r="K663" s="604"/>
      <c r="L663" s="604"/>
      <c r="M663" s="604"/>
      <c r="N663" s="608"/>
      <c r="O663" s="631"/>
      <c r="P663" s="688"/>
    </row>
    <row r="664" spans="1:16" ht="15" customHeight="1" x14ac:dyDescent="0.3">
      <c r="A664" s="603"/>
      <c r="B664" s="604"/>
      <c r="C664" s="604"/>
      <c r="D664" s="604"/>
      <c r="E664" s="604"/>
      <c r="F664" s="604"/>
      <c r="G664" s="604"/>
      <c r="H664" s="604"/>
      <c r="I664" s="604"/>
      <c r="J664" s="604"/>
      <c r="K664" s="604"/>
      <c r="L664" s="604"/>
      <c r="M664" s="604"/>
      <c r="N664" s="608"/>
      <c r="O664" s="631"/>
      <c r="P664" s="688"/>
    </row>
    <row r="665" spans="1:16" ht="15" customHeight="1" x14ac:dyDescent="0.3">
      <c r="A665" s="603"/>
      <c r="B665" s="604"/>
      <c r="C665" s="604"/>
      <c r="D665" s="604"/>
      <c r="E665" s="604"/>
      <c r="F665" s="604"/>
      <c r="G665" s="604"/>
      <c r="H665" s="604"/>
      <c r="I665" s="604"/>
      <c r="J665" s="604"/>
      <c r="K665" s="604"/>
      <c r="L665" s="604"/>
      <c r="M665" s="604"/>
      <c r="N665" s="608"/>
      <c r="O665" s="631"/>
      <c r="P665" s="688"/>
    </row>
    <row r="666" spans="1:16" ht="15" customHeight="1" x14ac:dyDescent="0.3">
      <c r="A666" s="603"/>
      <c r="B666" s="604"/>
      <c r="C666" s="604"/>
      <c r="D666" s="604"/>
      <c r="E666" s="604"/>
      <c r="F666" s="604"/>
      <c r="G666" s="604"/>
      <c r="H666" s="604"/>
      <c r="I666" s="604"/>
      <c r="J666" s="604"/>
      <c r="K666" s="604"/>
      <c r="L666" s="604"/>
      <c r="M666" s="604"/>
      <c r="N666" s="608"/>
      <c r="O666" s="631"/>
      <c r="P666" s="688"/>
    </row>
    <row r="667" spans="1:16" ht="15" customHeight="1" x14ac:dyDescent="0.3">
      <c r="A667" s="603"/>
      <c r="B667" s="604"/>
      <c r="C667" s="604"/>
      <c r="D667" s="604"/>
      <c r="E667" s="604"/>
      <c r="F667" s="604"/>
      <c r="G667" s="604"/>
      <c r="H667" s="604"/>
      <c r="I667" s="604"/>
      <c r="J667" s="604"/>
      <c r="K667" s="604"/>
      <c r="L667" s="604"/>
      <c r="M667" s="604"/>
      <c r="N667" s="608"/>
      <c r="O667" s="631"/>
      <c r="P667" s="688"/>
    </row>
    <row r="668" spans="1:16" ht="15" customHeight="1" x14ac:dyDescent="0.3">
      <c r="A668" s="603"/>
      <c r="B668" s="604"/>
      <c r="C668" s="604"/>
      <c r="D668" s="604"/>
      <c r="E668" s="604"/>
      <c r="F668" s="604"/>
      <c r="G668" s="604"/>
      <c r="H668" s="604"/>
      <c r="I668" s="604"/>
      <c r="J668" s="604"/>
      <c r="K668" s="604"/>
      <c r="L668" s="604"/>
      <c r="M668" s="604"/>
      <c r="N668" s="608"/>
      <c r="O668" s="631"/>
      <c r="P668" s="688"/>
    </row>
    <row r="669" spans="1:16" ht="15" customHeight="1" x14ac:dyDescent="0.3">
      <c r="A669" s="603"/>
      <c r="B669" s="604"/>
      <c r="C669" s="604"/>
      <c r="D669" s="604"/>
      <c r="E669" s="604"/>
      <c r="F669" s="604"/>
      <c r="G669" s="604"/>
      <c r="H669" s="604"/>
      <c r="I669" s="604"/>
      <c r="J669" s="604"/>
      <c r="K669" s="604"/>
      <c r="L669" s="604"/>
      <c r="M669" s="604"/>
      <c r="N669" s="608"/>
      <c r="O669" s="631"/>
      <c r="P669" s="688"/>
    </row>
    <row r="670" spans="1:16" ht="15" customHeight="1" x14ac:dyDescent="0.3">
      <c r="A670" s="603"/>
      <c r="B670" s="604"/>
      <c r="C670" s="604"/>
      <c r="D670" s="604"/>
      <c r="E670" s="604"/>
      <c r="F670" s="604"/>
      <c r="G670" s="604"/>
      <c r="H670" s="604"/>
      <c r="I670" s="604"/>
      <c r="J670" s="604"/>
      <c r="K670" s="604"/>
      <c r="L670" s="604"/>
      <c r="M670" s="604"/>
      <c r="N670" s="608"/>
      <c r="O670" s="631"/>
      <c r="P670" s="688"/>
    </row>
    <row r="671" spans="1:16" ht="15" customHeight="1" x14ac:dyDescent="0.3">
      <c r="A671" s="603"/>
      <c r="B671" s="604"/>
      <c r="C671" s="604"/>
      <c r="D671" s="604"/>
      <c r="E671" s="604"/>
      <c r="F671" s="604"/>
      <c r="G671" s="604"/>
      <c r="H671" s="604"/>
      <c r="I671" s="604"/>
      <c r="J671" s="604"/>
      <c r="K671" s="604"/>
      <c r="L671" s="604"/>
      <c r="M671" s="604"/>
      <c r="N671" s="609"/>
      <c r="O671" s="631"/>
      <c r="P671" s="689"/>
    </row>
    <row r="672" spans="1:16" ht="15" customHeight="1" x14ac:dyDescent="0.3">
      <c r="A672" s="603">
        <v>30</v>
      </c>
      <c r="B672" s="606"/>
      <c r="C672" s="606"/>
      <c r="D672" s="606"/>
      <c r="E672" s="606"/>
      <c r="F672" s="606"/>
      <c r="G672" s="606"/>
      <c r="H672" s="606"/>
      <c r="I672" s="606"/>
      <c r="J672" s="606"/>
      <c r="K672" s="606"/>
      <c r="L672" s="606"/>
      <c r="M672" s="606"/>
      <c r="N672" s="607" t="s">
        <v>213</v>
      </c>
      <c r="O672" s="631" t="str">
        <f>VLOOKUP(A672,'LISTA DE OFERENTES'!$A$6:$B$38,2,FALSE)</f>
        <v>CONSORCIO PARQUES INLF</v>
      </c>
      <c r="P672" s="691"/>
    </row>
    <row r="673" spans="1:16" ht="15" customHeight="1" x14ac:dyDescent="0.3">
      <c r="A673" s="603"/>
      <c r="B673" s="606"/>
      <c r="C673" s="606"/>
      <c r="D673" s="606"/>
      <c r="E673" s="606"/>
      <c r="F673" s="606"/>
      <c r="G673" s="606"/>
      <c r="H673" s="606"/>
      <c r="I673" s="606"/>
      <c r="J673" s="606"/>
      <c r="K673" s="606"/>
      <c r="L673" s="606"/>
      <c r="M673" s="606"/>
      <c r="N673" s="608"/>
      <c r="O673" s="631"/>
      <c r="P673" s="692"/>
    </row>
    <row r="674" spans="1:16" ht="15" customHeight="1" x14ac:dyDescent="0.3">
      <c r="A674" s="603"/>
      <c r="B674" s="606"/>
      <c r="C674" s="606"/>
      <c r="D674" s="606"/>
      <c r="E674" s="606"/>
      <c r="F674" s="606"/>
      <c r="G674" s="606"/>
      <c r="H674" s="606"/>
      <c r="I674" s="606"/>
      <c r="J674" s="606"/>
      <c r="K674" s="606"/>
      <c r="L674" s="606"/>
      <c r="M674" s="606"/>
      <c r="N674" s="608"/>
      <c r="O674" s="631"/>
      <c r="P674" s="692"/>
    </row>
    <row r="675" spans="1:16" ht="15" customHeight="1" x14ac:dyDescent="0.3">
      <c r="A675" s="603"/>
      <c r="B675" s="606"/>
      <c r="C675" s="606"/>
      <c r="D675" s="606"/>
      <c r="E675" s="606"/>
      <c r="F675" s="606"/>
      <c r="G675" s="606"/>
      <c r="H675" s="606"/>
      <c r="I675" s="606"/>
      <c r="J675" s="606"/>
      <c r="K675" s="606"/>
      <c r="L675" s="606"/>
      <c r="M675" s="606"/>
      <c r="N675" s="608"/>
      <c r="O675" s="631"/>
      <c r="P675" s="692"/>
    </row>
    <row r="676" spans="1:16" ht="15" customHeight="1" x14ac:dyDescent="0.3">
      <c r="A676" s="603"/>
      <c r="B676" s="606"/>
      <c r="C676" s="606"/>
      <c r="D676" s="606"/>
      <c r="E676" s="606"/>
      <c r="F676" s="606"/>
      <c r="G676" s="606"/>
      <c r="H676" s="606"/>
      <c r="I676" s="606"/>
      <c r="J676" s="606"/>
      <c r="K676" s="606"/>
      <c r="L676" s="606"/>
      <c r="M676" s="606"/>
      <c r="N676" s="608"/>
      <c r="O676" s="631"/>
      <c r="P676" s="692"/>
    </row>
    <row r="677" spans="1:16" ht="15" customHeight="1" x14ac:dyDescent="0.3">
      <c r="A677" s="603"/>
      <c r="B677" s="606"/>
      <c r="C677" s="606"/>
      <c r="D677" s="606"/>
      <c r="E677" s="606"/>
      <c r="F677" s="606"/>
      <c r="G677" s="606"/>
      <c r="H677" s="606"/>
      <c r="I677" s="606"/>
      <c r="J677" s="606"/>
      <c r="K677" s="606"/>
      <c r="L677" s="606"/>
      <c r="M677" s="606"/>
      <c r="N677" s="608"/>
      <c r="O677" s="631"/>
      <c r="P677" s="692"/>
    </row>
    <row r="678" spans="1:16" ht="15" customHeight="1" x14ac:dyDescent="0.3">
      <c r="A678" s="603"/>
      <c r="B678" s="606"/>
      <c r="C678" s="606"/>
      <c r="D678" s="606"/>
      <c r="E678" s="606"/>
      <c r="F678" s="606"/>
      <c r="G678" s="606"/>
      <c r="H678" s="606"/>
      <c r="I678" s="606"/>
      <c r="J678" s="606"/>
      <c r="K678" s="606"/>
      <c r="L678" s="606"/>
      <c r="M678" s="606"/>
      <c r="N678" s="608"/>
      <c r="O678" s="631"/>
      <c r="P678" s="692"/>
    </row>
    <row r="679" spans="1:16" ht="15" customHeight="1" x14ac:dyDescent="0.3">
      <c r="A679" s="603"/>
      <c r="B679" s="606"/>
      <c r="C679" s="606"/>
      <c r="D679" s="606"/>
      <c r="E679" s="606"/>
      <c r="F679" s="606"/>
      <c r="G679" s="606"/>
      <c r="H679" s="606"/>
      <c r="I679" s="606"/>
      <c r="J679" s="606"/>
      <c r="K679" s="606"/>
      <c r="L679" s="606"/>
      <c r="M679" s="606"/>
      <c r="N679" s="608"/>
      <c r="O679" s="631"/>
      <c r="P679" s="692"/>
    </row>
    <row r="680" spans="1:16" ht="15" customHeight="1" x14ac:dyDescent="0.3">
      <c r="A680" s="603"/>
      <c r="B680" s="606"/>
      <c r="C680" s="606"/>
      <c r="D680" s="606"/>
      <c r="E680" s="606"/>
      <c r="F680" s="606"/>
      <c r="G680" s="606"/>
      <c r="H680" s="606"/>
      <c r="I680" s="606"/>
      <c r="J680" s="606"/>
      <c r="K680" s="606"/>
      <c r="L680" s="606"/>
      <c r="M680" s="606"/>
      <c r="N680" s="608"/>
      <c r="O680" s="631"/>
      <c r="P680" s="692"/>
    </row>
    <row r="681" spans="1:16" ht="15" customHeight="1" x14ac:dyDescent="0.3">
      <c r="A681" s="603"/>
      <c r="B681" s="606"/>
      <c r="C681" s="606"/>
      <c r="D681" s="606"/>
      <c r="E681" s="606"/>
      <c r="F681" s="606"/>
      <c r="G681" s="606"/>
      <c r="H681" s="606"/>
      <c r="I681" s="606"/>
      <c r="J681" s="606"/>
      <c r="K681" s="606"/>
      <c r="L681" s="606"/>
      <c r="M681" s="606"/>
      <c r="N681" s="608"/>
      <c r="O681" s="631"/>
      <c r="P681" s="692"/>
    </row>
    <row r="682" spans="1:16" ht="15" customHeight="1" x14ac:dyDescent="0.3">
      <c r="A682" s="603"/>
      <c r="B682" s="606"/>
      <c r="C682" s="606"/>
      <c r="D682" s="606"/>
      <c r="E682" s="606"/>
      <c r="F682" s="606"/>
      <c r="G682" s="606"/>
      <c r="H682" s="606"/>
      <c r="I682" s="606"/>
      <c r="J682" s="606"/>
      <c r="K682" s="606"/>
      <c r="L682" s="606"/>
      <c r="M682" s="606"/>
      <c r="N682" s="608"/>
      <c r="O682" s="631"/>
      <c r="P682" s="692"/>
    </row>
    <row r="683" spans="1:16" ht="15" customHeight="1" x14ac:dyDescent="0.3">
      <c r="A683" s="603"/>
      <c r="B683" s="606"/>
      <c r="C683" s="606"/>
      <c r="D683" s="606"/>
      <c r="E683" s="606"/>
      <c r="F683" s="606"/>
      <c r="G683" s="606"/>
      <c r="H683" s="606"/>
      <c r="I683" s="606"/>
      <c r="J683" s="606"/>
      <c r="K683" s="606"/>
      <c r="L683" s="606"/>
      <c r="M683" s="606"/>
      <c r="N683" s="608"/>
      <c r="O683" s="631"/>
      <c r="P683" s="692"/>
    </row>
    <row r="684" spans="1:16" ht="15" customHeight="1" x14ac:dyDescent="0.3">
      <c r="A684" s="603"/>
      <c r="B684" s="606"/>
      <c r="C684" s="606"/>
      <c r="D684" s="606"/>
      <c r="E684" s="606"/>
      <c r="F684" s="606"/>
      <c r="G684" s="606"/>
      <c r="H684" s="606"/>
      <c r="I684" s="606"/>
      <c r="J684" s="606"/>
      <c r="K684" s="606"/>
      <c r="L684" s="606"/>
      <c r="M684" s="606"/>
      <c r="N684" s="608"/>
      <c r="O684" s="631"/>
      <c r="P684" s="692"/>
    </row>
    <row r="685" spans="1:16" ht="15" customHeight="1" x14ac:dyDescent="0.3">
      <c r="A685" s="603"/>
      <c r="B685" s="606"/>
      <c r="C685" s="606"/>
      <c r="D685" s="606"/>
      <c r="E685" s="606"/>
      <c r="F685" s="606"/>
      <c r="G685" s="606"/>
      <c r="H685" s="606"/>
      <c r="I685" s="606"/>
      <c r="J685" s="606"/>
      <c r="K685" s="606"/>
      <c r="L685" s="606"/>
      <c r="M685" s="606"/>
      <c r="N685" s="608"/>
      <c r="O685" s="631"/>
      <c r="P685" s="692"/>
    </row>
    <row r="686" spans="1:16" ht="15" customHeight="1" x14ac:dyDescent="0.3">
      <c r="A686" s="603"/>
      <c r="B686" s="606"/>
      <c r="C686" s="606"/>
      <c r="D686" s="606"/>
      <c r="E686" s="606"/>
      <c r="F686" s="606"/>
      <c r="G686" s="606"/>
      <c r="H686" s="606"/>
      <c r="I686" s="606"/>
      <c r="J686" s="606"/>
      <c r="K686" s="606"/>
      <c r="L686" s="606"/>
      <c r="M686" s="606"/>
      <c r="N686" s="608"/>
      <c r="O686" s="631"/>
      <c r="P686" s="692"/>
    </row>
    <row r="687" spans="1:16" ht="15" customHeight="1" x14ac:dyDescent="0.3">
      <c r="A687" s="603"/>
      <c r="B687" s="606"/>
      <c r="C687" s="606"/>
      <c r="D687" s="606"/>
      <c r="E687" s="606"/>
      <c r="F687" s="606"/>
      <c r="G687" s="606"/>
      <c r="H687" s="606"/>
      <c r="I687" s="606"/>
      <c r="J687" s="606"/>
      <c r="K687" s="606"/>
      <c r="L687" s="606"/>
      <c r="M687" s="606"/>
      <c r="N687" s="608"/>
      <c r="O687" s="631"/>
      <c r="P687" s="692"/>
    </row>
    <row r="688" spans="1:16" ht="15" customHeight="1" x14ac:dyDescent="0.3">
      <c r="A688" s="603"/>
      <c r="B688" s="606"/>
      <c r="C688" s="606"/>
      <c r="D688" s="606"/>
      <c r="E688" s="606"/>
      <c r="F688" s="606"/>
      <c r="G688" s="606"/>
      <c r="H688" s="606"/>
      <c r="I688" s="606"/>
      <c r="J688" s="606"/>
      <c r="K688" s="606"/>
      <c r="L688" s="606"/>
      <c r="M688" s="606"/>
      <c r="N688" s="608"/>
      <c r="O688" s="631"/>
      <c r="P688" s="692"/>
    </row>
    <row r="689" spans="1:16" ht="15" customHeight="1" x14ac:dyDescent="0.3">
      <c r="A689" s="603"/>
      <c r="B689" s="606"/>
      <c r="C689" s="606"/>
      <c r="D689" s="606"/>
      <c r="E689" s="606"/>
      <c r="F689" s="606"/>
      <c r="G689" s="606"/>
      <c r="H689" s="606"/>
      <c r="I689" s="606"/>
      <c r="J689" s="606"/>
      <c r="K689" s="606"/>
      <c r="L689" s="606"/>
      <c r="M689" s="606"/>
      <c r="N689" s="608"/>
      <c r="O689" s="631"/>
      <c r="P689" s="692"/>
    </row>
    <row r="690" spans="1:16" ht="15" customHeight="1" x14ac:dyDescent="0.3">
      <c r="A690" s="603"/>
      <c r="B690" s="606"/>
      <c r="C690" s="606"/>
      <c r="D690" s="606"/>
      <c r="E690" s="606"/>
      <c r="F690" s="606"/>
      <c r="G690" s="606"/>
      <c r="H690" s="606"/>
      <c r="I690" s="606"/>
      <c r="J690" s="606"/>
      <c r="K690" s="606"/>
      <c r="L690" s="606"/>
      <c r="M690" s="606"/>
      <c r="N690" s="608"/>
      <c r="O690" s="631"/>
      <c r="P690" s="692"/>
    </row>
    <row r="691" spans="1:16" ht="15" customHeight="1" x14ac:dyDescent="0.3">
      <c r="A691" s="603"/>
      <c r="B691" s="606"/>
      <c r="C691" s="606"/>
      <c r="D691" s="606"/>
      <c r="E691" s="606"/>
      <c r="F691" s="606"/>
      <c r="G691" s="606"/>
      <c r="H691" s="606"/>
      <c r="I691" s="606"/>
      <c r="J691" s="606"/>
      <c r="K691" s="606"/>
      <c r="L691" s="606"/>
      <c r="M691" s="606"/>
      <c r="N691" s="608"/>
      <c r="O691" s="631"/>
      <c r="P691" s="692"/>
    </row>
    <row r="692" spans="1:16" ht="15" customHeight="1" x14ac:dyDescent="0.3">
      <c r="A692" s="603"/>
      <c r="B692" s="606"/>
      <c r="C692" s="606"/>
      <c r="D692" s="606"/>
      <c r="E692" s="606"/>
      <c r="F692" s="606"/>
      <c r="G692" s="606"/>
      <c r="H692" s="606"/>
      <c r="I692" s="606"/>
      <c r="J692" s="606"/>
      <c r="K692" s="606"/>
      <c r="L692" s="606"/>
      <c r="M692" s="606"/>
      <c r="N692" s="608"/>
      <c r="O692" s="631"/>
      <c r="P692" s="692"/>
    </row>
    <row r="693" spans="1:16" ht="15" customHeight="1" x14ac:dyDescent="0.3">
      <c r="A693" s="603"/>
      <c r="B693" s="606"/>
      <c r="C693" s="606"/>
      <c r="D693" s="606"/>
      <c r="E693" s="606"/>
      <c r="F693" s="606"/>
      <c r="G693" s="606"/>
      <c r="H693" s="606"/>
      <c r="I693" s="606"/>
      <c r="J693" s="606"/>
      <c r="K693" s="606"/>
      <c r="L693" s="606"/>
      <c r="M693" s="606"/>
      <c r="N693" s="608"/>
      <c r="O693" s="631"/>
      <c r="P693" s="692"/>
    </row>
    <row r="694" spans="1:16" ht="15" customHeight="1" x14ac:dyDescent="0.3">
      <c r="A694" s="603"/>
      <c r="B694" s="606"/>
      <c r="C694" s="606"/>
      <c r="D694" s="606"/>
      <c r="E694" s="606"/>
      <c r="F694" s="606"/>
      <c r="G694" s="606"/>
      <c r="H694" s="606"/>
      <c r="I694" s="606"/>
      <c r="J694" s="606"/>
      <c r="K694" s="606"/>
      <c r="L694" s="606"/>
      <c r="M694" s="606"/>
      <c r="N694" s="608"/>
      <c r="O694" s="631"/>
      <c r="P694" s="693"/>
    </row>
    <row r="695" spans="1:16" ht="15" customHeight="1" x14ac:dyDescent="0.3">
      <c r="A695" s="603">
        <v>31</v>
      </c>
      <c r="B695" s="665"/>
      <c r="C695" s="665"/>
      <c r="D695" s="665"/>
      <c r="E695" s="665"/>
      <c r="F695" s="665"/>
      <c r="G695" s="665"/>
      <c r="H695" s="665"/>
      <c r="I695" s="665"/>
      <c r="J695" s="665"/>
      <c r="K695" s="665"/>
      <c r="L695" s="665"/>
      <c r="M695" s="666"/>
      <c r="N695" s="668" t="s">
        <v>213</v>
      </c>
      <c r="O695" s="667" t="str">
        <f>VLOOKUP(A695,'LISTA DE OFERENTES'!$A$6:$B$38,2,FALSE)</f>
        <v>CONSORCIO CONSTRUC. PARQUE TUNAL II</v>
      </c>
      <c r="P695" s="684"/>
    </row>
    <row r="696" spans="1:16" ht="15" customHeight="1" x14ac:dyDescent="0.3">
      <c r="A696" s="603"/>
      <c r="B696" s="665"/>
      <c r="C696" s="665"/>
      <c r="D696" s="665"/>
      <c r="E696" s="665"/>
      <c r="F696" s="665"/>
      <c r="G696" s="665"/>
      <c r="H696" s="665"/>
      <c r="I696" s="665"/>
      <c r="J696" s="665"/>
      <c r="K696" s="665"/>
      <c r="L696" s="665"/>
      <c r="M696" s="666"/>
      <c r="N696" s="669"/>
      <c r="O696" s="667"/>
      <c r="P696" s="682"/>
    </row>
    <row r="697" spans="1:16" ht="15" customHeight="1" x14ac:dyDescent="0.3">
      <c r="A697" s="603"/>
      <c r="B697" s="665"/>
      <c r="C697" s="665"/>
      <c r="D697" s="665"/>
      <c r="E697" s="665"/>
      <c r="F697" s="665"/>
      <c r="G697" s="665"/>
      <c r="H697" s="665"/>
      <c r="I697" s="665"/>
      <c r="J697" s="665"/>
      <c r="K697" s="665"/>
      <c r="L697" s="665"/>
      <c r="M697" s="666"/>
      <c r="N697" s="669"/>
      <c r="O697" s="667"/>
      <c r="P697" s="682"/>
    </row>
    <row r="698" spans="1:16" ht="15" customHeight="1" x14ac:dyDescent="0.3">
      <c r="A698" s="603"/>
      <c r="B698" s="665"/>
      <c r="C698" s="665"/>
      <c r="D698" s="665"/>
      <c r="E698" s="665"/>
      <c r="F698" s="665"/>
      <c r="G698" s="665"/>
      <c r="H698" s="665"/>
      <c r="I698" s="665"/>
      <c r="J698" s="665"/>
      <c r="K698" s="665"/>
      <c r="L698" s="665"/>
      <c r="M698" s="666"/>
      <c r="N698" s="669"/>
      <c r="O698" s="667"/>
      <c r="P698" s="682"/>
    </row>
    <row r="699" spans="1:16" ht="15" customHeight="1" x14ac:dyDescent="0.3">
      <c r="A699" s="603"/>
      <c r="B699" s="665"/>
      <c r="C699" s="665"/>
      <c r="D699" s="665"/>
      <c r="E699" s="665"/>
      <c r="F699" s="665"/>
      <c r="G699" s="665"/>
      <c r="H699" s="665"/>
      <c r="I699" s="665"/>
      <c r="J699" s="665"/>
      <c r="K699" s="665"/>
      <c r="L699" s="665"/>
      <c r="M699" s="666"/>
      <c r="N699" s="669"/>
      <c r="O699" s="667"/>
      <c r="P699" s="682"/>
    </row>
    <row r="700" spans="1:16" ht="15" customHeight="1" x14ac:dyDescent="0.3">
      <c r="A700" s="603"/>
      <c r="B700" s="665"/>
      <c r="C700" s="665"/>
      <c r="D700" s="665"/>
      <c r="E700" s="665"/>
      <c r="F700" s="665"/>
      <c r="G700" s="665"/>
      <c r="H700" s="665"/>
      <c r="I700" s="665"/>
      <c r="J700" s="665"/>
      <c r="K700" s="665"/>
      <c r="L700" s="665"/>
      <c r="M700" s="666"/>
      <c r="N700" s="669"/>
      <c r="O700" s="667"/>
      <c r="P700" s="682"/>
    </row>
    <row r="701" spans="1:16" ht="15" customHeight="1" x14ac:dyDescent="0.3">
      <c r="A701" s="603"/>
      <c r="B701" s="665"/>
      <c r="C701" s="665"/>
      <c r="D701" s="665"/>
      <c r="E701" s="665"/>
      <c r="F701" s="665"/>
      <c r="G701" s="665"/>
      <c r="H701" s="665"/>
      <c r="I701" s="665"/>
      <c r="J701" s="665"/>
      <c r="K701" s="665"/>
      <c r="L701" s="665"/>
      <c r="M701" s="666"/>
      <c r="N701" s="669"/>
      <c r="O701" s="667"/>
      <c r="P701" s="682"/>
    </row>
    <row r="702" spans="1:16" ht="15" customHeight="1" x14ac:dyDescent="0.3">
      <c r="A702" s="603"/>
      <c r="B702" s="665"/>
      <c r="C702" s="665"/>
      <c r="D702" s="665"/>
      <c r="E702" s="665"/>
      <c r="F702" s="665"/>
      <c r="G702" s="665"/>
      <c r="H702" s="665"/>
      <c r="I702" s="665"/>
      <c r="J702" s="665"/>
      <c r="K702" s="665"/>
      <c r="L702" s="665"/>
      <c r="M702" s="666"/>
      <c r="N702" s="669"/>
      <c r="O702" s="667"/>
      <c r="P702" s="682"/>
    </row>
    <row r="703" spans="1:16" ht="15" customHeight="1" x14ac:dyDescent="0.3">
      <c r="A703" s="603"/>
      <c r="B703" s="665"/>
      <c r="C703" s="665"/>
      <c r="D703" s="665"/>
      <c r="E703" s="665"/>
      <c r="F703" s="665"/>
      <c r="G703" s="665"/>
      <c r="H703" s="665"/>
      <c r="I703" s="665"/>
      <c r="J703" s="665"/>
      <c r="K703" s="665"/>
      <c r="L703" s="665"/>
      <c r="M703" s="666"/>
      <c r="N703" s="669"/>
      <c r="O703" s="667"/>
      <c r="P703" s="682"/>
    </row>
    <row r="704" spans="1:16" ht="15" customHeight="1" x14ac:dyDescent="0.3">
      <c r="A704" s="603"/>
      <c r="B704" s="665"/>
      <c r="C704" s="665"/>
      <c r="D704" s="665"/>
      <c r="E704" s="665"/>
      <c r="F704" s="665"/>
      <c r="G704" s="665"/>
      <c r="H704" s="665"/>
      <c r="I704" s="665"/>
      <c r="J704" s="665"/>
      <c r="K704" s="665"/>
      <c r="L704" s="665"/>
      <c r="M704" s="666"/>
      <c r="N704" s="669"/>
      <c r="O704" s="667"/>
      <c r="P704" s="682"/>
    </row>
    <row r="705" spans="1:16" ht="15" customHeight="1" x14ac:dyDescent="0.3">
      <c r="A705" s="603"/>
      <c r="B705" s="665"/>
      <c r="C705" s="665"/>
      <c r="D705" s="665"/>
      <c r="E705" s="665"/>
      <c r="F705" s="665"/>
      <c r="G705" s="665"/>
      <c r="H705" s="665"/>
      <c r="I705" s="665"/>
      <c r="J705" s="665"/>
      <c r="K705" s="665"/>
      <c r="L705" s="665"/>
      <c r="M705" s="666"/>
      <c r="N705" s="669"/>
      <c r="O705" s="667"/>
      <c r="P705" s="682"/>
    </row>
    <row r="706" spans="1:16" ht="15" customHeight="1" x14ac:dyDescent="0.3">
      <c r="A706" s="603"/>
      <c r="B706" s="665"/>
      <c r="C706" s="665"/>
      <c r="D706" s="665"/>
      <c r="E706" s="665"/>
      <c r="F706" s="665"/>
      <c r="G706" s="665"/>
      <c r="H706" s="665"/>
      <c r="I706" s="665"/>
      <c r="J706" s="665"/>
      <c r="K706" s="665"/>
      <c r="L706" s="665"/>
      <c r="M706" s="666"/>
      <c r="N706" s="669"/>
      <c r="O706" s="667"/>
      <c r="P706" s="682"/>
    </row>
    <row r="707" spans="1:16" ht="15" customHeight="1" x14ac:dyDescent="0.3">
      <c r="A707" s="603"/>
      <c r="B707" s="665"/>
      <c r="C707" s="665"/>
      <c r="D707" s="665"/>
      <c r="E707" s="665"/>
      <c r="F707" s="665"/>
      <c r="G707" s="665"/>
      <c r="H707" s="665"/>
      <c r="I707" s="665"/>
      <c r="J707" s="665"/>
      <c r="K707" s="665"/>
      <c r="L707" s="665"/>
      <c r="M707" s="666"/>
      <c r="N707" s="669"/>
      <c r="O707" s="667"/>
      <c r="P707" s="682"/>
    </row>
    <row r="708" spans="1:16" ht="15" customHeight="1" x14ac:dyDescent="0.3">
      <c r="A708" s="603"/>
      <c r="B708" s="665"/>
      <c r="C708" s="665"/>
      <c r="D708" s="665"/>
      <c r="E708" s="665"/>
      <c r="F708" s="665"/>
      <c r="G708" s="665"/>
      <c r="H708" s="665"/>
      <c r="I708" s="665"/>
      <c r="J708" s="665"/>
      <c r="K708" s="665"/>
      <c r="L708" s="665"/>
      <c r="M708" s="666"/>
      <c r="N708" s="669"/>
      <c r="O708" s="667"/>
      <c r="P708" s="682"/>
    </row>
    <row r="709" spans="1:16" ht="15" customHeight="1" x14ac:dyDescent="0.3">
      <c r="A709" s="603"/>
      <c r="B709" s="665"/>
      <c r="C709" s="665"/>
      <c r="D709" s="665"/>
      <c r="E709" s="665"/>
      <c r="F709" s="665"/>
      <c r="G709" s="665"/>
      <c r="H709" s="665"/>
      <c r="I709" s="665"/>
      <c r="J709" s="665"/>
      <c r="K709" s="665"/>
      <c r="L709" s="665"/>
      <c r="M709" s="666"/>
      <c r="N709" s="669"/>
      <c r="O709" s="667"/>
      <c r="P709" s="682"/>
    </row>
    <row r="710" spans="1:16" ht="15" customHeight="1" x14ac:dyDescent="0.3">
      <c r="A710" s="603"/>
      <c r="B710" s="665"/>
      <c r="C710" s="665"/>
      <c r="D710" s="665"/>
      <c r="E710" s="665"/>
      <c r="F710" s="665"/>
      <c r="G710" s="665"/>
      <c r="H710" s="665"/>
      <c r="I710" s="665"/>
      <c r="J710" s="665"/>
      <c r="K710" s="665"/>
      <c r="L710" s="665"/>
      <c r="M710" s="666"/>
      <c r="N710" s="669"/>
      <c r="O710" s="667"/>
      <c r="P710" s="682"/>
    </row>
    <row r="711" spans="1:16" ht="15" customHeight="1" x14ac:dyDescent="0.3">
      <c r="A711" s="603"/>
      <c r="B711" s="665"/>
      <c r="C711" s="665"/>
      <c r="D711" s="665"/>
      <c r="E711" s="665"/>
      <c r="F711" s="665"/>
      <c r="G711" s="665"/>
      <c r="H711" s="665"/>
      <c r="I711" s="665"/>
      <c r="J711" s="665"/>
      <c r="K711" s="665"/>
      <c r="L711" s="665"/>
      <c r="M711" s="666"/>
      <c r="N711" s="669"/>
      <c r="O711" s="667"/>
      <c r="P711" s="682"/>
    </row>
    <row r="712" spans="1:16" ht="15" customHeight="1" x14ac:dyDescent="0.3">
      <c r="A712" s="603"/>
      <c r="B712" s="665"/>
      <c r="C712" s="665"/>
      <c r="D712" s="665"/>
      <c r="E712" s="665"/>
      <c r="F712" s="665"/>
      <c r="G712" s="665"/>
      <c r="H712" s="665"/>
      <c r="I712" s="665"/>
      <c r="J712" s="665"/>
      <c r="K712" s="665"/>
      <c r="L712" s="665"/>
      <c r="M712" s="666"/>
      <c r="N712" s="669"/>
      <c r="O712" s="667"/>
      <c r="P712" s="682"/>
    </row>
    <row r="713" spans="1:16" ht="15" customHeight="1" x14ac:dyDescent="0.3">
      <c r="A713" s="603"/>
      <c r="B713" s="665"/>
      <c r="C713" s="665"/>
      <c r="D713" s="665"/>
      <c r="E713" s="665"/>
      <c r="F713" s="665"/>
      <c r="G713" s="665"/>
      <c r="H713" s="665"/>
      <c r="I713" s="665"/>
      <c r="J713" s="665"/>
      <c r="K713" s="665"/>
      <c r="L713" s="665"/>
      <c r="M713" s="666"/>
      <c r="N713" s="669"/>
      <c r="O713" s="667"/>
      <c r="P713" s="682"/>
    </row>
    <row r="714" spans="1:16" ht="15" customHeight="1" x14ac:dyDescent="0.3">
      <c r="A714" s="603"/>
      <c r="B714" s="665"/>
      <c r="C714" s="665"/>
      <c r="D714" s="665"/>
      <c r="E714" s="665"/>
      <c r="F714" s="665"/>
      <c r="G714" s="665"/>
      <c r="H714" s="665"/>
      <c r="I714" s="665"/>
      <c r="J714" s="665"/>
      <c r="K714" s="665"/>
      <c r="L714" s="665"/>
      <c r="M714" s="666"/>
      <c r="N714" s="669"/>
      <c r="O714" s="667"/>
      <c r="P714" s="682"/>
    </row>
    <row r="715" spans="1:16" ht="15" customHeight="1" x14ac:dyDescent="0.3">
      <c r="A715" s="603"/>
      <c r="B715" s="665"/>
      <c r="C715" s="665"/>
      <c r="D715" s="665"/>
      <c r="E715" s="665"/>
      <c r="F715" s="665"/>
      <c r="G715" s="665"/>
      <c r="H715" s="665"/>
      <c r="I715" s="665"/>
      <c r="J715" s="665"/>
      <c r="K715" s="665"/>
      <c r="L715" s="665"/>
      <c r="M715" s="666"/>
      <c r="N715" s="669"/>
      <c r="O715" s="667"/>
      <c r="P715" s="682"/>
    </row>
    <row r="716" spans="1:16" ht="15" customHeight="1" x14ac:dyDescent="0.3">
      <c r="A716" s="603"/>
      <c r="B716" s="665"/>
      <c r="C716" s="665"/>
      <c r="D716" s="665"/>
      <c r="E716" s="665"/>
      <c r="F716" s="665"/>
      <c r="G716" s="665"/>
      <c r="H716" s="665"/>
      <c r="I716" s="665"/>
      <c r="J716" s="665"/>
      <c r="K716" s="665"/>
      <c r="L716" s="665"/>
      <c r="M716" s="666"/>
      <c r="N716" s="669"/>
      <c r="O716" s="667"/>
      <c r="P716" s="682"/>
    </row>
    <row r="717" spans="1:16" ht="15" customHeight="1" x14ac:dyDescent="0.3">
      <c r="A717" s="603"/>
      <c r="B717" s="665"/>
      <c r="C717" s="665"/>
      <c r="D717" s="665"/>
      <c r="E717" s="665"/>
      <c r="F717" s="665"/>
      <c r="G717" s="665"/>
      <c r="H717" s="665"/>
      <c r="I717" s="665"/>
      <c r="J717" s="665"/>
      <c r="K717" s="665"/>
      <c r="L717" s="665"/>
      <c r="M717" s="666"/>
      <c r="N717" s="670"/>
      <c r="O717" s="667"/>
      <c r="P717" s="683"/>
    </row>
    <row r="718" spans="1:16" ht="15" customHeight="1" x14ac:dyDescent="0.3">
      <c r="A718" s="603">
        <v>32</v>
      </c>
      <c r="B718" s="606"/>
      <c r="C718" s="606"/>
      <c r="D718" s="606"/>
      <c r="E718" s="606"/>
      <c r="F718" s="606"/>
      <c r="G718" s="606"/>
      <c r="H718" s="606"/>
      <c r="I718" s="606"/>
      <c r="J718" s="606"/>
      <c r="K718" s="606"/>
      <c r="L718" s="606"/>
      <c r="M718" s="606"/>
      <c r="N718" s="608" t="s">
        <v>213</v>
      </c>
      <c r="O718" s="631" t="str">
        <f>VLOOKUP(A718,'LISTA DE OFERENTES'!$A$6:$B$38,2,FALSE)</f>
        <v>CONSORCIO TUNALITO</v>
      </c>
      <c r="P718" s="684"/>
    </row>
    <row r="719" spans="1:16" ht="15" customHeight="1" x14ac:dyDescent="0.3">
      <c r="A719" s="603"/>
      <c r="B719" s="606"/>
      <c r="C719" s="606"/>
      <c r="D719" s="606"/>
      <c r="E719" s="606"/>
      <c r="F719" s="606"/>
      <c r="G719" s="606"/>
      <c r="H719" s="606"/>
      <c r="I719" s="606"/>
      <c r="J719" s="606"/>
      <c r="K719" s="606"/>
      <c r="L719" s="606"/>
      <c r="M719" s="606"/>
      <c r="N719" s="608"/>
      <c r="O719" s="631"/>
      <c r="P719" s="682"/>
    </row>
    <row r="720" spans="1:16" ht="15" customHeight="1" x14ac:dyDescent="0.3">
      <c r="A720" s="603"/>
      <c r="B720" s="606"/>
      <c r="C720" s="606"/>
      <c r="D720" s="606"/>
      <c r="E720" s="606"/>
      <c r="F720" s="606"/>
      <c r="G720" s="606"/>
      <c r="H720" s="606"/>
      <c r="I720" s="606"/>
      <c r="J720" s="606"/>
      <c r="K720" s="606"/>
      <c r="L720" s="606"/>
      <c r="M720" s="606"/>
      <c r="N720" s="608"/>
      <c r="O720" s="631"/>
      <c r="P720" s="682"/>
    </row>
    <row r="721" spans="1:16" ht="15" customHeight="1" x14ac:dyDescent="0.3">
      <c r="A721" s="603"/>
      <c r="B721" s="606"/>
      <c r="C721" s="606"/>
      <c r="D721" s="606"/>
      <c r="E721" s="606"/>
      <c r="F721" s="606"/>
      <c r="G721" s="606"/>
      <c r="H721" s="606"/>
      <c r="I721" s="606"/>
      <c r="J721" s="606"/>
      <c r="K721" s="606"/>
      <c r="L721" s="606"/>
      <c r="M721" s="606"/>
      <c r="N721" s="608"/>
      <c r="O721" s="631"/>
      <c r="P721" s="682"/>
    </row>
    <row r="722" spans="1:16" ht="15" customHeight="1" x14ac:dyDescent="0.3">
      <c r="A722" s="603"/>
      <c r="B722" s="606"/>
      <c r="C722" s="606"/>
      <c r="D722" s="606"/>
      <c r="E722" s="606"/>
      <c r="F722" s="606"/>
      <c r="G722" s="606"/>
      <c r="H722" s="606"/>
      <c r="I722" s="606"/>
      <c r="J722" s="606"/>
      <c r="K722" s="606"/>
      <c r="L722" s="606"/>
      <c r="M722" s="606"/>
      <c r="N722" s="608"/>
      <c r="O722" s="631"/>
      <c r="P722" s="682"/>
    </row>
    <row r="723" spans="1:16" ht="15" customHeight="1" x14ac:dyDescent="0.3">
      <c r="A723" s="603"/>
      <c r="B723" s="606"/>
      <c r="C723" s="606"/>
      <c r="D723" s="606"/>
      <c r="E723" s="606"/>
      <c r="F723" s="606"/>
      <c r="G723" s="606"/>
      <c r="H723" s="606"/>
      <c r="I723" s="606"/>
      <c r="J723" s="606"/>
      <c r="K723" s="606"/>
      <c r="L723" s="606"/>
      <c r="M723" s="606"/>
      <c r="N723" s="608"/>
      <c r="O723" s="631"/>
      <c r="P723" s="682"/>
    </row>
    <row r="724" spans="1:16" ht="15" customHeight="1" x14ac:dyDescent="0.3">
      <c r="A724" s="603"/>
      <c r="B724" s="606"/>
      <c r="C724" s="606"/>
      <c r="D724" s="606"/>
      <c r="E724" s="606"/>
      <c r="F724" s="606"/>
      <c r="G724" s="606"/>
      <c r="H724" s="606"/>
      <c r="I724" s="606"/>
      <c r="J724" s="606"/>
      <c r="K724" s="606"/>
      <c r="L724" s="606"/>
      <c r="M724" s="606"/>
      <c r="N724" s="608"/>
      <c r="O724" s="631"/>
      <c r="P724" s="682"/>
    </row>
    <row r="725" spans="1:16" ht="15" customHeight="1" x14ac:dyDescent="0.3">
      <c r="A725" s="603"/>
      <c r="B725" s="606"/>
      <c r="C725" s="606"/>
      <c r="D725" s="606"/>
      <c r="E725" s="606"/>
      <c r="F725" s="606"/>
      <c r="G725" s="606"/>
      <c r="H725" s="606"/>
      <c r="I725" s="606"/>
      <c r="J725" s="606"/>
      <c r="K725" s="606"/>
      <c r="L725" s="606"/>
      <c r="M725" s="606"/>
      <c r="N725" s="608"/>
      <c r="O725" s="631"/>
      <c r="P725" s="682"/>
    </row>
    <row r="726" spans="1:16" ht="15" customHeight="1" x14ac:dyDescent="0.3">
      <c r="A726" s="603"/>
      <c r="B726" s="606"/>
      <c r="C726" s="606"/>
      <c r="D726" s="606"/>
      <c r="E726" s="606"/>
      <c r="F726" s="606"/>
      <c r="G726" s="606"/>
      <c r="H726" s="606"/>
      <c r="I726" s="606"/>
      <c r="J726" s="606"/>
      <c r="K726" s="606"/>
      <c r="L726" s="606"/>
      <c r="M726" s="606"/>
      <c r="N726" s="608"/>
      <c r="O726" s="631"/>
      <c r="P726" s="682"/>
    </row>
    <row r="727" spans="1:16" ht="15" customHeight="1" x14ac:dyDescent="0.3">
      <c r="A727" s="603"/>
      <c r="B727" s="606"/>
      <c r="C727" s="606"/>
      <c r="D727" s="606"/>
      <c r="E727" s="606"/>
      <c r="F727" s="606"/>
      <c r="G727" s="606"/>
      <c r="H727" s="606"/>
      <c r="I727" s="606"/>
      <c r="J727" s="606"/>
      <c r="K727" s="606"/>
      <c r="L727" s="606"/>
      <c r="M727" s="606"/>
      <c r="N727" s="608"/>
      <c r="O727" s="631"/>
      <c r="P727" s="682"/>
    </row>
    <row r="728" spans="1:16" ht="15" customHeight="1" x14ac:dyDescent="0.3">
      <c r="A728" s="603"/>
      <c r="B728" s="606"/>
      <c r="C728" s="606"/>
      <c r="D728" s="606"/>
      <c r="E728" s="606"/>
      <c r="F728" s="606"/>
      <c r="G728" s="606"/>
      <c r="H728" s="606"/>
      <c r="I728" s="606"/>
      <c r="J728" s="606"/>
      <c r="K728" s="606"/>
      <c r="L728" s="606"/>
      <c r="M728" s="606"/>
      <c r="N728" s="608"/>
      <c r="O728" s="631"/>
      <c r="P728" s="682"/>
    </row>
    <row r="729" spans="1:16" ht="15" customHeight="1" x14ac:dyDescent="0.3">
      <c r="A729" s="603"/>
      <c r="B729" s="606"/>
      <c r="C729" s="606"/>
      <c r="D729" s="606"/>
      <c r="E729" s="606"/>
      <c r="F729" s="606"/>
      <c r="G729" s="606"/>
      <c r="H729" s="606"/>
      <c r="I729" s="606"/>
      <c r="J729" s="606"/>
      <c r="K729" s="606"/>
      <c r="L729" s="606"/>
      <c r="M729" s="606"/>
      <c r="N729" s="608"/>
      <c r="O729" s="631"/>
      <c r="P729" s="682"/>
    </row>
    <row r="730" spans="1:16" ht="15" customHeight="1" x14ac:dyDescent="0.3">
      <c r="A730" s="603"/>
      <c r="B730" s="606"/>
      <c r="C730" s="606"/>
      <c r="D730" s="606"/>
      <c r="E730" s="606"/>
      <c r="F730" s="606"/>
      <c r="G730" s="606"/>
      <c r="H730" s="606"/>
      <c r="I730" s="606"/>
      <c r="J730" s="606"/>
      <c r="K730" s="606"/>
      <c r="L730" s="606"/>
      <c r="M730" s="606"/>
      <c r="N730" s="608"/>
      <c r="O730" s="631"/>
      <c r="P730" s="682"/>
    </row>
    <row r="731" spans="1:16" ht="15" customHeight="1" x14ac:dyDescent="0.3">
      <c r="A731" s="603"/>
      <c r="B731" s="606"/>
      <c r="C731" s="606"/>
      <c r="D731" s="606"/>
      <c r="E731" s="606"/>
      <c r="F731" s="606"/>
      <c r="G731" s="606"/>
      <c r="H731" s="606"/>
      <c r="I731" s="606"/>
      <c r="J731" s="606"/>
      <c r="K731" s="606"/>
      <c r="L731" s="606"/>
      <c r="M731" s="606"/>
      <c r="N731" s="608"/>
      <c r="O731" s="631"/>
      <c r="P731" s="682"/>
    </row>
    <row r="732" spans="1:16" ht="15" customHeight="1" x14ac:dyDescent="0.3">
      <c r="A732" s="603"/>
      <c r="B732" s="606"/>
      <c r="C732" s="606"/>
      <c r="D732" s="606"/>
      <c r="E732" s="606"/>
      <c r="F732" s="606"/>
      <c r="G732" s="606"/>
      <c r="H732" s="606"/>
      <c r="I732" s="606"/>
      <c r="J732" s="606"/>
      <c r="K732" s="606"/>
      <c r="L732" s="606"/>
      <c r="M732" s="606"/>
      <c r="N732" s="608"/>
      <c r="O732" s="631"/>
      <c r="P732" s="682"/>
    </row>
    <row r="733" spans="1:16" ht="15" customHeight="1" x14ac:dyDescent="0.3">
      <c r="A733" s="603"/>
      <c r="B733" s="606"/>
      <c r="C733" s="606"/>
      <c r="D733" s="606"/>
      <c r="E733" s="606"/>
      <c r="F733" s="606"/>
      <c r="G733" s="606"/>
      <c r="H733" s="606"/>
      <c r="I733" s="606"/>
      <c r="J733" s="606"/>
      <c r="K733" s="606"/>
      <c r="L733" s="606"/>
      <c r="M733" s="606"/>
      <c r="N733" s="608"/>
      <c r="O733" s="631"/>
      <c r="P733" s="682"/>
    </row>
    <row r="734" spans="1:16" ht="15" customHeight="1" x14ac:dyDescent="0.3">
      <c r="A734" s="603"/>
      <c r="B734" s="606"/>
      <c r="C734" s="606"/>
      <c r="D734" s="606"/>
      <c r="E734" s="606"/>
      <c r="F734" s="606"/>
      <c r="G734" s="606"/>
      <c r="H734" s="606"/>
      <c r="I734" s="606"/>
      <c r="J734" s="606"/>
      <c r="K734" s="606"/>
      <c r="L734" s="606"/>
      <c r="M734" s="606"/>
      <c r="N734" s="608"/>
      <c r="O734" s="631"/>
      <c r="P734" s="682"/>
    </row>
    <row r="735" spans="1:16" ht="15" customHeight="1" x14ac:dyDescent="0.3">
      <c r="A735" s="603"/>
      <c r="B735" s="606"/>
      <c r="C735" s="606"/>
      <c r="D735" s="606"/>
      <c r="E735" s="606"/>
      <c r="F735" s="606"/>
      <c r="G735" s="606"/>
      <c r="H735" s="606"/>
      <c r="I735" s="606"/>
      <c r="J735" s="606"/>
      <c r="K735" s="606"/>
      <c r="L735" s="606"/>
      <c r="M735" s="606"/>
      <c r="N735" s="608"/>
      <c r="O735" s="631"/>
      <c r="P735" s="682"/>
    </row>
    <row r="736" spans="1:16" ht="15" customHeight="1" x14ac:dyDescent="0.3">
      <c r="A736" s="603"/>
      <c r="B736" s="606"/>
      <c r="C736" s="606"/>
      <c r="D736" s="606"/>
      <c r="E736" s="606"/>
      <c r="F736" s="606"/>
      <c r="G736" s="606"/>
      <c r="H736" s="606"/>
      <c r="I736" s="606"/>
      <c r="J736" s="606"/>
      <c r="K736" s="606"/>
      <c r="L736" s="606"/>
      <c r="M736" s="606"/>
      <c r="N736" s="608"/>
      <c r="O736" s="631"/>
      <c r="P736" s="682"/>
    </row>
    <row r="737" spans="1:16" ht="15" customHeight="1" x14ac:dyDescent="0.3">
      <c r="A737" s="603"/>
      <c r="B737" s="606"/>
      <c r="C737" s="606"/>
      <c r="D737" s="606"/>
      <c r="E737" s="606"/>
      <c r="F737" s="606"/>
      <c r="G737" s="606"/>
      <c r="H737" s="606"/>
      <c r="I737" s="606"/>
      <c r="J737" s="606"/>
      <c r="K737" s="606"/>
      <c r="L737" s="606"/>
      <c r="M737" s="606"/>
      <c r="N737" s="608"/>
      <c r="O737" s="631"/>
      <c r="P737" s="682"/>
    </row>
    <row r="738" spans="1:16" ht="15" customHeight="1" x14ac:dyDescent="0.3">
      <c r="A738" s="603"/>
      <c r="B738" s="606"/>
      <c r="C738" s="606"/>
      <c r="D738" s="606"/>
      <c r="E738" s="606"/>
      <c r="F738" s="606"/>
      <c r="G738" s="606"/>
      <c r="H738" s="606"/>
      <c r="I738" s="606"/>
      <c r="J738" s="606"/>
      <c r="K738" s="606"/>
      <c r="L738" s="606"/>
      <c r="M738" s="606"/>
      <c r="N738" s="608"/>
      <c r="O738" s="631"/>
      <c r="P738" s="682"/>
    </row>
    <row r="739" spans="1:16" ht="15" customHeight="1" x14ac:dyDescent="0.3">
      <c r="A739" s="603"/>
      <c r="B739" s="606"/>
      <c r="C739" s="606"/>
      <c r="D739" s="606"/>
      <c r="E739" s="606"/>
      <c r="F739" s="606"/>
      <c r="G739" s="606"/>
      <c r="H739" s="606"/>
      <c r="I739" s="606"/>
      <c r="J739" s="606"/>
      <c r="K739" s="606"/>
      <c r="L739" s="606"/>
      <c r="M739" s="606"/>
      <c r="N739" s="608"/>
      <c r="O739" s="631"/>
      <c r="P739" s="682"/>
    </row>
    <row r="740" spans="1:16" ht="15" customHeight="1" x14ac:dyDescent="0.3">
      <c r="A740" s="603"/>
      <c r="B740" s="606"/>
      <c r="C740" s="606"/>
      <c r="D740" s="606"/>
      <c r="E740" s="606"/>
      <c r="F740" s="606"/>
      <c r="G740" s="606"/>
      <c r="H740" s="606"/>
      <c r="I740" s="606"/>
      <c r="J740" s="606"/>
      <c r="K740" s="606"/>
      <c r="L740" s="606"/>
      <c r="M740" s="606"/>
      <c r="N740" s="609"/>
      <c r="O740" s="631"/>
      <c r="P740" s="683"/>
    </row>
    <row r="741" spans="1:16" ht="15" customHeight="1" x14ac:dyDescent="0.3">
      <c r="A741" s="603">
        <v>33</v>
      </c>
      <c r="B741" s="606"/>
      <c r="C741" s="606"/>
      <c r="D741" s="606"/>
      <c r="E741" s="606"/>
      <c r="F741" s="606"/>
      <c r="G741" s="606"/>
      <c r="H741" s="606"/>
      <c r="I741" s="606"/>
      <c r="J741" s="606"/>
      <c r="K741" s="606"/>
      <c r="L741" s="606"/>
      <c r="M741" s="606"/>
      <c r="N741" s="607" t="s">
        <v>213</v>
      </c>
      <c r="O741" s="631" t="str">
        <f>VLOOKUP(A741,'LISTA DE OFERENTES'!$A$6:$B$38,2,FALSE)</f>
        <v>CONSORCIO EL TUNAL V4G</v>
      </c>
      <c r="P741" s="684"/>
    </row>
    <row r="742" spans="1:16" ht="15" customHeight="1" x14ac:dyDescent="0.3">
      <c r="A742" s="603"/>
      <c r="B742" s="606"/>
      <c r="C742" s="606"/>
      <c r="D742" s="606"/>
      <c r="E742" s="606"/>
      <c r="F742" s="606"/>
      <c r="G742" s="606"/>
      <c r="H742" s="606"/>
      <c r="I742" s="606"/>
      <c r="J742" s="606"/>
      <c r="K742" s="606"/>
      <c r="L742" s="606"/>
      <c r="M742" s="606"/>
      <c r="N742" s="608"/>
      <c r="O742" s="631"/>
      <c r="P742" s="682"/>
    </row>
    <row r="743" spans="1:16" ht="15" customHeight="1" x14ac:dyDescent="0.3">
      <c r="A743" s="603"/>
      <c r="B743" s="606"/>
      <c r="C743" s="606"/>
      <c r="D743" s="606"/>
      <c r="E743" s="606"/>
      <c r="F743" s="606"/>
      <c r="G743" s="606"/>
      <c r="H743" s="606"/>
      <c r="I743" s="606"/>
      <c r="J743" s="606"/>
      <c r="K743" s="606"/>
      <c r="L743" s="606"/>
      <c r="M743" s="606"/>
      <c r="N743" s="608"/>
      <c r="O743" s="631"/>
      <c r="P743" s="682"/>
    </row>
    <row r="744" spans="1:16" ht="15" customHeight="1" x14ac:dyDescent="0.3">
      <c r="A744" s="603"/>
      <c r="B744" s="606"/>
      <c r="C744" s="606"/>
      <c r="D744" s="606"/>
      <c r="E744" s="606"/>
      <c r="F744" s="606"/>
      <c r="G744" s="606"/>
      <c r="H744" s="606"/>
      <c r="I744" s="606"/>
      <c r="J744" s="606"/>
      <c r="K744" s="606"/>
      <c r="L744" s="606"/>
      <c r="M744" s="606"/>
      <c r="N744" s="608"/>
      <c r="O744" s="631"/>
      <c r="P744" s="682"/>
    </row>
    <row r="745" spans="1:16" ht="15" customHeight="1" x14ac:dyDescent="0.3">
      <c r="A745" s="603"/>
      <c r="B745" s="606"/>
      <c r="C745" s="606"/>
      <c r="D745" s="606"/>
      <c r="E745" s="606"/>
      <c r="F745" s="606"/>
      <c r="G745" s="606"/>
      <c r="H745" s="606"/>
      <c r="I745" s="606"/>
      <c r="J745" s="606"/>
      <c r="K745" s="606"/>
      <c r="L745" s="606"/>
      <c r="M745" s="606"/>
      <c r="N745" s="608"/>
      <c r="O745" s="631"/>
      <c r="P745" s="682"/>
    </row>
    <row r="746" spans="1:16" ht="15" customHeight="1" x14ac:dyDescent="0.3">
      <c r="A746" s="603"/>
      <c r="B746" s="606"/>
      <c r="C746" s="606"/>
      <c r="D746" s="606"/>
      <c r="E746" s="606"/>
      <c r="F746" s="606"/>
      <c r="G746" s="606"/>
      <c r="H746" s="606"/>
      <c r="I746" s="606"/>
      <c r="J746" s="606"/>
      <c r="K746" s="606"/>
      <c r="L746" s="606"/>
      <c r="M746" s="606"/>
      <c r="N746" s="608"/>
      <c r="O746" s="631"/>
      <c r="P746" s="682"/>
    </row>
    <row r="747" spans="1:16" ht="15" customHeight="1" x14ac:dyDescent="0.3">
      <c r="A747" s="603"/>
      <c r="B747" s="606"/>
      <c r="C747" s="606"/>
      <c r="D747" s="606"/>
      <c r="E747" s="606"/>
      <c r="F747" s="606"/>
      <c r="G747" s="606"/>
      <c r="H747" s="606"/>
      <c r="I747" s="606"/>
      <c r="J747" s="606"/>
      <c r="K747" s="606"/>
      <c r="L747" s="606"/>
      <c r="M747" s="606"/>
      <c r="N747" s="608"/>
      <c r="O747" s="631"/>
      <c r="P747" s="682"/>
    </row>
    <row r="748" spans="1:16" ht="15" customHeight="1" x14ac:dyDescent="0.3">
      <c r="A748" s="603"/>
      <c r="B748" s="606"/>
      <c r="C748" s="606"/>
      <c r="D748" s="606"/>
      <c r="E748" s="606"/>
      <c r="F748" s="606"/>
      <c r="G748" s="606"/>
      <c r="H748" s="606"/>
      <c r="I748" s="606"/>
      <c r="J748" s="606"/>
      <c r="K748" s="606"/>
      <c r="L748" s="606"/>
      <c r="M748" s="606"/>
      <c r="N748" s="608"/>
      <c r="O748" s="631"/>
      <c r="P748" s="682"/>
    </row>
    <row r="749" spans="1:16" ht="15" customHeight="1" x14ac:dyDescent="0.3">
      <c r="A749" s="603"/>
      <c r="B749" s="606"/>
      <c r="C749" s="606"/>
      <c r="D749" s="606"/>
      <c r="E749" s="606"/>
      <c r="F749" s="606"/>
      <c r="G749" s="606"/>
      <c r="H749" s="606"/>
      <c r="I749" s="606"/>
      <c r="J749" s="606"/>
      <c r="K749" s="606"/>
      <c r="L749" s="606"/>
      <c r="M749" s="606"/>
      <c r="N749" s="608"/>
      <c r="O749" s="631"/>
      <c r="P749" s="682"/>
    </row>
    <row r="750" spans="1:16" ht="15" customHeight="1" x14ac:dyDescent="0.3">
      <c r="A750" s="603"/>
      <c r="B750" s="606"/>
      <c r="C750" s="606"/>
      <c r="D750" s="606"/>
      <c r="E750" s="606"/>
      <c r="F750" s="606"/>
      <c r="G750" s="606"/>
      <c r="H750" s="606"/>
      <c r="I750" s="606"/>
      <c r="J750" s="606"/>
      <c r="K750" s="606"/>
      <c r="L750" s="606"/>
      <c r="M750" s="606"/>
      <c r="N750" s="608"/>
      <c r="O750" s="631"/>
      <c r="P750" s="682"/>
    </row>
    <row r="751" spans="1:16" ht="15" customHeight="1" x14ac:dyDescent="0.3">
      <c r="A751" s="603"/>
      <c r="B751" s="606"/>
      <c r="C751" s="606"/>
      <c r="D751" s="606"/>
      <c r="E751" s="606"/>
      <c r="F751" s="606"/>
      <c r="G751" s="606"/>
      <c r="H751" s="606"/>
      <c r="I751" s="606"/>
      <c r="J751" s="606"/>
      <c r="K751" s="606"/>
      <c r="L751" s="606"/>
      <c r="M751" s="606"/>
      <c r="N751" s="608"/>
      <c r="O751" s="631"/>
      <c r="P751" s="682"/>
    </row>
    <row r="752" spans="1:16" ht="15" customHeight="1" x14ac:dyDescent="0.3">
      <c r="A752" s="603"/>
      <c r="B752" s="606"/>
      <c r="C752" s="606"/>
      <c r="D752" s="606"/>
      <c r="E752" s="606"/>
      <c r="F752" s="606"/>
      <c r="G752" s="606"/>
      <c r="H752" s="606"/>
      <c r="I752" s="606"/>
      <c r="J752" s="606"/>
      <c r="K752" s="606"/>
      <c r="L752" s="606"/>
      <c r="M752" s="606"/>
      <c r="N752" s="608"/>
      <c r="O752" s="631"/>
      <c r="P752" s="682"/>
    </row>
    <row r="753" spans="1:16" ht="15" customHeight="1" x14ac:dyDescent="0.3">
      <c r="A753" s="603"/>
      <c r="B753" s="606"/>
      <c r="C753" s="606"/>
      <c r="D753" s="606"/>
      <c r="E753" s="606"/>
      <c r="F753" s="606"/>
      <c r="G753" s="606"/>
      <c r="H753" s="606"/>
      <c r="I753" s="606"/>
      <c r="J753" s="606"/>
      <c r="K753" s="606"/>
      <c r="L753" s="606"/>
      <c r="M753" s="606"/>
      <c r="N753" s="608"/>
      <c r="O753" s="631"/>
      <c r="P753" s="682"/>
    </row>
    <row r="754" spans="1:16" ht="15" customHeight="1" x14ac:dyDescent="0.3">
      <c r="A754" s="603"/>
      <c r="B754" s="606"/>
      <c r="C754" s="606"/>
      <c r="D754" s="606"/>
      <c r="E754" s="606"/>
      <c r="F754" s="606"/>
      <c r="G754" s="606"/>
      <c r="H754" s="606"/>
      <c r="I754" s="606"/>
      <c r="J754" s="606"/>
      <c r="K754" s="606"/>
      <c r="L754" s="606"/>
      <c r="M754" s="606"/>
      <c r="N754" s="608"/>
      <c r="O754" s="631"/>
      <c r="P754" s="682"/>
    </row>
    <row r="755" spans="1:16" ht="15" customHeight="1" x14ac:dyDescent="0.3">
      <c r="A755" s="603"/>
      <c r="B755" s="606"/>
      <c r="C755" s="606"/>
      <c r="D755" s="606"/>
      <c r="E755" s="606"/>
      <c r="F755" s="606"/>
      <c r="G755" s="606"/>
      <c r="H755" s="606"/>
      <c r="I755" s="606"/>
      <c r="J755" s="606"/>
      <c r="K755" s="606"/>
      <c r="L755" s="606"/>
      <c r="M755" s="606"/>
      <c r="N755" s="608"/>
      <c r="O755" s="631"/>
      <c r="P755" s="682"/>
    </row>
    <row r="756" spans="1:16" ht="15" customHeight="1" x14ac:dyDescent="0.3">
      <c r="A756" s="603"/>
      <c r="B756" s="606"/>
      <c r="C756" s="606"/>
      <c r="D756" s="606"/>
      <c r="E756" s="606"/>
      <c r="F756" s="606"/>
      <c r="G756" s="606"/>
      <c r="H756" s="606"/>
      <c r="I756" s="606"/>
      <c r="J756" s="606"/>
      <c r="K756" s="606"/>
      <c r="L756" s="606"/>
      <c r="M756" s="606"/>
      <c r="N756" s="608"/>
      <c r="O756" s="631"/>
      <c r="P756" s="682"/>
    </row>
    <row r="757" spans="1:16" ht="15" customHeight="1" x14ac:dyDescent="0.3">
      <c r="A757" s="603"/>
      <c r="B757" s="606"/>
      <c r="C757" s="606"/>
      <c r="D757" s="606"/>
      <c r="E757" s="606"/>
      <c r="F757" s="606"/>
      <c r="G757" s="606"/>
      <c r="H757" s="606"/>
      <c r="I757" s="606"/>
      <c r="J757" s="606"/>
      <c r="K757" s="606"/>
      <c r="L757" s="606"/>
      <c r="M757" s="606"/>
      <c r="N757" s="608"/>
      <c r="O757" s="631"/>
      <c r="P757" s="682"/>
    </row>
    <row r="758" spans="1:16" ht="15" customHeight="1" x14ac:dyDescent="0.3">
      <c r="A758" s="603"/>
      <c r="B758" s="606"/>
      <c r="C758" s="606"/>
      <c r="D758" s="606"/>
      <c r="E758" s="606"/>
      <c r="F758" s="606"/>
      <c r="G758" s="606"/>
      <c r="H758" s="606"/>
      <c r="I758" s="606"/>
      <c r="J758" s="606"/>
      <c r="K758" s="606"/>
      <c r="L758" s="606"/>
      <c r="M758" s="606"/>
      <c r="N758" s="608"/>
      <c r="O758" s="631"/>
      <c r="P758" s="682"/>
    </row>
    <row r="759" spans="1:16" ht="15" customHeight="1" x14ac:dyDescent="0.3">
      <c r="A759" s="603"/>
      <c r="B759" s="606"/>
      <c r="C759" s="606"/>
      <c r="D759" s="606"/>
      <c r="E759" s="606"/>
      <c r="F759" s="606"/>
      <c r="G759" s="606"/>
      <c r="H759" s="606"/>
      <c r="I759" s="606"/>
      <c r="J759" s="606"/>
      <c r="K759" s="606"/>
      <c r="L759" s="606"/>
      <c r="M759" s="606"/>
      <c r="N759" s="608"/>
      <c r="O759" s="631"/>
      <c r="P759" s="682"/>
    </row>
    <row r="760" spans="1:16" ht="15" customHeight="1" x14ac:dyDescent="0.3">
      <c r="A760" s="603"/>
      <c r="B760" s="606"/>
      <c r="C760" s="606"/>
      <c r="D760" s="606"/>
      <c r="E760" s="606"/>
      <c r="F760" s="606"/>
      <c r="G760" s="606"/>
      <c r="H760" s="606"/>
      <c r="I760" s="606"/>
      <c r="J760" s="606"/>
      <c r="K760" s="606"/>
      <c r="L760" s="606"/>
      <c r="M760" s="606"/>
      <c r="N760" s="608"/>
      <c r="O760" s="631"/>
      <c r="P760" s="682"/>
    </row>
    <row r="761" spans="1:16" ht="15" customHeight="1" x14ac:dyDescent="0.3">
      <c r="A761" s="603"/>
      <c r="B761" s="606"/>
      <c r="C761" s="606"/>
      <c r="D761" s="606"/>
      <c r="E761" s="606"/>
      <c r="F761" s="606"/>
      <c r="G761" s="606"/>
      <c r="H761" s="606"/>
      <c r="I761" s="606"/>
      <c r="J761" s="606"/>
      <c r="K761" s="606"/>
      <c r="L761" s="606"/>
      <c r="M761" s="606"/>
      <c r="N761" s="608"/>
      <c r="O761" s="631"/>
      <c r="P761" s="682"/>
    </row>
    <row r="762" spans="1:16" ht="15" customHeight="1" x14ac:dyDescent="0.3">
      <c r="A762" s="603"/>
      <c r="B762" s="606"/>
      <c r="C762" s="606"/>
      <c r="D762" s="606"/>
      <c r="E762" s="606"/>
      <c r="F762" s="606"/>
      <c r="G762" s="606"/>
      <c r="H762" s="606"/>
      <c r="I762" s="606"/>
      <c r="J762" s="606"/>
      <c r="K762" s="606"/>
      <c r="L762" s="606"/>
      <c r="M762" s="606"/>
      <c r="N762" s="608"/>
      <c r="O762" s="631"/>
      <c r="P762" s="682"/>
    </row>
    <row r="763" spans="1:16" ht="15" customHeight="1" x14ac:dyDescent="0.3">
      <c r="A763" s="603"/>
      <c r="B763" s="606"/>
      <c r="C763" s="606"/>
      <c r="D763" s="606"/>
      <c r="E763" s="606"/>
      <c r="F763" s="606"/>
      <c r="G763" s="606"/>
      <c r="H763" s="606"/>
      <c r="I763" s="606"/>
      <c r="J763" s="606"/>
      <c r="K763" s="606"/>
      <c r="L763" s="606"/>
      <c r="M763" s="606"/>
      <c r="N763" s="609"/>
      <c r="O763" s="631"/>
      <c r="P763" s="683"/>
    </row>
    <row r="764" spans="1:16" x14ac:dyDescent="0.3">
      <c r="A764" s="603">
        <v>34</v>
      </c>
      <c r="B764" s="606"/>
      <c r="C764" s="606"/>
      <c r="D764" s="606"/>
      <c r="E764" s="606"/>
      <c r="F764" s="606"/>
      <c r="G764" s="606"/>
      <c r="H764" s="606"/>
      <c r="I764" s="606"/>
      <c r="J764" s="606"/>
      <c r="K764" s="606"/>
      <c r="L764" s="606"/>
      <c r="M764" s="606"/>
      <c r="N764" s="607" t="s">
        <v>213</v>
      </c>
      <c r="O764" s="631" t="str">
        <f>VLOOKUP(A764,'LISTA DE OFERENTES'!$A$6:$B$43,2,FALSE)</f>
        <v>PANAM INGENIEROS SAS</v>
      </c>
      <c r="P764" s="684"/>
    </row>
    <row r="765" spans="1:16" x14ac:dyDescent="0.3">
      <c r="A765" s="603"/>
      <c r="B765" s="606"/>
      <c r="C765" s="606"/>
      <c r="D765" s="606"/>
      <c r="E765" s="606"/>
      <c r="F765" s="606"/>
      <c r="G765" s="606"/>
      <c r="H765" s="606"/>
      <c r="I765" s="606"/>
      <c r="J765" s="606"/>
      <c r="K765" s="606"/>
      <c r="L765" s="606"/>
      <c r="M765" s="606"/>
      <c r="N765" s="608"/>
      <c r="O765" s="631"/>
      <c r="P765" s="682"/>
    </row>
    <row r="766" spans="1:16" x14ac:dyDescent="0.3">
      <c r="A766" s="603"/>
      <c r="B766" s="606"/>
      <c r="C766" s="606"/>
      <c r="D766" s="606"/>
      <c r="E766" s="606"/>
      <c r="F766" s="606"/>
      <c r="G766" s="606"/>
      <c r="H766" s="606"/>
      <c r="I766" s="606"/>
      <c r="J766" s="606"/>
      <c r="K766" s="606"/>
      <c r="L766" s="606"/>
      <c r="M766" s="606"/>
      <c r="N766" s="608"/>
      <c r="O766" s="631"/>
      <c r="P766" s="682"/>
    </row>
    <row r="767" spans="1:16" x14ac:dyDescent="0.3">
      <c r="A767" s="603"/>
      <c r="B767" s="606"/>
      <c r="C767" s="606"/>
      <c r="D767" s="606"/>
      <c r="E767" s="606"/>
      <c r="F767" s="606"/>
      <c r="G767" s="606"/>
      <c r="H767" s="606"/>
      <c r="I767" s="606"/>
      <c r="J767" s="606"/>
      <c r="K767" s="606"/>
      <c r="L767" s="606"/>
      <c r="M767" s="606"/>
      <c r="N767" s="608"/>
      <c r="O767" s="631"/>
      <c r="P767" s="682"/>
    </row>
    <row r="768" spans="1:16" x14ac:dyDescent="0.3">
      <c r="A768" s="603"/>
      <c r="B768" s="606"/>
      <c r="C768" s="606"/>
      <c r="D768" s="606"/>
      <c r="E768" s="606"/>
      <c r="F768" s="606"/>
      <c r="G768" s="606"/>
      <c r="H768" s="606"/>
      <c r="I768" s="606"/>
      <c r="J768" s="606"/>
      <c r="K768" s="606"/>
      <c r="L768" s="606"/>
      <c r="M768" s="606"/>
      <c r="N768" s="608"/>
      <c r="O768" s="631"/>
      <c r="P768" s="682"/>
    </row>
    <row r="769" spans="1:16" x14ac:dyDescent="0.3">
      <c r="A769" s="603"/>
      <c r="B769" s="606"/>
      <c r="C769" s="606"/>
      <c r="D769" s="606"/>
      <c r="E769" s="606"/>
      <c r="F769" s="606"/>
      <c r="G769" s="606"/>
      <c r="H769" s="606"/>
      <c r="I769" s="606"/>
      <c r="J769" s="606"/>
      <c r="K769" s="606"/>
      <c r="L769" s="606"/>
      <c r="M769" s="606"/>
      <c r="N769" s="608"/>
      <c r="O769" s="631"/>
      <c r="P769" s="682"/>
    </row>
    <row r="770" spans="1:16" x14ac:dyDescent="0.3">
      <c r="A770" s="603"/>
      <c r="B770" s="606"/>
      <c r="C770" s="606"/>
      <c r="D770" s="606"/>
      <c r="E770" s="606"/>
      <c r="F770" s="606"/>
      <c r="G770" s="606"/>
      <c r="H770" s="606"/>
      <c r="I770" s="606"/>
      <c r="J770" s="606"/>
      <c r="K770" s="606"/>
      <c r="L770" s="606"/>
      <c r="M770" s="606"/>
      <c r="N770" s="608"/>
      <c r="O770" s="631"/>
      <c r="P770" s="682"/>
    </row>
    <row r="771" spans="1:16" x14ac:dyDescent="0.3">
      <c r="A771" s="603"/>
      <c r="B771" s="606"/>
      <c r="C771" s="606"/>
      <c r="D771" s="606"/>
      <c r="E771" s="606"/>
      <c r="F771" s="606"/>
      <c r="G771" s="606"/>
      <c r="H771" s="606"/>
      <c r="I771" s="606"/>
      <c r="J771" s="606"/>
      <c r="K771" s="606"/>
      <c r="L771" s="606"/>
      <c r="M771" s="606"/>
      <c r="N771" s="608"/>
      <c r="O771" s="631"/>
      <c r="P771" s="682"/>
    </row>
    <row r="772" spans="1:16" x14ac:dyDescent="0.3">
      <c r="A772" s="603"/>
      <c r="B772" s="606"/>
      <c r="C772" s="606"/>
      <c r="D772" s="606"/>
      <c r="E772" s="606"/>
      <c r="F772" s="606"/>
      <c r="G772" s="606"/>
      <c r="H772" s="606"/>
      <c r="I772" s="606"/>
      <c r="J772" s="606"/>
      <c r="K772" s="606"/>
      <c r="L772" s="606"/>
      <c r="M772" s="606"/>
      <c r="N772" s="608"/>
      <c r="O772" s="631"/>
      <c r="P772" s="682"/>
    </row>
    <row r="773" spans="1:16" x14ac:dyDescent="0.3">
      <c r="A773" s="603"/>
      <c r="B773" s="606"/>
      <c r="C773" s="606"/>
      <c r="D773" s="606"/>
      <c r="E773" s="606"/>
      <c r="F773" s="606"/>
      <c r="G773" s="606"/>
      <c r="H773" s="606"/>
      <c r="I773" s="606"/>
      <c r="J773" s="606"/>
      <c r="K773" s="606"/>
      <c r="L773" s="606"/>
      <c r="M773" s="606"/>
      <c r="N773" s="608"/>
      <c r="O773" s="631"/>
      <c r="P773" s="682"/>
    </row>
    <row r="774" spans="1:16" x14ac:dyDescent="0.3">
      <c r="A774" s="603"/>
      <c r="B774" s="606"/>
      <c r="C774" s="606"/>
      <c r="D774" s="606"/>
      <c r="E774" s="606"/>
      <c r="F774" s="606"/>
      <c r="G774" s="606"/>
      <c r="H774" s="606"/>
      <c r="I774" s="606"/>
      <c r="J774" s="606"/>
      <c r="K774" s="606"/>
      <c r="L774" s="606"/>
      <c r="M774" s="606"/>
      <c r="N774" s="608"/>
      <c r="O774" s="631"/>
      <c r="P774" s="682"/>
    </row>
    <row r="775" spans="1:16" x14ac:dyDescent="0.3">
      <c r="A775" s="603"/>
      <c r="B775" s="606"/>
      <c r="C775" s="606"/>
      <c r="D775" s="606"/>
      <c r="E775" s="606"/>
      <c r="F775" s="606"/>
      <c r="G775" s="606"/>
      <c r="H775" s="606"/>
      <c r="I775" s="606"/>
      <c r="J775" s="606"/>
      <c r="K775" s="606"/>
      <c r="L775" s="606"/>
      <c r="M775" s="606"/>
      <c r="N775" s="608"/>
      <c r="O775" s="631"/>
      <c r="P775" s="682"/>
    </row>
    <row r="776" spans="1:16" x14ac:dyDescent="0.3">
      <c r="A776" s="603"/>
      <c r="B776" s="606"/>
      <c r="C776" s="606"/>
      <c r="D776" s="606"/>
      <c r="E776" s="606"/>
      <c r="F776" s="606"/>
      <c r="G776" s="606"/>
      <c r="H776" s="606"/>
      <c r="I776" s="606"/>
      <c r="J776" s="606"/>
      <c r="K776" s="606"/>
      <c r="L776" s="606"/>
      <c r="M776" s="606"/>
      <c r="N776" s="608"/>
      <c r="O776" s="631"/>
      <c r="P776" s="682"/>
    </row>
    <row r="777" spans="1:16" x14ac:dyDescent="0.3">
      <c r="A777" s="603"/>
      <c r="B777" s="606"/>
      <c r="C777" s="606"/>
      <c r="D777" s="606"/>
      <c r="E777" s="606"/>
      <c r="F777" s="606"/>
      <c r="G777" s="606"/>
      <c r="H777" s="606"/>
      <c r="I777" s="606"/>
      <c r="J777" s="606"/>
      <c r="K777" s="606"/>
      <c r="L777" s="606"/>
      <c r="M777" s="606"/>
      <c r="N777" s="608"/>
      <c r="O777" s="631"/>
      <c r="P777" s="682"/>
    </row>
    <row r="778" spans="1:16" x14ac:dyDescent="0.3">
      <c r="A778" s="603"/>
      <c r="B778" s="606"/>
      <c r="C778" s="606"/>
      <c r="D778" s="606"/>
      <c r="E778" s="606"/>
      <c r="F778" s="606"/>
      <c r="G778" s="606"/>
      <c r="H778" s="606"/>
      <c r="I778" s="606"/>
      <c r="J778" s="606"/>
      <c r="K778" s="606"/>
      <c r="L778" s="606"/>
      <c r="M778" s="606"/>
      <c r="N778" s="608"/>
      <c r="O778" s="631"/>
      <c r="P778" s="682"/>
    </row>
    <row r="779" spans="1:16" x14ac:dyDescent="0.3">
      <c r="A779" s="603"/>
      <c r="B779" s="606"/>
      <c r="C779" s="606"/>
      <c r="D779" s="606"/>
      <c r="E779" s="606"/>
      <c r="F779" s="606"/>
      <c r="G779" s="606"/>
      <c r="H779" s="606"/>
      <c r="I779" s="606"/>
      <c r="J779" s="606"/>
      <c r="K779" s="606"/>
      <c r="L779" s="606"/>
      <c r="M779" s="606"/>
      <c r="N779" s="608"/>
      <c r="O779" s="631"/>
      <c r="P779" s="682"/>
    </row>
    <row r="780" spans="1:16" x14ac:dyDescent="0.3">
      <c r="A780" s="603"/>
      <c r="B780" s="606"/>
      <c r="C780" s="606"/>
      <c r="D780" s="606"/>
      <c r="E780" s="606"/>
      <c r="F780" s="606"/>
      <c r="G780" s="606"/>
      <c r="H780" s="606"/>
      <c r="I780" s="606"/>
      <c r="J780" s="606"/>
      <c r="K780" s="606"/>
      <c r="L780" s="606"/>
      <c r="M780" s="606"/>
      <c r="N780" s="608"/>
      <c r="O780" s="631"/>
      <c r="P780" s="682"/>
    </row>
    <row r="781" spans="1:16" x14ac:dyDescent="0.3">
      <c r="A781" s="603"/>
      <c r="B781" s="606"/>
      <c r="C781" s="606"/>
      <c r="D781" s="606"/>
      <c r="E781" s="606"/>
      <c r="F781" s="606"/>
      <c r="G781" s="606"/>
      <c r="H781" s="606"/>
      <c r="I781" s="606"/>
      <c r="J781" s="606"/>
      <c r="K781" s="606"/>
      <c r="L781" s="606"/>
      <c r="M781" s="606"/>
      <c r="N781" s="608"/>
      <c r="O781" s="631"/>
      <c r="P781" s="682"/>
    </row>
    <row r="782" spans="1:16" x14ac:dyDescent="0.3">
      <c r="A782" s="603"/>
      <c r="B782" s="606"/>
      <c r="C782" s="606"/>
      <c r="D782" s="606"/>
      <c r="E782" s="606"/>
      <c r="F782" s="606"/>
      <c r="G782" s="606"/>
      <c r="H782" s="606"/>
      <c r="I782" s="606"/>
      <c r="J782" s="606"/>
      <c r="K782" s="606"/>
      <c r="L782" s="606"/>
      <c r="M782" s="606"/>
      <c r="N782" s="608"/>
      <c r="O782" s="631"/>
      <c r="P782" s="682"/>
    </row>
    <row r="783" spans="1:16" x14ac:dyDescent="0.3">
      <c r="A783" s="603"/>
      <c r="B783" s="606"/>
      <c r="C783" s="606"/>
      <c r="D783" s="606"/>
      <c r="E783" s="606"/>
      <c r="F783" s="606"/>
      <c r="G783" s="606"/>
      <c r="H783" s="606"/>
      <c r="I783" s="606"/>
      <c r="J783" s="606"/>
      <c r="K783" s="606"/>
      <c r="L783" s="606"/>
      <c r="M783" s="606"/>
      <c r="N783" s="608"/>
      <c r="O783" s="631"/>
      <c r="P783" s="682"/>
    </row>
    <row r="784" spans="1:16" x14ac:dyDescent="0.3">
      <c r="A784" s="603"/>
      <c r="B784" s="606"/>
      <c r="C784" s="606"/>
      <c r="D784" s="606"/>
      <c r="E784" s="606"/>
      <c r="F784" s="606"/>
      <c r="G784" s="606"/>
      <c r="H784" s="606"/>
      <c r="I784" s="606"/>
      <c r="J784" s="606"/>
      <c r="K784" s="606"/>
      <c r="L784" s="606"/>
      <c r="M784" s="606"/>
      <c r="N784" s="608"/>
      <c r="O784" s="631"/>
      <c r="P784" s="682"/>
    </row>
    <row r="785" spans="1:16" x14ac:dyDescent="0.3">
      <c r="A785" s="603"/>
      <c r="B785" s="606"/>
      <c r="C785" s="606"/>
      <c r="D785" s="606"/>
      <c r="E785" s="606"/>
      <c r="F785" s="606"/>
      <c r="G785" s="606"/>
      <c r="H785" s="606"/>
      <c r="I785" s="606"/>
      <c r="J785" s="606"/>
      <c r="K785" s="606"/>
      <c r="L785" s="606"/>
      <c r="M785" s="606"/>
      <c r="N785" s="608"/>
      <c r="O785" s="631"/>
      <c r="P785" s="682"/>
    </row>
    <row r="786" spans="1:16" x14ac:dyDescent="0.3">
      <c r="A786" s="603"/>
      <c r="B786" s="606"/>
      <c r="C786" s="606"/>
      <c r="D786" s="606"/>
      <c r="E786" s="606"/>
      <c r="F786" s="606"/>
      <c r="G786" s="606"/>
      <c r="H786" s="606"/>
      <c r="I786" s="606"/>
      <c r="J786" s="606"/>
      <c r="K786" s="606"/>
      <c r="L786" s="606"/>
      <c r="M786" s="606"/>
      <c r="N786" s="609"/>
      <c r="O786" s="631"/>
      <c r="P786" s="683"/>
    </row>
    <row r="787" spans="1:16" x14ac:dyDescent="0.3">
      <c r="A787" s="603">
        <v>35</v>
      </c>
      <c r="B787" s="606"/>
      <c r="C787" s="606"/>
      <c r="D787" s="606"/>
      <c r="E787" s="606"/>
      <c r="F787" s="606"/>
      <c r="G787" s="606"/>
      <c r="H787" s="606"/>
      <c r="I787" s="606"/>
      <c r="J787" s="606"/>
      <c r="K787" s="606"/>
      <c r="L787" s="606"/>
      <c r="M787" s="606"/>
      <c r="N787" s="607" t="s">
        <v>213</v>
      </c>
      <c r="O787" s="631" t="str">
        <f>VLOOKUP(A787,'LISTA DE OFERENTES'!$A$6:$B$43,2,FALSE)</f>
        <v>CONSORCIO TUNJUELITO VHJ</v>
      </c>
      <c r="P787" s="684"/>
    </row>
    <row r="788" spans="1:16" x14ac:dyDescent="0.3">
      <c r="A788" s="603"/>
      <c r="B788" s="606"/>
      <c r="C788" s="606"/>
      <c r="D788" s="606"/>
      <c r="E788" s="606"/>
      <c r="F788" s="606"/>
      <c r="G788" s="606"/>
      <c r="H788" s="606"/>
      <c r="I788" s="606"/>
      <c r="J788" s="606"/>
      <c r="K788" s="606"/>
      <c r="L788" s="606"/>
      <c r="M788" s="606"/>
      <c r="N788" s="608"/>
      <c r="O788" s="631"/>
      <c r="P788" s="682"/>
    </row>
    <row r="789" spans="1:16" x14ac:dyDescent="0.3">
      <c r="A789" s="603"/>
      <c r="B789" s="606"/>
      <c r="C789" s="606"/>
      <c r="D789" s="606"/>
      <c r="E789" s="606"/>
      <c r="F789" s="606"/>
      <c r="G789" s="606"/>
      <c r="H789" s="606"/>
      <c r="I789" s="606"/>
      <c r="J789" s="606"/>
      <c r="K789" s="606"/>
      <c r="L789" s="606"/>
      <c r="M789" s="606"/>
      <c r="N789" s="608"/>
      <c r="O789" s="631"/>
      <c r="P789" s="682"/>
    </row>
    <row r="790" spans="1:16" x14ac:dyDescent="0.3">
      <c r="A790" s="603"/>
      <c r="B790" s="606"/>
      <c r="C790" s="606"/>
      <c r="D790" s="606"/>
      <c r="E790" s="606"/>
      <c r="F790" s="606"/>
      <c r="G790" s="606"/>
      <c r="H790" s="606"/>
      <c r="I790" s="606"/>
      <c r="J790" s="606"/>
      <c r="K790" s="606"/>
      <c r="L790" s="606"/>
      <c r="M790" s="606"/>
      <c r="N790" s="608"/>
      <c r="O790" s="631"/>
      <c r="P790" s="682"/>
    </row>
    <row r="791" spans="1:16" x14ac:dyDescent="0.3">
      <c r="A791" s="603"/>
      <c r="B791" s="606"/>
      <c r="C791" s="606"/>
      <c r="D791" s="606"/>
      <c r="E791" s="606"/>
      <c r="F791" s="606"/>
      <c r="G791" s="606"/>
      <c r="H791" s="606"/>
      <c r="I791" s="606"/>
      <c r="J791" s="606"/>
      <c r="K791" s="606"/>
      <c r="L791" s="606"/>
      <c r="M791" s="606"/>
      <c r="N791" s="608"/>
      <c r="O791" s="631"/>
      <c r="P791" s="682"/>
    </row>
    <row r="792" spans="1:16" x14ac:dyDescent="0.3">
      <c r="A792" s="603"/>
      <c r="B792" s="606"/>
      <c r="C792" s="606"/>
      <c r="D792" s="606"/>
      <c r="E792" s="606"/>
      <c r="F792" s="606"/>
      <c r="G792" s="606"/>
      <c r="H792" s="606"/>
      <c r="I792" s="606"/>
      <c r="J792" s="606"/>
      <c r="K792" s="606"/>
      <c r="L792" s="606"/>
      <c r="M792" s="606"/>
      <c r="N792" s="608"/>
      <c r="O792" s="631"/>
      <c r="P792" s="682"/>
    </row>
    <row r="793" spans="1:16" x14ac:dyDescent="0.3">
      <c r="A793" s="603"/>
      <c r="B793" s="606"/>
      <c r="C793" s="606"/>
      <c r="D793" s="606"/>
      <c r="E793" s="606"/>
      <c r="F793" s="606"/>
      <c r="G793" s="606"/>
      <c r="H793" s="606"/>
      <c r="I793" s="606"/>
      <c r="J793" s="606"/>
      <c r="K793" s="606"/>
      <c r="L793" s="606"/>
      <c r="M793" s="606"/>
      <c r="N793" s="608"/>
      <c r="O793" s="631"/>
      <c r="P793" s="682"/>
    </row>
    <row r="794" spans="1:16" x14ac:dyDescent="0.3">
      <c r="A794" s="603"/>
      <c r="B794" s="606"/>
      <c r="C794" s="606"/>
      <c r="D794" s="606"/>
      <c r="E794" s="606"/>
      <c r="F794" s="606"/>
      <c r="G794" s="606"/>
      <c r="H794" s="606"/>
      <c r="I794" s="606"/>
      <c r="J794" s="606"/>
      <c r="K794" s="606"/>
      <c r="L794" s="606"/>
      <c r="M794" s="606"/>
      <c r="N794" s="608"/>
      <c r="O794" s="631"/>
      <c r="P794" s="682"/>
    </row>
    <row r="795" spans="1:16" x14ac:dyDescent="0.3">
      <c r="A795" s="603"/>
      <c r="B795" s="606"/>
      <c r="C795" s="606"/>
      <c r="D795" s="606"/>
      <c r="E795" s="606"/>
      <c r="F795" s="606"/>
      <c r="G795" s="606"/>
      <c r="H795" s="606"/>
      <c r="I795" s="606"/>
      <c r="J795" s="606"/>
      <c r="K795" s="606"/>
      <c r="L795" s="606"/>
      <c r="M795" s="606"/>
      <c r="N795" s="608"/>
      <c r="O795" s="631"/>
      <c r="P795" s="682"/>
    </row>
    <row r="796" spans="1:16" x14ac:dyDescent="0.3">
      <c r="A796" s="603"/>
      <c r="B796" s="606"/>
      <c r="C796" s="606"/>
      <c r="D796" s="606"/>
      <c r="E796" s="606"/>
      <c r="F796" s="606"/>
      <c r="G796" s="606"/>
      <c r="H796" s="606"/>
      <c r="I796" s="606"/>
      <c r="J796" s="606"/>
      <c r="K796" s="606"/>
      <c r="L796" s="606"/>
      <c r="M796" s="606"/>
      <c r="N796" s="608"/>
      <c r="O796" s="631"/>
      <c r="P796" s="682"/>
    </row>
    <row r="797" spans="1:16" x14ac:dyDescent="0.3">
      <c r="A797" s="603"/>
      <c r="B797" s="606"/>
      <c r="C797" s="606"/>
      <c r="D797" s="606"/>
      <c r="E797" s="606"/>
      <c r="F797" s="606"/>
      <c r="G797" s="606"/>
      <c r="H797" s="606"/>
      <c r="I797" s="606"/>
      <c r="J797" s="606"/>
      <c r="K797" s="606"/>
      <c r="L797" s="606"/>
      <c r="M797" s="606"/>
      <c r="N797" s="608"/>
      <c r="O797" s="631"/>
      <c r="P797" s="682"/>
    </row>
    <row r="798" spans="1:16" x14ac:dyDescent="0.3">
      <c r="A798" s="603"/>
      <c r="B798" s="606"/>
      <c r="C798" s="606"/>
      <c r="D798" s="606"/>
      <c r="E798" s="606"/>
      <c r="F798" s="606"/>
      <c r="G798" s="606"/>
      <c r="H798" s="606"/>
      <c r="I798" s="606"/>
      <c r="J798" s="606"/>
      <c r="K798" s="606"/>
      <c r="L798" s="606"/>
      <c r="M798" s="606"/>
      <c r="N798" s="608"/>
      <c r="O798" s="631"/>
      <c r="P798" s="682"/>
    </row>
    <row r="799" spans="1:16" x14ac:dyDescent="0.3">
      <c r="A799" s="603"/>
      <c r="B799" s="606"/>
      <c r="C799" s="606"/>
      <c r="D799" s="606"/>
      <c r="E799" s="606"/>
      <c r="F799" s="606"/>
      <c r="G799" s="606"/>
      <c r="H799" s="606"/>
      <c r="I799" s="606"/>
      <c r="J799" s="606"/>
      <c r="K799" s="606"/>
      <c r="L799" s="606"/>
      <c r="M799" s="606"/>
      <c r="N799" s="608"/>
      <c r="O799" s="631"/>
      <c r="P799" s="682"/>
    </row>
    <row r="800" spans="1:16" x14ac:dyDescent="0.3">
      <c r="A800" s="603"/>
      <c r="B800" s="606"/>
      <c r="C800" s="606"/>
      <c r="D800" s="606"/>
      <c r="E800" s="606"/>
      <c r="F800" s="606"/>
      <c r="G800" s="606"/>
      <c r="H800" s="606"/>
      <c r="I800" s="606"/>
      <c r="J800" s="606"/>
      <c r="K800" s="606"/>
      <c r="L800" s="606"/>
      <c r="M800" s="606"/>
      <c r="N800" s="608"/>
      <c r="O800" s="631"/>
      <c r="P800" s="682"/>
    </row>
    <row r="801" spans="1:16" x14ac:dyDescent="0.3">
      <c r="A801" s="603"/>
      <c r="B801" s="606"/>
      <c r="C801" s="606"/>
      <c r="D801" s="606"/>
      <c r="E801" s="606"/>
      <c r="F801" s="606"/>
      <c r="G801" s="606"/>
      <c r="H801" s="606"/>
      <c r="I801" s="606"/>
      <c r="J801" s="606"/>
      <c r="K801" s="606"/>
      <c r="L801" s="606"/>
      <c r="M801" s="606"/>
      <c r="N801" s="608"/>
      <c r="O801" s="631"/>
      <c r="P801" s="682"/>
    </row>
    <row r="802" spans="1:16" x14ac:dyDescent="0.3">
      <c r="A802" s="603"/>
      <c r="B802" s="606"/>
      <c r="C802" s="606"/>
      <c r="D802" s="606"/>
      <c r="E802" s="606"/>
      <c r="F802" s="606"/>
      <c r="G802" s="606"/>
      <c r="H802" s="606"/>
      <c r="I802" s="606"/>
      <c r="J802" s="606"/>
      <c r="K802" s="606"/>
      <c r="L802" s="606"/>
      <c r="M802" s="606"/>
      <c r="N802" s="608"/>
      <c r="O802" s="631"/>
      <c r="P802" s="682"/>
    </row>
    <row r="803" spans="1:16" x14ac:dyDescent="0.3">
      <c r="A803" s="603"/>
      <c r="B803" s="606"/>
      <c r="C803" s="606"/>
      <c r="D803" s="606"/>
      <c r="E803" s="606"/>
      <c r="F803" s="606"/>
      <c r="G803" s="606"/>
      <c r="H803" s="606"/>
      <c r="I803" s="606"/>
      <c r="J803" s="606"/>
      <c r="K803" s="606"/>
      <c r="L803" s="606"/>
      <c r="M803" s="606"/>
      <c r="N803" s="608"/>
      <c r="O803" s="631"/>
      <c r="P803" s="682"/>
    </row>
    <row r="804" spans="1:16" x14ac:dyDescent="0.3">
      <c r="A804" s="603"/>
      <c r="B804" s="606"/>
      <c r="C804" s="606"/>
      <c r="D804" s="606"/>
      <c r="E804" s="606"/>
      <c r="F804" s="606"/>
      <c r="G804" s="606"/>
      <c r="H804" s="606"/>
      <c r="I804" s="606"/>
      <c r="J804" s="606"/>
      <c r="K804" s="606"/>
      <c r="L804" s="606"/>
      <c r="M804" s="606"/>
      <c r="N804" s="608"/>
      <c r="O804" s="631"/>
      <c r="P804" s="682"/>
    </row>
    <row r="805" spans="1:16" x14ac:dyDescent="0.3">
      <c r="A805" s="603"/>
      <c r="B805" s="606"/>
      <c r="C805" s="606"/>
      <c r="D805" s="606"/>
      <c r="E805" s="606"/>
      <c r="F805" s="606"/>
      <c r="G805" s="606"/>
      <c r="H805" s="606"/>
      <c r="I805" s="606"/>
      <c r="J805" s="606"/>
      <c r="K805" s="606"/>
      <c r="L805" s="606"/>
      <c r="M805" s="606"/>
      <c r="N805" s="608"/>
      <c r="O805" s="631"/>
      <c r="P805" s="682"/>
    </row>
    <row r="806" spans="1:16" x14ac:dyDescent="0.3">
      <c r="A806" s="603"/>
      <c r="B806" s="606"/>
      <c r="C806" s="606"/>
      <c r="D806" s="606"/>
      <c r="E806" s="606"/>
      <c r="F806" s="606"/>
      <c r="G806" s="606"/>
      <c r="H806" s="606"/>
      <c r="I806" s="606"/>
      <c r="J806" s="606"/>
      <c r="K806" s="606"/>
      <c r="L806" s="606"/>
      <c r="M806" s="606"/>
      <c r="N806" s="608"/>
      <c r="O806" s="631"/>
      <c r="P806" s="682"/>
    </row>
    <row r="807" spans="1:16" x14ac:dyDescent="0.3">
      <c r="A807" s="603"/>
      <c r="B807" s="606"/>
      <c r="C807" s="606"/>
      <c r="D807" s="606"/>
      <c r="E807" s="606"/>
      <c r="F807" s="606"/>
      <c r="G807" s="606"/>
      <c r="H807" s="606"/>
      <c r="I807" s="606"/>
      <c r="J807" s="606"/>
      <c r="K807" s="606"/>
      <c r="L807" s="606"/>
      <c r="M807" s="606"/>
      <c r="N807" s="608"/>
      <c r="O807" s="631"/>
      <c r="P807" s="682"/>
    </row>
    <row r="808" spans="1:16" x14ac:dyDescent="0.3">
      <c r="A808" s="603"/>
      <c r="B808" s="606"/>
      <c r="C808" s="606"/>
      <c r="D808" s="606"/>
      <c r="E808" s="606"/>
      <c r="F808" s="606"/>
      <c r="G808" s="606"/>
      <c r="H808" s="606"/>
      <c r="I808" s="606"/>
      <c r="J808" s="606"/>
      <c r="K808" s="606"/>
      <c r="L808" s="606"/>
      <c r="M808" s="606"/>
      <c r="N808" s="608"/>
      <c r="O808" s="631"/>
      <c r="P808" s="682"/>
    </row>
    <row r="809" spans="1:16" x14ac:dyDescent="0.3">
      <c r="A809" s="603"/>
      <c r="B809" s="628"/>
      <c r="C809" s="628"/>
      <c r="D809" s="628"/>
      <c r="E809" s="628"/>
      <c r="F809" s="628"/>
      <c r="G809" s="628"/>
      <c r="H809" s="628"/>
      <c r="I809" s="628"/>
      <c r="J809" s="628"/>
      <c r="K809" s="628"/>
      <c r="L809" s="628"/>
      <c r="M809" s="628"/>
      <c r="N809" s="608"/>
      <c r="O809" s="632"/>
      <c r="P809" s="683"/>
    </row>
    <row r="810" spans="1:16" x14ac:dyDescent="0.3">
      <c r="A810" s="636">
        <v>36</v>
      </c>
      <c r="B810" s="674"/>
      <c r="C810" s="674"/>
      <c r="D810" s="674"/>
      <c r="E810" s="674"/>
      <c r="F810" s="674"/>
      <c r="G810" s="674"/>
      <c r="H810" s="674"/>
      <c r="I810" s="674"/>
      <c r="J810" s="674"/>
      <c r="K810" s="674"/>
      <c r="L810" s="674"/>
      <c r="M810" s="674"/>
      <c r="N810" s="675" t="s">
        <v>213</v>
      </c>
      <c r="O810" s="630" t="str">
        <f>VLOOKUP(A810,'LISTA DE OFERENTES'!$A$6:$B$43,2,FALSE)</f>
        <v>CONSORCIO PARQUE VECINAL 2022</v>
      </c>
      <c r="P810" s="685"/>
    </row>
    <row r="811" spans="1:16" x14ac:dyDescent="0.3">
      <c r="A811" s="636"/>
      <c r="B811" s="674"/>
      <c r="C811" s="674"/>
      <c r="D811" s="674"/>
      <c r="E811" s="674"/>
      <c r="F811" s="674"/>
      <c r="G811" s="674"/>
      <c r="H811" s="674"/>
      <c r="I811" s="674"/>
      <c r="J811" s="674"/>
      <c r="K811" s="674"/>
      <c r="L811" s="674"/>
      <c r="M811" s="674"/>
      <c r="N811" s="675"/>
      <c r="O811" s="630"/>
      <c r="P811" s="686"/>
    </row>
    <row r="812" spans="1:16" x14ac:dyDescent="0.3">
      <c r="A812" s="636"/>
      <c r="B812" s="674"/>
      <c r="C812" s="674"/>
      <c r="D812" s="674"/>
      <c r="E812" s="674"/>
      <c r="F812" s="674"/>
      <c r="G812" s="674"/>
      <c r="H812" s="674"/>
      <c r="I812" s="674"/>
      <c r="J812" s="674"/>
      <c r="K812" s="674"/>
      <c r="L812" s="674"/>
      <c r="M812" s="674"/>
      <c r="N812" s="675"/>
      <c r="O812" s="630"/>
      <c r="P812" s="686"/>
    </row>
    <row r="813" spans="1:16" x14ac:dyDescent="0.3">
      <c r="A813" s="636"/>
      <c r="B813" s="674"/>
      <c r="C813" s="674"/>
      <c r="D813" s="674"/>
      <c r="E813" s="674"/>
      <c r="F813" s="674"/>
      <c r="G813" s="674"/>
      <c r="H813" s="674"/>
      <c r="I813" s="674"/>
      <c r="J813" s="674"/>
      <c r="K813" s="674"/>
      <c r="L813" s="674"/>
      <c r="M813" s="674"/>
      <c r="N813" s="675"/>
      <c r="O813" s="630"/>
      <c r="P813" s="686"/>
    </row>
    <row r="814" spans="1:16" x14ac:dyDescent="0.3">
      <c r="A814" s="636"/>
      <c r="B814" s="674"/>
      <c r="C814" s="674"/>
      <c r="D814" s="674"/>
      <c r="E814" s="674"/>
      <c r="F814" s="674"/>
      <c r="G814" s="674"/>
      <c r="H814" s="674"/>
      <c r="I814" s="674"/>
      <c r="J814" s="674"/>
      <c r="K814" s="674"/>
      <c r="L814" s="674"/>
      <c r="M814" s="674"/>
      <c r="N814" s="675"/>
      <c r="O814" s="630"/>
      <c r="P814" s="686"/>
    </row>
    <row r="815" spans="1:16" x14ac:dyDescent="0.3">
      <c r="A815" s="636"/>
      <c r="B815" s="674"/>
      <c r="C815" s="674"/>
      <c r="D815" s="674"/>
      <c r="E815" s="674"/>
      <c r="F815" s="674"/>
      <c r="G815" s="674"/>
      <c r="H815" s="674"/>
      <c r="I815" s="674"/>
      <c r="J815" s="674"/>
      <c r="K815" s="674"/>
      <c r="L815" s="674"/>
      <c r="M815" s="674"/>
      <c r="N815" s="675"/>
      <c r="O815" s="630"/>
      <c r="P815" s="686"/>
    </row>
    <row r="816" spans="1:16" x14ac:dyDescent="0.3">
      <c r="A816" s="636"/>
      <c r="B816" s="674"/>
      <c r="C816" s="674"/>
      <c r="D816" s="674"/>
      <c r="E816" s="674"/>
      <c r="F816" s="674"/>
      <c r="G816" s="674"/>
      <c r="H816" s="674"/>
      <c r="I816" s="674"/>
      <c r="J816" s="674"/>
      <c r="K816" s="674"/>
      <c r="L816" s="674"/>
      <c r="M816" s="674"/>
      <c r="N816" s="675"/>
      <c r="O816" s="630"/>
      <c r="P816" s="686"/>
    </row>
    <row r="817" spans="1:16" x14ac:dyDescent="0.3">
      <c r="A817" s="636"/>
      <c r="B817" s="674"/>
      <c r="C817" s="674"/>
      <c r="D817" s="674"/>
      <c r="E817" s="674"/>
      <c r="F817" s="674"/>
      <c r="G817" s="674"/>
      <c r="H817" s="674"/>
      <c r="I817" s="674"/>
      <c r="J817" s="674"/>
      <c r="K817" s="674"/>
      <c r="L817" s="674"/>
      <c r="M817" s="674"/>
      <c r="N817" s="675"/>
      <c r="O817" s="630"/>
      <c r="P817" s="686"/>
    </row>
    <row r="818" spans="1:16" x14ac:dyDescent="0.3">
      <c r="A818" s="636"/>
      <c r="B818" s="674"/>
      <c r="C818" s="674"/>
      <c r="D818" s="674"/>
      <c r="E818" s="674"/>
      <c r="F818" s="674"/>
      <c r="G818" s="674"/>
      <c r="H818" s="674"/>
      <c r="I818" s="674"/>
      <c r="J818" s="674"/>
      <c r="K818" s="674"/>
      <c r="L818" s="674"/>
      <c r="M818" s="674"/>
      <c r="N818" s="675"/>
      <c r="O818" s="630"/>
      <c r="P818" s="686"/>
    </row>
    <row r="819" spans="1:16" x14ac:dyDescent="0.3">
      <c r="A819" s="636"/>
      <c r="B819" s="674"/>
      <c r="C819" s="674"/>
      <c r="D819" s="674"/>
      <c r="E819" s="674"/>
      <c r="F819" s="674"/>
      <c r="G819" s="674"/>
      <c r="H819" s="674"/>
      <c r="I819" s="674"/>
      <c r="J819" s="674"/>
      <c r="K819" s="674"/>
      <c r="L819" s="674"/>
      <c r="M819" s="674"/>
      <c r="N819" s="675"/>
      <c r="O819" s="630"/>
      <c r="P819" s="686"/>
    </row>
    <row r="820" spans="1:16" x14ac:dyDescent="0.3">
      <c r="A820" s="636"/>
      <c r="B820" s="674"/>
      <c r="C820" s="674"/>
      <c r="D820" s="674"/>
      <c r="E820" s="674"/>
      <c r="F820" s="674"/>
      <c r="G820" s="674"/>
      <c r="H820" s="674"/>
      <c r="I820" s="674"/>
      <c r="J820" s="674"/>
      <c r="K820" s="674"/>
      <c r="L820" s="674"/>
      <c r="M820" s="674"/>
      <c r="N820" s="675"/>
      <c r="O820" s="630"/>
      <c r="P820" s="686"/>
    </row>
    <row r="821" spans="1:16" x14ac:dyDescent="0.3">
      <c r="A821" s="636"/>
      <c r="B821" s="674"/>
      <c r="C821" s="674"/>
      <c r="D821" s="674"/>
      <c r="E821" s="674"/>
      <c r="F821" s="674"/>
      <c r="G821" s="674"/>
      <c r="H821" s="674"/>
      <c r="I821" s="674"/>
      <c r="J821" s="674"/>
      <c r="K821" s="674"/>
      <c r="L821" s="674"/>
      <c r="M821" s="674"/>
      <c r="N821" s="675"/>
      <c r="O821" s="630"/>
      <c r="P821" s="686"/>
    </row>
    <row r="822" spans="1:16" x14ac:dyDescent="0.3">
      <c r="A822" s="636"/>
      <c r="B822" s="674"/>
      <c r="C822" s="674"/>
      <c r="D822" s="674"/>
      <c r="E822" s="674"/>
      <c r="F822" s="674"/>
      <c r="G822" s="674"/>
      <c r="H822" s="674"/>
      <c r="I822" s="674"/>
      <c r="J822" s="674"/>
      <c r="K822" s="674"/>
      <c r="L822" s="674"/>
      <c r="M822" s="674"/>
      <c r="N822" s="675"/>
      <c r="O822" s="630"/>
      <c r="P822" s="686"/>
    </row>
    <row r="823" spans="1:16" x14ac:dyDescent="0.3">
      <c r="A823" s="636"/>
      <c r="B823" s="674"/>
      <c r="C823" s="674"/>
      <c r="D823" s="674"/>
      <c r="E823" s="674"/>
      <c r="F823" s="674"/>
      <c r="G823" s="674"/>
      <c r="H823" s="674"/>
      <c r="I823" s="674"/>
      <c r="J823" s="674"/>
      <c r="K823" s="674"/>
      <c r="L823" s="674"/>
      <c r="M823" s="674"/>
      <c r="N823" s="675"/>
      <c r="O823" s="630"/>
      <c r="P823" s="686"/>
    </row>
    <row r="824" spans="1:16" x14ac:dyDescent="0.3">
      <c r="A824" s="636"/>
      <c r="B824" s="674"/>
      <c r="C824" s="674"/>
      <c r="D824" s="674"/>
      <c r="E824" s="674"/>
      <c r="F824" s="674"/>
      <c r="G824" s="674"/>
      <c r="H824" s="674"/>
      <c r="I824" s="674"/>
      <c r="J824" s="674"/>
      <c r="K824" s="674"/>
      <c r="L824" s="674"/>
      <c r="M824" s="674"/>
      <c r="N824" s="675"/>
      <c r="O824" s="630"/>
      <c r="P824" s="686"/>
    </row>
    <row r="825" spans="1:16" x14ac:dyDescent="0.3">
      <c r="A825" s="636"/>
      <c r="B825" s="674"/>
      <c r="C825" s="674"/>
      <c r="D825" s="674"/>
      <c r="E825" s="674"/>
      <c r="F825" s="674"/>
      <c r="G825" s="674"/>
      <c r="H825" s="674"/>
      <c r="I825" s="674"/>
      <c r="J825" s="674"/>
      <c r="K825" s="674"/>
      <c r="L825" s="674"/>
      <c r="M825" s="674"/>
      <c r="N825" s="675"/>
      <c r="O825" s="630"/>
      <c r="P825" s="686"/>
    </row>
    <row r="826" spans="1:16" x14ac:dyDescent="0.3">
      <c r="A826" s="636"/>
      <c r="B826" s="674"/>
      <c r="C826" s="674"/>
      <c r="D826" s="674"/>
      <c r="E826" s="674"/>
      <c r="F826" s="674"/>
      <c r="G826" s="674"/>
      <c r="H826" s="674"/>
      <c r="I826" s="674"/>
      <c r="J826" s="674"/>
      <c r="K826" s="674"/>
      <c r="L826" s="674"/>
      <c r="M826" s="674"/>
      <c r="N826" s="675"/>
      <c r="O826" s="630"/>
      <c r="P826" s="686"/>
    </row>
    <row r="827" spans="1:16" x14ac:dyDescent="0.3">
      <c r="A827" s="636"/>
      <c r="B827" s="674"/>
      <c r="C827" s="674"/>
      <c r="D827" s="674"/>
      <c r="E827" s="674"/>
      <c r="F827" s="674"/>
      <c r="G827" s="674"/>
      <c r="H827" s="674"/>
      <c r="I827" s="674"/>
      <c r="J827" s="674"/>
      <c r="K827" s="674"/>
      <c r="L827" s="674"/>
      <c r="M827" s="674"/>
      <c r="N827" s="675"/>
      <c r="O827" s="630"/>
      <c r="P827" s="686"/>
    </row>
    <row r="828" spans="1:16" x14ac:dyDescent="0.3">
      <c r="A828" s="636"/>
      <c r="B828" s="674"/>
      <c r="C828" s="674"/>
      <c r="D828" s="674"/>
      <c r="E828" s="674"/>
      <c r="F828" s="674"/>
      <c r="G828" s="674"/>
      <c r="H828" s="674"/>
      <c r="I828" s="674"/>
      <c r="J828" s="674"/>
      <c r="K828" s="674"/>
      <c r="L828" s="674"/>
      <c r="M828" s="674"/>
      <c r="N828" s="675"/>
      <c r="O828" s="630"/>
      <c r="P828" s="686"/>
    </row>
    <row r="829" spans="1:16" x14ac:dyDescent="0.3">
      <c r="A829" s="636"/>
      <c r="B829" s="674"/>
      <c r="C829" s="674"/>
      <c r="D829" s="674"/>
      <c r="E829" s="674"/>
      <c r="F829" s="674"/>
      <c r="G829" s="674"/>
      <c r="H829" s="674"/>
      <c r="I829" s="674"/>
      <c r="J829" s="674"/>
      <c r="K829" s="674"/>
      <c r="L829" s="674"/>
      <c r="M829" s="674"/>
      <c r="N829" s="675"/>
      <c r="O829" s="630"/>
      <c r="P829" s="686"/>
    </row>
    <row r="830" spans="1:16" x14ac:dyDescent="0.3">
      <c r="A830" s="636"/>
      <c r="B830" s="674"/>
      <c r="C830" s="674"/>
      <c r="D830" s="674"/>
      <c r="E830" s="674"/>
      <c r="F830" s="674"/>
      <c r="G830" s="674"/>
      <c r="H830" s="674"/>
      <c r="I830" s="674"/>
      <c r="J830" s="674"/>
      <c r="K830" s="674"/>
      <c r="L830" s="674"/>
      <c r="M830" s="674"/>
      <c r="N830" s="675"/>
      <c r="O830" s="630"/>
      <c r="P830" s="686"/>
    </row>
    <row r="831" spans="1:16" x14ac:dyDescent="0.3">
      <c r="A831" s="636"/>
      <c r="B831" s="674"/>
      <c r="C831" s="674"/>
      <c r="D831" s="674"/>
      <c r="E831" s="674"/>
      <c r="F831" s="674"/>
      <c r="G831" s="674"/>
      <c r="H831" s="674"/>
      <c r="I831" s="674"/>
      <c r="J831" s="674"/>
      <c r="K831" s="674"/>
      <c r="L831" s="674"/>
      <c r="M831" s="674"/>
      <c r="N831" s="675"/>
      <c r="O831" s="630"/>
      <c r="P831" s="686"/>
    </row>
    <row r="832" spans="1:16" x14ac:dyDescent="0.3">
      <c r="A832" s="636"/>
      <c r="B832" s="674"/>
      <c r="C832" s="674"/>
      <c r="D832" s="674"/>
      <c r="E832" s="674"/>
      <c r="F832" s="674"/>
      <c r="G832" s="674"/>
      <c r="H832" s="674"/>
      <c r="I832" s="674"/>
      <c r="J832" s="674"/>
      <c r="K832" s="674"/>
      <c r="L832" s="674"/>
      <c r="M832" s="674"/>
      <c r="N832" s="675"/>
      <c r="O832" s="630"/>
      <c r="P832" s="690"/>
    </row>
    <row r="833" spans="1:16" ht="15" customHeight="1" x14ac:dyDescent="0.3">
      <c r="A833" s="603">
        <v>37</v>
      </c>
      <c r="B833" s="651"/>
      <c r="C833" s="651"/>
      <c r="D833" s="651"/>
      <c r="E833" s="651"/>
      <c r="F833" s="651"/>
      <c r="G833" s="651"/>
      <c r="H833" s="651"/>
      <c r="I833" s="651"/>
      <c r="J833" s="651"/>
      <c r="K833" s="651"/>
      <c r="L833" s="651"/>
      <c r="M833" s="651"/>
      <c r="N833" s="608" t="s">
        <v>213</v>
      </c>
      <c r="O833" s="671" t="str">
        <f>VLOOKUP(A833,'LISTA DE OFERENTES'!$A$6:$B$43,2,FALSE)</f>
        <v>CONSORCIO PARQUE CAIS2022</v>
      </c>
      <c r="P833" s="684"/>
    </row>
    <row r="834" spans="1:16" ht="15" customHeight="1" x14ac:dyDescent="0.3">
      <c r="A834" s="603"/>
      <c r="B834" s="606"/>
      <c r="C834" s="606"/>
      <c r="D834" s="606"/>
      <c r="E834" s="606"/>
      <c r="F834" s="606"/>
      <c r="G834" s="606"/>
      <c r="H834" s="606"/>
      <c r="I834" s="606"/>
      <c r="J834" s="606"/>
      <c r="K834" s="606"/>
      <c r="L834" s="606"/>
      <c r="M834" s="606"/>
      <c r="N834" s="608"/>
      <c r="O834" s="671"/>
      <c r="P834" s="682"/>
    </row>
    <row r="835" spans="1:16" ht="15" customHeight="1" x14ac:dyDescent="0.3">
      <c r="A835" s="603"/>
      <c r="B835" s="606"/>
      <c r="C835" s="606"/>
      <c r="D835" s="606"/>
      <c r="E835" s="606"/>
      <c r="F835" s="606"/>
      <c r="G835" s="606"/>
      <c r="H835" s="606"/>
      <c r="I835" s="606"/>
      <c r="J835" s="606"/>
      <c r="K835" s="606"/>
      <c r="L835" s="606"/>
      <c r="M835" s="606"/>
      <c r="N835" s="608"/>
      <c r="O835" s="671"/>
      <c r="P835" s="682"/>
    </row>
    <row r="836" spans="1:16" ht="15" customHeight="1" x14ac:dyDescent="0.3">
      <c r="A836" s="603"/>
      <c r="B836" s="606"/>
      <c r="C836" s="606"/>
      <c r="D836" s="606"/>
      <c r="E836" s="606"/>
      <c r="F836" s="606"/>
      <c r="G836" s="606"/>
      <c r="H836" s="606"/>
      <c r="I836" s="606"/>
      <c r="J836" s="606"/>
      <c r="K836" s="606"/>
      <c r="L836" s="606"/>
      <c r="M836" s="606"/>
      <c r="N836" s="608"/>
      <c r="O836" s="671"/>
      <c r="P836" s="682"/>
    </row>
    <row r="837" spans="1:16" ht="15" customHeight="1" x14ac:dyDescent="0.3">
      <c r="A837" s="603"/>
      <c r="B837" s="606"/>
      <c r="C837" s="606"/>
      <c r="D837" s="606"/>
      <c r="E837" s="606"/>
      <c r="F837" s="606"/>
      <c r="G837" s="606"/>
      <c r="H837" s="606"/>
      <c r="I837" s="606"/>
      <c r="J837" s="606"/>
      <c r="K837" s="606"/>
      <c r="L837" s="606"/>
      <c r="M837" s="606"/>
      <c r="N837" s="608"/>
      <c r="O837" s="671"/>
      <c r="P837" s="682"/>
    </row>
    <row r="838" spans="1:16" ht="15" customHeight="1" x14ac:dyDescent="0.3">
      <c r="A838" s="603"/>
      <c r="B838" s="606"/>
      <c r="C838" s="606"/>
      <c r="D838" s="606"/>
      <c r="E838" s="606"/>
      <c r="F838" s="606"/>
      <c r="G838" s="606"/>
      <c r="H838" s="606"/>
      <c r="I838" s="606"/>
      <c r="J838" s="606"/>
      <c r="K838" s="606"/>
      <c r="L838" s="606"/>
      <c r="M838" s="606"/>
      <c r="N838" s="608"/>
      <c r="O838" s="671"/>
      <c r="P838" s="682"/>
    </row>
    <row r="839" spans="1:16" ht="15" customHeight="1" x14ac:dyDescent="0.3">
      <c r="A839" s="603"/>
      <c r="B839" s="606"/>
      <c r="C839" s="606"/>
      <c r="D839" s="606"/>
      <c r="E839" s="606"/>
      <c r="F839" s="606"/>
      <c r="G839" s="606"/>
      <c r="H839" s="606"/>
      <c r="I839" s="606"/>
      <c r="J839" s="606"/>
      <c r="K839" s="606"/>
      <c r="L839" s="606"/>
      <c r="M839" s="606"/>
      <c r="N839" s="608"/>
      <c r="O839" s="671"/>
      <c r="P839" s="682"/>
    </row>
    <row r="840" spans="1:16" ht="15" customHeight="1" x14ac:dyDescent="0.3">
      <c r="A840" s="603"/>
      <c r="B840" s="606"/>
      <c r="C840" s="606"/>
      <c r="D840" s="606"/>
      <c r="E840" s="606"/>
      <c r="F840" s="606"/>
      <c r="G840" s="606"/>
      <c r="H840" s="606"/>
      <c r="I840" s="606"/>
      <c r="J840" s="606"/>
      <c r="K840" s="606"/>
      <c r="L840" s="606"/>
      <c r="M840" s="606"/>
      <c r="N840" s="608"/>
      <c r="O840" s="671"/>
      <c r="P840" s="682"/>
    </row>
    <row r="841" spans="1:16" ht="15" customHeight="1" x14ac:dyDescent="0.3">
      <c r="A841" s="603"/>
      <c r="B841" s="606"/>
      <c r="C841" s="606"/>
      <c r="D841" s="606"/>
      <c r="E841" s="606"/>
      <c r="F841" s="606"/>
      <c r="G841" s="606"/>
      <c r="H841" s="606"/>
      <c r="I841" s="606"/>
      <c r="J841" s="606"/>
      <c r="K841" s="606"/>
      <c r="L841" s="606"/>
      <c r="M841" s="606"/>
      <c r="N841" s="608"/>
      <c r="O841" s="671"/>
      <c r="P841" s="682"/>
    </row>
    <row r="842" spans="1:16" ht="15" customHeight="1" x14ac:dyDescent="0.3">
      <c r="A842" s="603"/>
      <c r="B842" s="606"/>
      <c r="C842" s="606"/>
      <c r="D842" s="606"/>
      <c r="E842" s="606"/>
      <c r="F842" s="606"/>
      <c r="G842" s="606"/>
      <c r="H842" s="606"/>
      <c r="I842" s="606"/>
      <c r="J842" s="606"/>
      <c r="K842" s="606"/>
      <c r="L842" s="606"/>
      <c r="M842" s="606"/>
      <c r="N842" s="608"/>
      <c r="O842" s="671"/>
      <c r="P842" s="682"/>
    </row>
    <row r="843" spans="1:16" ht="15" customHeight="1" x14ac:dyDescent="0.3">
      <c r="A843" s="603"/>
      <c r="B843" s="606"/>
      <c r="C843" s="606"/>
      <c r="D843" s="606"/>
      <c r="E843" s="606"/>
      <c r="F843" s="606"/>
      <c r="G843" s="606"/>
      <c r="H843" s="606"/>
      <c r="I843" s="606"/>
      <c r="J843" s="606"/>
      <c r="K843" s="606"/>
      <c r="L843" s="606"/>
      <c r="M843" s="606"/>
      <c r="N843" s="608"/>
      <c r="O843" s="671"/>
      <c r="P843" s="682"/>
    </row>
    <row r="844" spans="1:16" ht="15" customHeight="1" x14ac:dyDescent="0.3">
      <c r="A844" s="603"/>
      <c r="B844" s="606"/>
      <c r="C844" s="606"/>
      <c r="D844" s="606"/>
      <c r="E844" s="606"/>
      <c r="F844" s="606"/>
      <c r="G844" s="606"/>
      <c r="H844" s="606"/>
      <c r="I844" s="606"/>
      <c r="J844" s="606"/>
      <c r="K844" s="606"/>
      <c r="L844" s="606"/>
      <c r="M844" s="606"/>
      <c r="N844" s="608"/>
      <c r="O844" s="671"/>
      <c r="P844" s="682"/>
    </row>
    <row r="845" spans="1:16" ht="15" customHeight="1" x14ac:dyDescent="0.3">
      <c r="A845" s="603"/>
      <c r="B845" s="606"/>
      <c r="C845" s="606"/>
      <c r="D845" s="606"/>
      <c r="E845" s="606"/>
      <c r="F845" s="606"/>
      <c r="G845" s="606"/>
      <c r="H845" s="606"/>
      <c r="I845" s="606"/>
      <c r="J845" s="606"/>
      <c r="K845" s="606"/>
      <c r="L845" s="606"/>
      <c r="M845" s="606"/>
      <c r="N845" s="608"/>
      <c r="O845" s="671"/>
      <c r="P845" s="682"/>
    </row>
    <row r="846" spans="1:16" ht="15" customHeight="1" x14ac:dyDescent="0.3">
      <c r="A846" s="603"/>
      <c r="B846" s="606"/>
      <c r="C846" s="606"/>
      <c r="D846" s="606"/>
      <c r="E846" s="606"/>
      <c r="F846" s="606"/>
      <c r="G846" s="606"/>
      <c r="H846" s="606"/>
      <c r="I846" s="606"/>
      <c r="J846" s="606"/>
      <c r="K846" s="606"/>
      <c r="L846" s="606"/>
      <c r="M846" s="606"/>
      <c r="N846" s="608"/>
      <c r="O846" s="671"/>
      <c r="P846" s="682"/>
    </row>
    <row r="847" spans="1:16" ht="15" customHeight="1" x14ac:dyDescent="0.3">
      <c r="A847" s="603"/>
      <c r="B847" s="606"/>
      <c r="C847" s="606"/>
      <c r="D847" s="606"/>
      <c r="E847" s="606"/>
      <c r="F847" s="606"/>
      <c r="G847" s="606"/>
      <c r="H847" s="606"/>
      <c r="I847" s="606"/>
      <c r="J847" s="606"/>
      <c r="K847" s="606"/>
      <c r="L847" s="606"/>
      <c r="M847" s="606"/>
      <c r="N847" s="608"/>
      <c r="O847" s="671"/>
      <c r="P847" s="682"/>
    </row>
    <row r="848" spans="1:16" ht="15" customHeight="1" x14ac:dyDescent="0.3">
      <c r="A848" s="603"/>
      <c r="B848" s="606"/>
      <c r="C848" s="606"/>
      <c r="D848" s="606"/>
      <c r="E848" s="606"/>
      <c r="F848" s="606"/>
      <c r="G848" s="606"/>
      <c r="H848" s="606"/>
      <c r="I848" s="606"/>
      <c r="J848" s="606"/>
      <c r="K848" s="606"/>
      <c r="L848" s="606"/>
      <c r="M848" s="606"/>
      <c r="N848" s="608"/>
      <c r="O848" s="671"/>
      <c r="P848" s="682"/>
    </row>
    <row r="849" spans="1:16" ht="15" customHeight="1" x14ac:dyDescent="0.3">
      <c r="A849" s="603"/>
      <c r="B849" s="606"/>
      <c r="C849" s="606"/>
      <c r="D849" s="606"/>
      <c r="E849" s="606"/>
      <c r="F849" s="606"/>
      <c r="G849" s="606"/>
      <c r="H849" s="606"/>
      <c r="I849" s="606"/>
      <c r="J849" s="606"/>
      <c r="K849" s="606"/>
      <c r="L849" s="606"/>
      <c r="M849" s="606"/>
      <c r="N849" s="608"/>
      <c r="O849" s="671"/>
      <c r="P849" s="682"/>
    </row>
    <row r="850" spans="1:16" ht="15" customHeight="1" x14ac:dyDescent="0.3">
      <c r="A850" s="603"/>
      <c r="B850" s="606"/>
      <c r="C850" s="606"/>
      <c r="D850" s="606"/>
      <c r="E850" s="606"/>
      <c r="F850" s="606"/>
      <c r="G850" s="606"/>
      <c r="H850" s="606"/>
      <c r="I850" s="606"/>
      <c r="J850" s="606"/>
      <c r="K850" s="606"/>
      <c r="L850" s="606"/>
      <c r="M850" s="606"/>
      <c r="N850" s="608"/>
      <c r="O850" s="671"/>
      <c r="P850" s="682"/>
    </row>
    <row r="851" spans="1:16" ht="15" customHeight="1" x14ac:dyDescent="0.3">
      <c r="A851" s="603"/>
      <c r="B851" s="606"/>
      <c r="C851" s="606"/>
      <c r="D851" s="606"/>
      <c r="E851" s="606"/>
      <c r="F851" s="606"/>
      <c r="G851" s="606"/>
      <c r="H851" s="606"/>
      <c r="I851" s="606"/>
      <c r="J851" s="606"/>
      <c r="K851" s="606"/>
      <c r="L851" s="606"/>
      <c r="M851" s="606"/>
      <c r="N851" s="608"/>
      <c r="O851" s="671"/>
      <c r="P851" s="682"/>
    </row>
    <row r="852" spans="1:16" ht="15" customHeight="1" x14ac:dyDescent="0.3">
      <c r="A852" s="603"/>
      <c r="B852" s="606"/>
      <c r="C852" s="606"/>
      <c r="D852" s="606"/>
      <c r="E852" s="606"/>
      <c r="F852" s="606"/>
      <c r="G852" s="606"/>
      <c r="H852" s="606"/>
      <c r="I852" s="606"/>
      <c r="J852" s="606"/>
      <c r="K852" s="606"/>
      <c r="L852" s="606"/>
      <c r="M852" s="606"/>
      <c r="N852" s="608"/>
      <c r="O852" s="671"/>
      <c r="P852" s="682"/>
    </row>
    <row r="853" spans="1:16" ht="15" customHeight="1" x14ac:dyDescent="0.3">
      <c r="A853" s="603"/>
      <c r="B853" s="606"/>
      <c r="C853" s="606"/>
      <c r="D853" s="606"/>
      <c r="E853" s="606"/>
      <c r="F853" s="606"/>
      <c r="G853" s="606"/>
      <c r="H853" s="606"/>
      <c r="I853" s="606"/>
      <c r="J853" s="606"/>
      <c r="K853" s="606"/>
      <c r="L853" s="606"/>
      <c r="M853" s="606"/>
      <c r="N853" s="608"/>
      <c r="O853" s="671"/>
      <c r="P853" s="682"/>
    </row>
    <row r="854" spans="1:16" ht="15" customHeight="1" x14ac:dyDescent="0.3">
      <c r="A854" s="603"/>
      <c r="B854" s="606"/>
      <c r="C854" s="606"/>
      <c r="D854" s="606"/>
      <c r="E854" s="606"/>
      <c r="F854" s="606"/>
      <c r="G854" s="606"/>
      <c r="H854" s="606"/>
      <c r="I854" s="606"/>
      <c r="J854" s="606"/>
      <c r="K854" s="606"/>
      <c r="L854" s="606"/>
      <c r="M854" s="606"/>
      <c r="N854" s="608"/>
      <c r="O854" s="671"/>
      <c r="P854" s="682"/>
    </row>
    <row r="855" spans="1:16" ht="15" customHeight="1" x14ac:dyDescent="0.3">
      <c r="A855" s="603"/>
      <c r="B855" s="606"/>
      <c r="C855" s="606"/>
      <c r="D855" s="606"/>
      <c r="E855" s="606"/>
      <c r="F855" s="606"/>
      <c r="G855" s="606"/>
      <c r="H855" s="606"/>
      <c r="I855" s="606"/>
      <c r="J855" s="606"/>
      <c r="K855" s="606"/>
      <c r="L855" s="606"/>
      <c r="M855" s="606"/>
      <c r="N855" s="609"/>
      <c r="O855" s="672"/>
      <c r="P855" s="683"/>
    </row>
    <row r="856" spans="1:16" ht="15" customHeight="1" x14ac:dyDescent="0.3">
      <c r="A856" s="603">
        <v>38</v>
      </c>
      <c r="B856" s="606"/>
      <c r="C856" s="606"/>
      <c r="D856" s="606"/>
      <c r="E856" s="606"/>
      <c r="F856" s="606"/>
      <c r="G856" s="606"/>
      <c r="H856" s="606"/>
      <c r="I856" s="606"/>
      <c r="J856" s="606"/>
      <c r="K856" s="606"/>
      <c r="L856" s="606"/>
      <c r="M856" s="606"/>
      <c r="N856" s="607" t="s">
        <v>213</v>
      </c>
      <c r="O856" s="673" t="str">
        <f>VLOOKUP(A856,'LISTA DE OFERENTES'!$A$6:$B$43,2,FALSE)</f>
        <v>PHVA CONSTRUCTORES SAS</v>
      </c>
      <c r="P856" s="684"/>
    </row>
    <row r="857" spans="1:16" ht="15" customHeight="1" x14ac:dyDescent="0.3">
      <c r="A857" s="603"/>
      <c r="B857" s="606"/>
      <c r="C857" s="606"/>
      <c r="D857" s="606"/>
      <c r="E857" s="606"/>
      <c r="F857" s="606"/>
      <c r="G857" s="606"/>
      <c r="H857" s="606"/>
      <c r="I857" s="606"/>
      <c r="J857" s="606"/>
      <c r="K857" s="606"/>
      <c r="L857" s="606"/>
      <c r="M857" s="606"/>
      <c r="N857" s="608"/>
      <c r="O857" s="671"/>
      <c r="P857" s="682"/>
    </row>
    <row r="858" spans="1:16" ht="15" customHeight="1" x14ac:dyDescent="0.3">
      <c r="A858" s="603"/>
      <c r="B858" s="606"/>
      <c r="C858" s="606"/>
      <c r="D858" s="606"/>
      <c r="E858" s="606"/>
      <c r="F858" s="606"/>
      <c r="G858" s="606"/>
      <c r="H858" s="606"/>
      <c r="I858" s="606"/>
      <c r="J858" s="606"/>
      <c r="K858" s="606"/>
      <c r="L858" s="606"/>
      <c r="M858" s="606"/>
      <c r="N858" s="608"/>
      <c r="O858" s="671"/>
      <c r="P858" s="682"/>
    </row>
    <row r="859" spans="1:16" ht="15" customHeight="1" x14ac:dyDescent="0.3">
      <c r="A859" s="603"/>
      <c r="B859" s="606"/>
      <c r="C859" s="606"/>
      <c r="D859" s="606"/>
      <c r="E859" s="606"/>
      <c r="F859" s="606"/>
      <c r="G859" s="606"/>
      <c r="H859" s="606"/>
      <c r="I859" s="606"/>
      <c r="J859" s="606"/>
      <c r="K859" s="606"/>
      <c r="L859" s="606"/>
      <c r="M859" s="606"/>
      <c r="N859" s="608"/>
      <c r="O859" s="671"/>
      <c r="P859" s="682"/>
    </row>
    <row r="860" spans="1:16" ht="15" customHeight="1" x14ac:dyDescent="0.3">
      <c r="A860" s="603"/>
      <c r="B860" s="606"/>
      <c r="C860" s="606"/>
      <c r="D860" s="606"/>
      <c r="E860" s="606"/>
      <c r="F860" s="606"/>
      <c r="G860" s="606"/>
      <c r="H860" s="606"/>
      <c r="I860" s="606"/>
      <c r="J860" s="606"/>
      <c r="K860" s="606"/>
      <c r="L860" s="606"/>
      <c r="M860" s="606"/>
      <c r="N860" s="608"/>
      <c r="O860" s="671"/>
      <c r="P860" s="682"/>
    </row>
    <row r="861" spans="1:16" ht="15" customHeight="1" x14ac:dyDescent="0.3">
      <c r="A861" s="603"/>
      <c r="B861" s="606"/>
      <c r="C861" s="606"/>
      <c r="D861" s="606"/>
      <c r="E861" s="606"/>
      <c r="F861" s="606"/>
      <c r="G861" s="606"/>
      <c r="H861" s="606"/>
      <c r="I861" s="606"/>
      <c r="J861" s="606"/>
      <c r="K861" s="606"/>
      <c r="L861" s="606"/>
      <c r="M861" s="606"/>
      <c r="N861" s="608"/>
      <c r="O861" s="671"/>
      <c r="P861" s="682"/>
    </row>
    <row r="862" spans="1:16" ht="15" customHeight="1" x14ac:dyDescent="0.3">
      <c r="A862" s="603"/>
      <c r="B862" s="606"/>
      <c r="C862" s="606"/>
      <c r="D862" s="606"/>
      <c r="E862" s="606"/>
      <c r="F862" s="606"/>
      <c r="G862" s="606"/>
      <c r="H862" s="606"/>
      <c r="I862" s="606"/>
      <c r="J862" s="606"/>
      <c r="K862" s="606"/>
      <c r="L862" s="606"/>
      <c r="M862" s="606"/>
      <c r="N862" s="608"/>
      <c r="O862" s="671"/>
      <c r="P862" s="682"/>
    </row>
    <row r="863" spans="1:16" ht="15" customHeight="1" x14ac:dyDescent="0.3">
      <c r="A863" s="603"/>
      <c r="B863" s="606"/>
      <c r="C863" s="606"/>
      <c r="D863" s="606"/>
      <c r="E863" s="606"/>
      <c r="F863" s="606"/>
      <c r="G863" s="606"/>
      <c r="H863" s="606"/>
      <c r="I863" s="606"/>
      <c r="J863" s="606"/>
      <c r="K863" s="606"/>
      <c r="L863" s="606"/>
      <c r="M863" s="606"/>
      <c r="N863" s="608"/>
      <c r="O863" s="671"/>
      <c r="P863" s="682"/>
    </row>
    <row r="864" spans="1:16" ht="15" customHeight="1" x14ac:dyDescent="0.3">
      <c r="A864" s="603"/>
      <c r="B864" s="606"/>
      <c r="C864" s="606"/>
      <c r="D864" s="606"/>
      <c r="E864" s="606"/>
      <c r="F864" s="606"/>
      <c r="G864" s="606"/>
      <c r="H864" s="606"/>
      <c r="I864" s="606"/>
      <c r="J864" s="606"/>
      <c r="K864" s="606"/>
      <c r="L864" s="606"/>
      <c r="M864" s="606"/>
      <c r="N864" s="608"/>
      <c r="O864" s="671"/>
      <c r="P864" s="682"/>
    </row>
    <row r="865" spans="1:16" ht="15" customHeight="1" x14ac:dyDescent="0.3">
      <c r="A865" s="603"/>
      <c r="B865" s="606"/>
      <c r="C865" s="606"/>
      <c r="D865" s="606"/>
      <c r="E865" s="606"/>
      <c r="F865" s="606"/>
      <c r="G865" s="606"/>
      <c r="H865" s="606"/>
      <c r="I865" s="606"/>
      <c r="J865" s="606"/>
      <c r="K865" s="606"/>
      <c r="L865" s="606"/>
      <c r="M865" s="606"/>
      <c r="N865" s="608"/>
      <c r="O865" s="671"/>
      <c r="P865" s="682"/>
    </row>
    <row r="866" spans="1:16" ht="15" customHeight="1" x14ac:dyDescent="0.3">
      <c r="A866" s="603"/>
      <c r="B866" s="606"/>
      <c r="C866" s="606"/>
      <c r="D866" s="606"/>
      <c r="E866" s="606"/>
      <c r="F866" s="606"/>
      <c r="G866" s="606"/>
      <c r="H866" s="606"/>
      <c r="I866" s="606"/>
      <c r="J866" s="606"/>
      <c r="K866" s="606"/>
      <c r="L866" s="606"/>
      <c r="M866" s="606"/>
      <c r="N866" s="608"/>
      <c r="O866" s="671"/>
      <c r="P866" s="682"/>
    </row>
    <row r="867" spans="1:16" ht="15" customHeight="1" x14ac:dyDescent="0.3">
      <c r="A867" s="603"/>
      <c r="B867" s="606"/>
      <c r="C867" s="606"/>
      <c r="D867" s="606"/>
      <c r="E867" s="606"/>
      <c r="F867" s="606"/>
      <c r="G867" s="606"/>
      <c r="H867" s="606"/>
      <c r="I867" s="606"/>
      <c r="J867" s="606"/>
      <c r="K867" s="606"/>
      <c r="L867" s="606"/>
      <c r="M867" s="606"/>
      <c r="N867" s="608"/>
      <c r="O867" s="671"/>
      <c r="P867" s="682"/>
    </row>
    <row r="868" spans="1:16" ht="15" customHeight="1" x14ac:dyDescent="0.3">
      <c r="A868" s="603"/>
      <c r="B868" s="606"/>
      <c r="C868" s="606"/>
      <c r="D868" s="606"/>
      <c r="E868" s="606"/>
      <c r="F868" s="606"/>
      <c r="G868" s="606"/>
      <c r="H868" s="606"/>
      <c r="I868" s="606"/>
      <c r="J868" s="606"/>
      <c r="K868" s="606"/>
      <c r="L868" s="606"/>
      <c r="M868" s="606"/>
      <c r="N868" s="608"/>
      <c r="O868" s="671"/>
      <c r="P868" s="682"/>
    </row>
    <row r="869" spans="1:16" ht="15" customHeight="1" x14ac:dyDescent="0.3">
      <c r="A869" s="603"/>
      <c r="B869" s="606"/>
      <c r="C869" s="606"/>
      <c r="D869" s="606"/>
      <c r="E869" s="606"/>
      <c r="F869" s="606"/>
      <c r="G869" s="606"/>
      <c r="H869" s="606"/>
      <c r="I869" s="606"/>
      <c r="J869" s="606"/>
      <c r="K869" s="606"/>
      <c r="L869" s="606"/>
      <c r="M869" s="606"/>
      <c r="N869" s="608"/>
      <c r="O869" s="671"/>
      <c r="P869" s="682"/>
    </row>
    <row r="870" spans="1:16" ht="15" customHeight="1" x14ac:dyDescent="0.3">
      <c r="A870" s="603"/>
      <c r="B870" s="606"/>
      <c r="C870" s="606"/>
      <c r="D870" s="606"/>
      <c r="E870" s="606"/>
      <c r="F870" s="606"/>
      <c r="G870" s="606"/>
      <c r="H870" s="606"/>
      <c r="I870" s="606"/>
      <c r="J870" s="606"/>
      <c r="K870" s="606"/>
      <c r="L870" s="606"/>
      <c r="M870" s="606"/>
      <c r="N870" s="608"/>
      <c r="O870" s="671"/>
      <c r="P870" s="682"/>
    </row>
    <row r="871" spans="1:16" ht="15" customHeight="1" x14ac:dyDescent="0.3">
      <c r="A871" s="603"/>
      <c r="B871" s="606"/>
      <c r="C871" s="606"/>
      <c r="D871" s="606"/>
      <c r="E871" s="606"/>
      <c r="F871" s="606"/>
      <c r="G871" s="606"/>
      <c r="H871" s="606"/>
      <c r="I871" s="606"/>
      <c r="J871" s="606"/>
      <c r="K871" s="606"/>
      <c r="L871" s="606"/>
      <c r="M871" s="606"/>
      <c r="N871" s="608"/>
      <c r="O871" s="671"/>
      <c r="P871" s="682"/>
    </row>
    <row r="872" spans="1:16" ht="15" customHeight="1" x14ac:dyDescent="0.3">
      <c r="A872" s="603"/>
      <c r="B872" s="606"/>
      <c r="C872" s="606"/>
      <c r="D872" s="606"/>
      <c r="E872" s="606"/>
      <c r="F872" s="606"/>
      <c r="G872" s="606"/>
      <c r="H872" s="606"/>
      <c r="I872" s="606"/>
      <c r="J872" s="606"/>
      <c r="K872" s="606"/>
      <c r="L872" s="606"/>
      <c r="M872" s="606"/>
      <c r="N872" s="608"/>
      <c r="O872" s="671"/>
      <c r="P872" s="682"/>
    </row>
    <row r="873" spans="1:16" ht="15" customHeight="1" x14ac:dyDescent="0.3">
      <c r="A873" s="603"/>
      <c r="B873" s="606"/>
      <c r="C873" s="606"/>
      <c r="D873" s="606"/>
      <c r="E873" s="606"/>
      <c r="F873" s="606"/>
      <c r="G873" s="606"/>
      <c r="H873" s="606"/>
      <c r="I873" s="606"/>
      <c r="J873" s="606"/>
      <c r="K873" s="606"/>
      <c r="L873" s="606"/>
      <c r="M873" s="606"/>
      <c r="N873" s="608"/>
      <c r="O873" s="671"/>
      <c r="P873" s="682"/>
    </row>
    <row r="874" spans="1:16" ht="15" customHeight="1" x14ac:dyDescent="0.3">
      <c r="A874" s="603"/>
      <c r="B874" s="606"/>
      <c r="C874" s="606"/>
      <c r="D874" s="606"/>
      <c r="E874" s="606"/>
      <c r="F874" s="606"/>
      <c r="G874" s="606"/>
      <c r="H874" s="606"/>
      <c r="I874" s="606"/>
      <c r="J874" s="606"/>
      <c r="K874" s="606"/>
      <c r="L874" s="606"/>
      <c r="M874" s="606"/>
      <c r="N874" s="608"/>
      <c r="O874" s="671"/>
      <c r="P874" s="682"/>
    </row>
    <row r="875" spans="1:16" ht="15" customHeight="1" x14ac:dyDescent="0.3">
      <c r="A875" s="603"/>
      <c r="B875" s="606"/>
      <c r="C875" s="606"/>
      <c r="D875" s="606"/>
      <c r="E875" s="606"/>
      <c r="F875" s="606"/>
      <c r="G875" s="606"/>
      <c r="H875" s="606"/>
      <c r="I875" s="606"/>
      <c r="J875" s="606"/>
      <c r="K875" s="606"/>
      <c r="L875" s="606"/>
      <c r="M875" s="606"/>
      <c r="N875" s="608"/>
      <c r="O875" s="671"/>
      <c r="P875" s="682"/>
    </row>
    <row r="876" spans="1:16" ht="15" customHeight="1" x14ac:dyDescent="0.3">
      <c r="A876" s="603"/>
      <c r="B876" s="606"/>
      <c r="C876" s="606"/>
      <c r="D876" s="606"/>
      <c r="E876" s="606"/>
      <c r="F876" s="606"/>
      <c r="G876" s="606"/>
      <c r="H876" s="606"/>
      <c r="I876" s="606"/>
      <c r="J876" s="606"/>
      <c r="K876" s="606"/>
      <c r="L876" s="606"/>
      <c r="M876" s="606"/>
      <c r="N876" s="608"/>
      <c r="O876" s="671"/>
      <c r="P876" s="682"/>
    </row>
    <row r="877" spans="1:16" ht="15" customHeight="1" x14ac:dyDescent="0.3">
      <c r="A877" s="603"/>
      <c r="B877" s="606"/>
      <c r="C877" s="606"/>
      <c r="D877" s="606"/>
      <c r="E877" s="606"/>
      <c r="F877" s="606"/>
      <c r="G877" s="606"/>
      <c r="H877" s="606"/>
      <c r="I877" s="606"/>
      <c r="J877" s="606"/>
      <c r="K877" s="606"/>
      <c r="L877" s="606"/>
      <c r="M877" s="606"/>
      <c r="N877" s="608"/>
      <c r="O877" s="671"/>
      <c r="P877" s="682"/>
    </row>
    <row r="878" spans="1:16" ht="15" customHeight="1" x14ac:dyDescent="0.3">
      <c r="A878" s="603"/>
      <c r="B878" s="606"/>
      <c r="C878" s="606"/>
      <c r="D878" s="606"/>
      <c r="E878" s="606"/>
      <c r="F878" s="606"/>
      <c r="G878" s="606"/>
      <c r="H878" s="606"/>
      <c r="I878" s="606"/>
      <c r="J878" s="606"/>
      <c r="K878" s="606"/>
      <c r="L878" s="606"/>
      <c r="M878" s="606"/>
      <c r="N878" s="609"/>
      <c r="O878" s="672"/>
      <c r="P878" s="683"/>
    </row>
  </sheetData>
  <mergeCells count="194">
    <mergeCell ref="P833:P855"/>
    <mergeCell ref="P856:P878"/>
    <mergeCell ref="P626:P648"/>
    <mergeCell ref="P649:P671"/>
    <mergeCell ref="P672:P694"/>
    <mergeCell ref="P695:P717"/>
    <mergeCell ref="P718:P740"/>
    <mergeCell ref="P741:P763"/>
    <mergeCell ref="P764:P786"/>
    <mergeCell ref="P787:P809"/>
    <mergeCell ref="P810:P832"/>
    <mergeCell ref="P419:P441"/>
    <mergeCell ref="P442:P464"/>
    <mergeCell ref="P465:P487"/>
    <mergeCell ref="P488:P510"/>
    <mergeCell ref="P511:P533"/>
    <mergeCell ref="P534:P556"/>
    <mergeCell ref="P557:P579"/>
    <mergeCell ref="P580:P602"/>
    <mergeCell ref="P603:P625"/>
    <mergeCell ref="P212:P234"/>
    <mergeCell ref="P235:P257"/>
    <mergeCell ref="P258:P280"/>
    <mergeCell ref="P281:P303"/>
    <mergeCell ref="P304:P326"/>
    <mergeCell ref="P327:P349"/>
    <mergeCell ref="P350:P372"/>
    <mergeCell ref="P373:P395"/>
    <mergeCell ref="P396:P418"/>
    <mergeCell ref="P5:P27"/>
    <mergeCell ref="P28:P50"/>
    <mergeCell ref="P51:P73"/>
    <mergeCell ref="P74:P96"/>
    <mergeCell ref="P97:P119"/>
    <mergeCell ref="P120:P142"/>
    <mergeCell ref="P143:P165"/>
    <mergeCell ref="P166:P188"/>
    <mergeCell ref="P189:P211"/>
    <mergeCell ref="A833:A855"/>
    <mergeCell ref="B833:M855"/>
    <mergeCell ref="N833:N855"/>
    <mergeCell ref="O833:O855"/>
    <mergeCell ref="A856:A878"/>
    <mergeCell ref="B856:M878"/>
    <mergeCell ref="N856:N878"/>
    <mergeCell ref="O856:O878"/>
    <mergeCell ref="A764:A786"/>
    <mergeCell ref="B764:M786"/>
    <mergeCell ref="N764:N786"/>
    <mergeCell ref="O764:O786"/>
    <mergeCell ref="A787:A809"/>
    <mergeCell ref="B787:M809"/>
    <mergeCell ref="N787:N809"/>
    <mergeCell ref="O787:O809"/>
    <mergeCell ref="A810:A832"/>
    <mergeCell ref="B810:M832"/>
    <mergeCell ref="N810:N832"/>
    <mergeCell ref="O810:O832"/>
    <mergeCell ref="A718:A740"/>
    <mergeCell ref="B718:M740"/>
    <mergeCell ref="O718:O740"/>
    <mergeCell ref="A741:A763"/>
    <mergeCell ref="B741:M763"/>
    <mergeCell ref="O741:O763"/>
    <mergeCell ref="A672:A694"/>
    <mergeCell ref="B672:M694"/>
    <mergeCell ref="O672:O694"/>
    <mergeCell ref="A695:A717"/>
    <mergeCell ref="B695:M717"/>
    <mergeCell ref="O695:O717"/>
    <mergeCell ref="N672:N694"/>
    <mergeCell ref="N695:N717"/>
    <mergeCell ref="N718:N740"/>
    <mergeCell ref="N741:N763"/>
    <mergeCell ref="A626:A648"/>
    <mergeCell ref="B626:M648"/>
    <mergeCell ref="O626:O648"/>
    <mergeCell ref="A649:A671"/>
    <mergeCell ref="B649:M671"/>
    <mergeCell ref="O649:O671"/>
    <mergeCell ref="A580:A602"/>
    <mergeCell ref="B580:M602"/>
    <mergeCell ref="O580:O602"/>
    <mergeCell ref="A603:A625"/>
    <mergeCell ref="B603:M625"/>
    <mergeCell ref="O603:O625"/>
    <mergeCell ref="N580:N602"/>
    <mergeCell ref="N603:N625"/>
    <mergeCell ref="N626:N648"/>
    <mergeCell ref="N649:N671"/>
    <mergeCell ref="A534:A556"/>
    <mergeCell ref="B534:M556"/>
    <mergeCell ref="O534:O556"/>
    <mergeCell ref="A557:A579"/>
    <mergeCell ref="B557:M579"/>
    <mergeCell ref="O557:O579"/>
    <mergeCell ref="A488:A510"/>
    <mergeCell ref="B488:M510"/>
    <mergeCell ref="O488:O510"/>
    <mergeCell ref="A511:A533"/>
    <mergeCell ref="B511:M533"/>
    <mergeCell ref="O511:O533"/>
    <mergeCell ref="N488:N510"/>
    <mergeCell ref="N511:N533"/>
    <mergeCell ref="N534:N556"/>
    <mergeCell ref="N557:N579"/>
    <mergeCell ref="A442:A464"/>
    <mergeCell ref="B442:M464"/>
    <mergeCell ref="O442:O464"/>
    <mergeCell ref="A465:A487"/>
    <mergeCell ref="B465:M487"/>
    <mergeCell ref="O465:O487"/>
    <mergeCell ref="A396:A418"/>
    <mergeCell ref="B396:M418"/>
    <mergeCell ref="O396:O418"/>
    <mergeCell ref="A419:A441"/>
    <mergeCell ref="B419:M441"/>
    <mergeCell ref="O419:O441"/>
    <mergeCell ref="N396:N418"/>
    <mergeCell ref="N419:N441"/>
    <mergeCell ref="N442:N464"/>
    <mergeCell ref="N465:N487"/>
    <mergeCell ref="A350:A372"/>
    <mergeCell ref="B350:M372"/>
    <mergeCell ref="O350:O372"/>
    <mergeCell ref="A373:A395"/>
    <mergeCell ref="B373:M395"/>
    <mergeCell ref="O373:O395"/>
    <mergeCell ref="A304:A326"/>
    <mergeCell ref="B304:M326"/>
    <mergeCell ref="O304:O326"/>
    <mergeCell ref="A327:A349"/>
    <mergeCell ref="B327:M349"/>
    <mergeCell ref="O327:O349"/>
    <mergeCell ref="N304:N326"/>
    <mergeCell ref="N327:N349"/>
    <mergeCell ref="N350:N372"/>
    <mergeCell ref="N373:N395"/>
    <mergeCell ref="A258:A280"/>
    <mergeCell ref="B258:M280"/>
    <mergeCell ref="O258:O280"/>
    <mergeCell ref="A281:A303"/>
    <mergeCell ref="B281:M303"/>
    <mergeCell ref="O281:O303"/>
    <mergeCell ref="A212:A234"/>
    <mergeCell ref="B212:M234"/>
    <mergeCell ref="O212:O234"/>
    <mergeCell ref="A235:A257"/>
    <mergeCell ref="B235:M257"/>
    <mergeCell ref="O235:O257"/>
    <mergeCell ref="N212:N234"/>
    <mergeCell ref="N235:N257"/>
    <mergeCell ref="N258:N280"/>
    <mergeCell ref="N281:N303"/>
    <mergeCell ref="A166:A188"/>
    <mergeCell ref="B166:M188"/>
    <mergeCell ref="O166:O188"/>
    <mergeCell ref="A189:A211"/>
    <mergeCell ref="B189:M211"/>
    <mergeCell ref="O189:O211"/>
    <mergeCell ref="A120:A142"/>
    <mergeCell ref="B120:M142"/>
    <mergeCell ref="O120:O142"/>
    <mergeCell ref="A143:A165"/>
    <mergeCell ref="B143:M165"/>
    <mergeCell ref="O143:O165"/>
    <mergeCell ref="N120:N142"/>
    <mergeCell ref="N143:N165"/>
    <mergeCell ref="N166:N188"/>
    <mergeCell ref="N189:N211"/>
    <mergeCell ref="A1:O1"/>
    <mergeCell ref="A2:O2"/>
    <mergeCell ref="A3:O3"/>
    <mergeCell ref="A5:A27"/>
    <mergeCell ref="B5:M27"/>
    <mergeCell ref="O5:O27"/>
    <mergeCell ref="A74:A96"/>
    <mergeCell ref="B74:M96"/>
    <mergeCell ref="O74:O96"/>
    <mergeCell ref="N5:N27"/>
    <mergeCell ref="A4:O4"/>
    <mergeCell ref="A97:A119"/>
    <mergeCell ref="B97:M119"/>
    <mergeCell ref="O97:O119"/>
    <mergeCell ref="A28:A50"/>
    <mergeCell ref="B28:M50"/>
    <mergeCell ref="O28:O50"/>
    <mergeCell ref="A51:A73"/>
    <mergeCell ref="B51:M73"/>
    <mergeCell ref="O51:O73"/>
    <mergeCell ref="N28:N50"/>
    <mergeCell ref="N51:N73"/>
    <mergeCell ref="N74:N96"/>
    <mergeCell ref="N97:N119"/>
  </mergeCells>
  <conditionalFormatting sqref="N5:N763">
    <cfRule type="cellIs" dxfId="93" priority="13" operator="equal">
      <formula>"CUMPLE"</formula>
    </cfRule>
    <cfRule type="cellIs" dxfId="92" priority="14" operator="equal">
      <formula>"NO CUMPLE"</formula>
    </cfRule>
  </conditionalFormatting>
  <conditionalFormatting sqref="N764:N786">
    <cfRule type="cellIs" dxfId="91" priority="11" operator="equal">
      <formula>"CUMPLE"</formula>
    </cfRule>
    <cfRule type="cellIs" dxfId="90" priority="12" operator="equal">
      <formula>"NO CUMPLE"</formula>
    </cfRule>
  </conditionalFormatting>
  <conditionalFormatting sqref="N787:N809">
    <cfRule type="cellIs" dxfId="89" priority="9" operator="equal">
      <formula>"CUMPLE"</formula>
    </cfRule>
    <cfRule type="cellIs" dxfId="88" priority="10" operator="equal">
      <formula>"NO CUMPLE"</formula>
    </cfRule>
  </conditionalFormatting>
  <conditionalFormatting sqref="N810:N832">
    <cfRule type="cellIs" dxfId="87" priority="7" operator="equal">
      <formula>"CUMPLE"</formula>
    </cfRule>
    <cfRule type="cellIs" dxfId="86" priority="8" operator="equal">
      <formula>"NO CUMPLE"</formula>
    </cfRule>
  </conditionalFormatting>
  <conditionalFormatting sqref="N833:N855">
    <cfRule type="cellIs" dxfId="85" priority="5" operator="equal">
      <formula>"CUMPLE"</formula>
    </cfRule>
    <cfRule type="cellIs" dxfId="84" priority="6" operator="equal">
      <formula>"NO CUMPLE"</formula>
    </cfRule>
  </conditionalFormatting>
  <conditionalFormatting sqref="N856:N878">
    <cfRule type="cellIs" dxfId="83" priority="3" operator="equal">
      <formula>"CUMPLE"</formula>
    </cfRule>
    <cfRule type="cellIs" dxfId="82" priority="4" operator="equal">
      <formula>"NO CUMPLE"</formula>
    </cfRule>
  </conditionalFormatting>
  <dataValidations count="1">
    <dataValidation type="list" allowBlank="1" showInputMessage="1" showErrorMessage="1" sqref="N5:N878" xr:uid="{D76AA29C-70EC-7142-9DA3-032BCC2E655D}">
      <formula1>$AQ$8:$AQ$10</formula1>
    </dataValidation>
  </dataValidations>
  <pageMargins left="0.2" right="0.2" top="0.4" bottom="0.4" header="0.3" footer="0.3"/>
  <pageSetup paperSize="122" scale="60"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E8E7A-062D-4C77-959F-AB991CF0D34A}">
  <sheetPr>
    <tabColor rgb="FF00B050"/>
  </sheetPr>
  <dimension ref="A1:K46"/>
  <sheetViews>
    <sheetView tabSelected="1" zoomScale="55" zoomScaleNormal="55" zoomScaleSheetLayoutView="100" zoomScalePageLayoutView="70" workbookViewId="0">
      <selection sqref="A1:C1"/>
    </sheetView>
  </sheetViews>
  <sheetFormatPr baseColWidth="10" defaultColWidth="11.44140625" defaultRowHeight="14.4" x14ac:dyDescent="0.3"/>
  <cols>
    <col min="1" max="1" width="6.88671875" style="376" customWidth="1"/>
    <col min="2" max="2" width="45.88671875" style="376" customWidth="1"/>
    <col min="3" max="3" width="38.33203125" style="376" customWidth="1"/>
    <col min="4" max="5" width="22.44140625" style="404" customWidth="1"/>
    <col min="6" max="6" width="17.88671875" style="404" customWidth="1"/>
    <col min="7" max="7" width="20.33203125" style="404" customWidth="1"/>
    <col min="8" max="8" width="15" style="376" customWidth="1"/>
    <col min="9" max="9" width="48.6640625" style="376" customWidth="1"/>
    <col min="10" max="16384" width="11.44140625" style="376"/>
  </cols>
  <sheetData>
    <row r="1" spans="1:9" ht="40.5" customHeight="1" thickBot="1" x14ac:dyDescent="0.35">
      <c r="A1" s="697" t="s">
        <v>19</v>
      </c>
      <c r="B1" s="698"/>
      <c r="C1" s="699"/>
      <c r="D1" s="402"/>
      <c r="E1" s="402"/>
      <c r="F1" s="402"/>
      <c r="G1" s="402"/>
      <c r="H1" s="394"/>
      <c r="I1" s="395"/>
    </row>
    <row r="2" spans="1:9" ht="31.5" customHeight="1" thickBot="1" x14ac:dyDescent="0.35">
      <c r="A2" s="700" t="s">
        <v>20</v>
      </c>
      <c r="B2" s="701"/>
      <c r="C2" s="702"/>
      <c r="D2" s="399"/>
      <c r="E2" s="399"/>
      <c r="F2" s="399"/>
      <c r="G2" s="399"/>
      <c r="H2" s="396"/>
      <c r="I2" s="395"/>
    </row>
    <row r="3" spans="1:9" ht="21" customHeight="1" x14ac:dyDescent="0.3">
      <c r="A3" s="703" t="s">
        <v>555</v>
      </c>
      <c r="B3" s="704"/>
      <c r="C3" s="705"/>
      <c r="D3" s="399"/>
      <c r="E3" s="399"/>
      <c r="F3" s="399"/>
      <c r="G3" s="399"/>
      <c r="H3" s="396"/>
      <c r="I3" s="395"/>
    </row>
    <row r="4" spans="1:9" ht="21" customHeight="1" x14ac:dyDescent="0.3">
      <c r="A4" s="703"/>
      <c r="B4" s="704"/>
      <c r="C4" s="705"/>
      <c r="D4" s="399"/>
      <c r="E4" s="399"/>
      <c r="F4" s="399"/>
      <c r="G4" s="399"/>
      <c r="H4" s="396"/>
      <c r="I4" s="395"/>
    </row>
    <row r="5" spans="1:9" ht="26.25" customHeight="1" thickBot="1" x14ac:dyDescent="0.35">
      <c r="A5" s="706"/>
      <c r="B5" s="707"/>
      <c r="C5" s="708"/>
      <c r="D5" s="403"/>
      <c r="E5" s="403"/>
      <c r="F5" s="403"/>
      <c r="G5" s="403"/>
      <c r="H5" s="397"/>
      <c r="I5" s="395"/>
    </row>
    <row r="6" spans="1:9" ht="4.5" customHeight="1" thickBot="1" x14ac:dyDescent="0.35">
      <c r="A6" s="377"/>
      <c r="B6" s="378"/>
      <c r="C6" s="379"/>
      <c r="D6" s="402"/>
      <c r="E6" s="402"/>
      <c r="F6" s="402"/>
      <c r="G6" s="402"/>
      <c r="H6" s="394"/>
      <c r="I6" s="395"/>
    </row>
    <row r="7" spans="1:9" ht="117" customHeight="1" thickBot="1" x14ac:dyDescent="0.35">
      <c r="A7" s="709" t="s">
        <v>556</v>
      </c>
      <c r="B7" s="710"/>
      <c r="C7" s="380" t="s">
        <v>557</v>
      </c>
      <c r="D7" s="381" t="s">
        <v>558</v>
      </c>
      <c r="E7" s="381" t="s">
        <v>559</v>
      </c>
      <c r="F7" s="382" t="s">
        <v>560</v>
      </c>
      <c r="G7" s="382" t="s">
        <v>561</v>
      </c>
      <c r="H7" s="383" t="s">
        <v>562</v>
      </c>
      <c r="I7" s="384" t="s">
        <v>26</v>
      </c>
    </row>
    <row r="8" spans="1:9" ht="43.2" x14ac:dyDescent="0.3">
      <c r="A8" s="385">
        <v>24</v>
      </c>
      <c r="B8" s="389" t="str">
        <f>VLOOKUP(A8,'LISTA DE OFERENTES'!$A$6:$B$38,2,FALSE)</f>
        <v>BYR CONSTRUCCIONES SAS</v>
      </c>
      <c r="C8" s="398">
        <v>59.81</v>
      </c>
      <c r="D8" s="398">
        <v>9</v>
      </c>
      <c r="E8" s="398">
        <v>10</v>
      </c>
      <c r="F8" s="398">
        <v>20</v>
      </c>
      <c r="G8" s="398">
        <v>1</v>
      </c>
      <c r="H8" s="393">
        <f>G8+F8+E8+D8+C8</f>
        <v>99.81</v>
      </c>
      <c r="I8" s="169" t="s">
        <v>563</v>
      </c>
    </row>
    <row r="9" spans="1:9" ht="43.2" x14ac:dyDescent="0.3">
      <c r="A9" s="386">
        <v>5</v>
      </c>
      <c r="B9" s="390" t="str">
        <f>VLOOKUP(A9,'LISTA DE OFERENTES'!$A$6:$B$38,2,FALSE)</f>
        <v>CONSORCIO PARQUES C&amp;A</v>
      </c>
      <c r="C9" s="398">
        <v>59.77</v>
      </c>
      <c r="D9" s="398">
        <v>9</v>
      </c>
      <c r="E9" s="398">
        <v>10</v>
      </c>
      <c r="F9" s="398">
        <v>20</v>
      </c>
      <c r="G9" s="398">
        <v>1</v>
      </c>
      <c r="H9" s="391">
        <f>G9+F9+E9+D9+C9</f>
        <v>99.77000000000001</v>
      </c>
      <c r="I9" s="169" t="s">
        <v>563</v>
      </c>
    </row>
    <row r="10" spans="1:9" x14ac:dyDescent="0.3">
      <c r="A10" s="386">
        <v>11</v>
      </c>
      <c r="B10" s="390" t="str">
        <f>VLOOKUP(A10,'LISTA DE OFERENTES'!$A$6:$B$38,2,FALSE)</f>
        <v>UNION TEMPORAL PARQUE TUNAL II</v>
      </c>
      <c r="C10" s="398">
        <v>59.19</v>
      </c>
      <c r="D10" s="398">
        <v>9</v>
      </c>
      <c r="E10" s="398">
        <v>10</v>
      </c>
      <c r="F10" s="398">
        <v>20</v>
      </c>
      <c r="G10" s="398">
        <v>1</v>
      </c>
      <c r="H10" s="391">
        <f>C10+D10+E10+F10+G10</f>
        <v>99.19</v>
      </c>
      <c r="I10" s="169"/>
    </row>
    <row r="11" spans="1:9" ht="43.2" x14ac:dyDescent="0.3">
      <c r="A11" s="386">
        <v>35</v>
      </c>
      <c r="B11" s="390" t="str">
        <f>VLOOKUP(A11,'LISTA DE OFERENTES'!$A$6:$B$43,2,FALSE)</f>
        <v>CONSORCIO TUNJUELITO VHJ</v>
      </c>
      <c r="C11" s="398">
        <v>59.04</v>
      </c>
      <c r="D11" s="398">
        <v>9</v>
      </c>
      <c r="E11" s="398">
        <v>10</v>
      </c>
      <c r="F11" s="398">
        <v>20</v>
      </c>
      <c r="G11" s="398">
        <v>1</v>
      </c>
      <c r="H11" s="393">
        <f t="shared" ref="H11:H16" si="0">G11+F11+E11+D11+C11</f>
        <v>99.039999999999992</v>
      </c>
      <c r="I11" s="401" t="s">
        <v>563</v>
      </c>
    </row>
    <row r="12" spans="1:9" ht="43.2" x14ac:dyDescent="0.3">
      <c r="A12" s="386">
        <v>4</v>
      </c>
      <c r="B12" s="390" t="str">
        <f>VLOOKUP(A12,'LISTA DE OFERENTES'!$A$6:$B$38,2,FALSE)</f>
        <v>INVERSIONES GUERFOR S.A.S</v>
      </c>
      <c r="C12" s="398">
        <v>58.89</v>
      </c>
      <c r="D12" s="398">
        <v>9</v>
      </c>
      <c r="E12" s="398">
        <v>10</v>
      </c>
      <c r="F12" s="398">
        <v>20</v>
      </c>
      <c r="G12" s="398">
        <v>1</v>
      </c>
      <c r="H12" s="391">
        <f t="shared" si="0"/>
        <v>98.89</v>
      </c>
      <c r="I12" s="169" t="s">
        <v>563</v>
      </c>
    </row>
    <row r="13" spans="1:9" ht="43.2" x14ac:dyDescent="0.3">
      <c r="A13" s="386">
        <v>31</v>
      </c>
      <c r="B13" s="390" t="str">
        <f>VLOOKUP(A13,'LISTA DE OFERENTES'!$A$6:$B$38,2,FALSE)</f>
        <v>CONSORCIO CONSTRUC. PARQUE TUNAL II</v>
      </c>
      <c r="C13" s="398">
        <v>58.68</v>
      </c>
      <c r="D13" s="192">
        <v>9</v>
      </c>
      <c r="E13" s="192">
        <v>10</v>
      </c>
      <c r="F13" s="192">
        <v>20</v>
      </c>
      <c r="G13" s="192">
        <v>1</v>
      </c>
      <c r="H13" s="393">
        <f t="shared" si="0"/>
        <v>98.68</v>
      </c>
      <c r="I13" s="306" t="s">
        <v>563</v>
      </c>
    </row>
    <row r="14" spans="1:9" ht="43.2" x14ac:dyDescent="0.3">
      <c r="A14" s="386">
        <v>25</v>
      </c>
      <c r="B14" s="390" t="str">
        <f>VLOOKUP(A14,'LISTA DE OFERENTES'!$A$6:$B$38,2,FALSE)</f>
        <v>CONSORCIO PANORAMA</v>
      </c>
      <c r="C14" s="398">
        <v>58.65</v>
      </c>
      <c r="D14" s="398">
        <v>9</v>
      </c>
      <c r="E14" s="398">
        <v>10</v>
      </c>
      <c r="F14" s="398">
        <v>20</v>
      </c>
      <c r="G14" s="398">
        <v>1</v>
      </c>
      <c r="H14" s="393">
        <f t="shared" si="0"/>
        <v>98.65</v>
      </c>
      <c r="I14" s="169" t="s">
        <v>563</v>
      </c>
    </row>
    <row r="15" spans="1:9" ht="43.2" x14ac:dyDescent="0.3">
      <c r="A15" s="386">
        <v>16</v>
      </c>
      <c r="B15" s="390" t="str">
        <f>VLOOKUP(A15,'LISTA DE OFERENTES'!$A$6:$B$38,2,FALSE)</f>
        <v>ESTUDIOS E INGENIERIA SAS</v>
      </c>
      <c r="C15" s="398">
        <v>58.64</v>
      </c>
      <c r="D15" s="398">
        <v>9</v>
      </c>
      <c r="E15" s="398">
        <v>10</v>
      </c>
      <c r="F15" s="398">
        <v>20</v>
      </c>
      <c r="G15" s="398">
        <v>1</v>
      </c>
      <c r="H15" s="391">
        <f t="shared" si="0"/>
        <v>98.64</v>
      </c>
      <c r="I15" s="169" t="s">
        <v>563</v>
      </c>
    </row>
    <row r="16" spans="1:9" ht="43.2" x14ac:dyDescent="0.3">
      <c r="A16" s="386">
        <v>17</v>
      </c>
      <c r="B16" s="390" t="str">
        <f>VLOOKUP(A16,'LISTA DE OFERENTES'!$A$6:$B$38,2,FALSE)</f>
        <v>UNIOBRAS SAS</v>
      </c>
      <c r="C16" s="398">
        <v>58.58</v>
      </c>
      <c r="D16" s="398">
        <v>9</v>
      </c>
      <c r="E16" s="398">
        <v>10</v>
      </c>
      <c r="F16" s="398">
        <v>20</v>
      </c>
      <c r="G16" s="398">
        <v>1</v>
      </c>
      <c r="H16" s="391">
        <f t="shared" si="0"/>
        <v>98.58</v>
      </c>
      <c r="I16" s="169" t="s">
        <v>563</v>
      </c>
    </row>
    <row r="17" spans="1:11" ht="43.2" x14ac:dyDescent="0.3">
      <c r="A17" s="386">
        <v>29</v>
      </c>
      <c r="B17" s="390" t="str">
        <f>VLOOKUP(A17,'LISTA DE OFERENTES'!$A$6:$B$38,2,FALSE)</f>
        <v>CONSORCIO CDJ 05</v>
      </c>
      <c r="C17" s="398">
        <v>58.58</v>
      </c>
      <c r="D17" s="398">
        <v>9</v>
      </c>
      <c r="E17" s="398">
        <v>10</v>
      </c>
      <c r="F17" s="398">
        <v>20</v>
      </c>
      <c r="G17" s="398">
        <v>1</v>
      </c>
      <c r="H17" s="391">
        <f>C17+D17+E17+F17+G17</f>
        <v>98.58</v>
      </c>
      <c r="I17" s="169" t="s">
        <v>563</v>
      </c>
      <c r="J17" s="395"/>
      <c r="K17" s="395"/>
    </row>
    <row r="18" spans="1:11" ht="43.2" x14ac:dyDescent="0.3">
      <c r="A18" s="386">
        <v>30</v>
      </c>
      <c r="B18" s="390" t="str">
        <f>VLOOKUP(A18,'LISTA DE OFERENTES'!$A$6:$B$38,2,FALSE)</f>
        <v>CONSORCIO PARQUES INLF</v>
      </c>
      <c r="C18" s="398">
        <v>58.58</v>
      </c>
      <c r="D18" s="398">
        <v>9</v>
      </c>
      <c r="E18" s="398">
        <v>10</v>
      </c>
      <c r="F18" s="398">
        <v>20</v>
      </c>
      <c r="G18" s="398">
        <v>1</v>
      </c>
      <c r="H18" s="393">
        <f t="shared" ref="H18:H39" si="1">G18+F18+E18+D18+C18</f>
        <v>98.58</v>
      </c>
      <c r="I18" s="169" t="s">
        <v>563</v>
      </c>
      <c r="J18" s="395"/>
      <c r="K18" s="395"/>
    </row>
    <row r="19" spans="1:11" ht="43.2" x14ac:dyDescent="0.3">
      <c r="A19" s="386">
        <v>8</v>
      </c>
      <c r="B19" s="390" t="str">
        <f>VLOOKUP(A19,'LISTA DE OFERENTES'!$A$6:$B$38,2,FALSE)</f>
        <v>CONSORCIO INGENIERÍA I</v>
      </c>
      <c r="C19" s="398">
        <v>58.53</v>
      </c>
      <c r="D19" s="398">
        <v>9</v>
      </c>
      <c r="E19" s="398">
        <v>10</v>
      </c>
      <c r="F19" s="398">
        <v>20</v>
      </c>
      <c r="G19" s="398">
        <v>1</v>
      </c>
      <c r="H19" s="391">
        <f t="shared" si="1"/>
        <v>98.53</v>
      </c>
      <c r="I19" s="169" t="s">
        <v>563</v>
      </c>
      <c r="J19" s="399"/>
      <c r="K19" s="400"/>
    </row>
    <row r="20" spans="1:11" ht="43.2" x14ac:dyDescent="0.3">
      <c r="A20" s="386">
        <v>15</v>
      </c>
      <c r="B20" s="390" t="str">
        <f>VLOOKUP(A20,'LISTA DE OFERENTES'!$A$6:$B$38,2,FALSE)</f>
        <v>GESTION RURAL Y URBANA SAS</v>
      </c>
      <c r="C20" s="398">
        <v>58.44</v>
      </c>
      <c r="D20" s="398">
        <v>9</v>
      </c>
      <c r="E20" s="398">
        <v>10</v>
      </c>
      <c r="F20" s="398">
        <v>20</v>
      </c>
      <c r="G20" s="398">
        <v>1</v>
      </c>
      <c r="H20" s="391">
        <f t="shared" si="1"/>
        <v>98.44</v>
      </c>
      <c r="I20" s="169" t="s">
        <v>563</v>
      </c>
      <c r="J20" s="395"/>
      <c r="K20" s="395"/>
    </row>
    <row r="21" spans="1:11" ht="43.2" x14ac:dyDescent="0.3">
      <c r="A21" s="386">
        <v>32</v>
      </c>
      <c r="B21" s="390" t="str">
        <f>VLOOKUP(A21,'LISTA DE OFERENTES'!$A$6:$B$38,2,FALSE)</f>
        <v>CONSORCIO TUNALITO</v>
      </c>
      <c r="C21" s="398">
        <v>58.43</v>
      </c>
      <c r="D21" s="398">
        <v>9</v>
      </c>
      <c r="E21" s="398">
        <v>10</v>
      </c>
      <c r="F21" s="398">
        <v>20</v>
      </c>
      <c r="G21" s="398">
        <v>1</v>
      </c>
      <c r="H21" s="393">
        <f t="shared" si="1"/>
        <v>98.43</v>
      </c>
      <c r="I21" s="401" t="s">
        <v>563</v>
      </c>
      <c r="J21" s="395"/>
      <c r="K21" s="395"/>
    </row>
    <row r="22" spans="1:11" ht="43.2" x14ac:dyDescent="0.3">
      <c r="A22" s="386">
        <v>10</v>
      </c>
      <c r="B22" s="390" t="str">
        <f>VLOOKUP(A22,'LISTA DE OFERENTES'!$A$6:$B$38,2,FALSE)</f>
        <v>LAM CONSTRUCCIONES S.A.S</v>
      </c>
      <c r="C22" s="398">
        <v>58.4</v>
      </c>
      <c r="D22" s="398">
        <v>9</v>
      </c>
      <c r="E22" s="398">
        <v>10</v>
      </c>
      <c r="F22" s="398">
        <v>20</v>
      </c>
      <c r="G22" s="398">
        <v>1</v>
      </c>
      <c r="H22" s="391">
        <f t="shared" si="1"/>
        <v>98.4</v>
      </c>
      <c r="I22" s="169" t="s">
        <v>563</v>
      </c>
      <c r="J22" s="395"/>
      <c r="K22" s="395"/>
    </row>
    <row r="23" spans="1:11" ht="43.2" x14ac:dyDescent="0.3">
      <c r="A23" s="386">
        <v>13</v>
      </c>
      <c r="B23" s="390" t="str">
        <f>VLOOKUP(A23,'LISTA DE OFERENTES'!$A$6:$B$38,2,FALSE)</f>
        <v>CONSORCIO VALHER</v>
      </c>
      <c r="C23" s="398">
        <v>58.37</v>
      </c>
      <c r="D23" s="398">
        <v>9</v>
      </c>
      <c r="E23" s="398">
        <v>10</v>
      </c>
      <c r="F23" s="398">
        <v>20</v>
      </c>
      <c r="G23" s="398">
        <v>1</v>
      </c>
      <c r="H23" s="391">
        <f t="shared" si="1"/>
        <v>98.37</v>
      </c>
      <c r="I23" s="169" t="s">
        <v>563</v>
      </c>
      <c r="J23" s="395"/>
      <c r="K23" s="395"/>
    </row>
    <row r="24" spans="1:11" ht="43.2" x14ac:dyDescent="0.3">
      <c r="A24" s="386">
        <v>9</v>
      </c>
      <c r="B24" s="390" t="str">
        <f>VLOOKUP(A24,'LISTA DE OFERENTES'!$A$6:$B$38,2,FALSE)</f>
        <v>UNIÓN TEMPORAL BCC PARQUES BOGOTA 2022</v>
      </c>
      <c r="C24" s="398">
        <v>58.36</v>
      </c>
      <c r="D24" s="398">
        <v>9</v>
      </c>
      <c r="E24" s="398">
        <v>10</v>
      </c>
      <c r="F24" s="398">
        <v>20</v>
      </c>
      <c r="G24" s="398">
        <v>1</v>
      </c>
      <c r="H24" s="391">
        <f t="shared" si="1"/>
        <v>98.36</v>
      </c>
      <c r="I24" s="169" t="s">
        <v>563</v>
      </c>
      <c r="J24" s="395"/>
      <c r="K24" s="395"/>
    </row>
    <row r="25" spans="1:11" ht="43.2" x14ac:dyDescent="0.3">
      <c r="A25" s="386">
        <v>3</v>
      </c>
      <c r="B25" s="390" t="str">
        <f>VLOOKUP(A25,'LISTA DE OFERENTES'!$A$6:$B$38,2,FALSE)</f>
        <v>CONSORCIO SAN FIORANO</v>
      </c>
      <c r="C25" s="398">
        <v>58.34</v>
      </c>
      <c r="D25" s="398">
        <v>9</v>
      </c>
      <c r="E25" s="398">
        <v>10</v>
      </c>
      <c r="F25" s="398">
        <v>20</v>
      </c>
      <c r="G25" s="398">
        <v>1</v>
      </c>
      <c r="H25" s="391">
        <f t="shared" si="1"/>
        <v>98.34</v>
      </c>
      <c r="I25" s="169" t="s">
        <v>563</v>
      </c>
      <c r="J25" s="395"/>
      <c r="K25" s="395"/>
    </row>
    <row r="26" spans="1:11" ht="43.2" x14ac:dyDescent="0.3">
      <c r="A26" s="386">
        <v>33</v>
      </c>
      <c r="B26" s="390" t="str">
        <f>VLOOKUP(A26,'LISTA DE OFERENTES'!$A$6:$B$43,2,FALSE)</f>
        <v>CONSORCIO EL TUNAL V4G</v>
      </c>
      <c r="C26" s="398">
        <v>58.32</v>
      </c>
      <c r="D26" s="398">
        <v>9</v>
      </c>
      <c r="E26" s="398">
        <v>10</v>
      </c>
      <c r="F26" s="398">
        <v>20</v>
      </c>
      <c r="G26" s="398">
        <v>1</v>
      </c>
      <c r="H26" s="393">
        <f t="shared" si="1"/>
        <v>98.32</v>
      </c>
      <c r="I26" s="401" t="s">
        <v>563</v>
      </c>
      <c r="J26" s="395"/>
      <c r="K26" s="395"/>
    </row>
    <row r="27" spans="1:11" ht="43.2" x14ac:dyDescent="0.3">
      <c r="A27" s="386">
        <v>21</v>
      </c>
      <c r="B27" s="390" t="str">
        <f>VLOOKUP(A27,'LISTA DE OFERENTES'!$A$6:$B$38,2,FALSE)</f>
        <v>CARLOS ARTURO VERGARA NEGRETE</v>
      </c>
      <c r="C27" s="398">
        <v>58.29</v>
      </c>
      <c r="D27" s="398">
        <v>9</v>
      </c>
      <c r="E27" s="398">
        <v>10</v>
      </c>
      <c r="F27" s="398">
        <v>20</v>
      </c>
      <c r="G27" s="398">
        <v>1</v>
      </c>
      <c r="H27" s="392">
        <f t="shared" si="1"/>
        <v>98.289999999999992</v>
      </c>
      <c r="I27" s="169" t="s">
        <v>563</v>
      </c>
      <c r="J27" s="395"/>
      <c r="K27" s="395"/>
    </row>
    <row r="28" spans="1:11" ht="43.2" x14ac:dyDescent="0.3">
      <c r="A28" s="386">
        <v>27</v>
      </c>
      <c r="B28" s="390" t="str">
        <f>VLOOKUP(A28,'LISTA DE OFERENTES'!$A$6:$B$38,2,FALSE)</f>
        <v>CONSORCIO TUNAL CL</v>
      </c>
      <c r="C28" s="398">
        <v>58.27</v>
      </c>
      <c r="D28" s="398">
        <v>9</v>
      </c>
      <c r="E28" s="398">
        <v>10</v>
      </c>
      <c r="F28" s="398">
        <v>20</v>
      </c>
      <c r="G28" s="398">
        <v>1</v>
      </c>
      <c r="H28" s="393">
        <f t="shared" si="1"/>
        <v>98.27000000000001</v>
      </c>
      <c r="I28" s="169" t="s">
        <v>563</v>
      </c>
      <c r="J28" s="395"/>
      <c r="K28" s="395"/>
    </row>
    <row r="29" spans="1:11" ht="43.2" x14ac:dyDescent="0.3">
      <c r="A29" s="386">
        <v>7</v>
      </c>
      <c r="B29" s="390" t="str">
        <f>VLOOKUP(A29,'LISTA DE OFERENTES'!$A$6:$B$38,2,FALSE)</f>
        <v>CONSORCIO TUNJUELO 2022</v>
      </c>
      <c r="C29" s="398">
        <v>58.26</v>
      </c>
      <c r="D29" s="398">
        <v>9</v>
      </c>
      <c r="E29" s="398">
        <v>10</v>
      </c>
      <c r="F29" s="398">
        <v>20</v>
      </c>
      <c r="G29" s="398">
        <v>1</v>
      </c>
      <c r="H29" s="391">
        <f t="shared" si="1"/>
        <v>98.259999999999991</v>
      </c>
      <c r="I29" s="169" t="s">
        <v>563</v>
      </c>
      <c r="J29" s="395"/>
      <c r="K29" s="395"/>
    </row>
    <row r="30" spans="1:11" ht="43.2" x14ac:dyDescent="0.3">
      <c r="A30" s="386">
        <v>6</v>
      </c>
      <c r="B30" s="390" t="str">
        <f>VLOOKUP(A30,'LISTA DE OFERENTES'!$A$6:$B$38,2,FALSE)</f>
        <v>UNION TEMPORAL TUNAL 2022</v>
      </c>
      <c r="C30" s="398">
        <v>58.22</v>
      </c>
      <c r="D30" s="398">
        <v>9</v>
      </c>
      <c r="E30" s="398">
        <v>10</v>
      </c>
      <c r="F30" s="398">
        <v>20</v>
      </c>
      <c r="G30" s="398">
        <v>1</v>
      </c>
      <c r="H30" s="391">
        <f t="shared" si="1"/>
        <v>98.22</v>
      </c>
      <c r="I30" s="169" t="s">
        <v>563</v>
      </c>
      <c r="J30" s="395"/>
      <c r="K30" s="395"/>
    </row>
    <row r="31" spans="1:11" ht="43.2" x14ac:dyDescent="0.3">
      <c r="A31" s="386">
        <v>23</v>
      </c>
      <c r="B31" s="390" t="str">
        <f>VLOOKUP(A31,'LISTA DE OFERENTES'!$A$6:$B$38,2,FALSE)</f>
        <v>CONSORCIO VECINAL GC</v>
      </c>
      <c r="C31" s="398">
        <v>58.22</v>
      </c>
      <c r="D31" s="398">
        <v>9</v>
      </c>
      <c r="E31" s="398">
        <v>10</v>
      </c>
      <c r="F31" s="398">
        <v>20</v>
      </c>
      <c r="G31" s="398">
        <v>1</v>
      </c>
      <c r="H31" s="393">
        <f t="shared" si="1"/>
        <v>98.22</v>
      </c>
      <c r="I31" s="169" t="s">
        <v>563</v>
      </c>
      <c r="J31" s="395"/>
      <c r="K31" s="395"/>
    </row>
    <row r="32" spans="1:11" ht="43.2" x14ac:dyDescent="0.3">
      <c r="A32" s="386">
        <v>2</v>
      </c>
      <c r="B32" s="390" t="str">
        <f>VLOOKUP(A32,'LISTA DE OFERENTES'!$A$6:$B$38,2,FALSE)</f>
        <v>HAPIL INGENIERIA SAS</v>
      </c>
      <c r="C32" s="398">
        <v>58.12</v>
      </c>
      <c r="D32" s="398">
        <v>9</v>
      </c>
      <c r="E32" s="398">
        <v>10</v>
      </c>
      <c r="F32" s="398">
        <v>20</v>
      </c>
      <c r="G32" s="398">
        <v>1</v>
      </c>
      <c r="H32" s="391">
        <f t="shared" si="1"/>
        <v>98.12</v>
      </c>
      <c r="I32" s="169" t="s">
        <v>563</v>
      </c>
      <c r="J32" s="395"/>
      <c r="K32" s="395"/>
    </row>
    <row r="33" spans="1:9" ht="43.2" x14ac:dyDescent="0.3">
      <c r="A33" s="386">
        <v>14</v>
      </c>
      <c r="B33" s="390" t="str">
        <f>VLOOKUP(A33,'LISTA DE OFERENTES'!$A$6:$B$38,2,FALSE)</f>
        <v>PAVIMENTOS TECNICOS SAS</v>
      </c>
      <c r="C33" s="398">
        <v>58.08</v>
      </c>
      <c r="D33" s="398">
        <v>9</v>
      </c>
      <c r="E33" s="398">
        <v>10</v>
      </c>
      <c r="F33" s="398">
        <v>20</v>
      </c>
      <c r="G33" s="398">
        <v>1</v>
      </c>
      <c r="H33" s="391">
        <f t="shared" si="1"/>
        <v>98.08</v>
      </c>
      <c r="I33" s="169" t="s">
        <v>563</v>
      </c>
    </row>
    <row r="34" spans="1:9" ht="43.2" x14ac:dyDescent="0.3">
      <c r="A34" s="386">
        <v>18</v>
      </c>
      <c r="B34" s="390" t="str">
        <f>VLOOKUP(A34,'LISTA DE OFERENTES'!$A$6:$B$38,2,FALSE)</f>
        <v>CONSORCIO MRTITANIUM</v>
      </c>
      <c r="C34" s="398">
        <v>58.08</v>
      </c>
      <c r="D34" s="398">
        <v>9</v>
      </c>
      <c r="E34" s="398">
        <v>10</v>
      </c>
      <c r="F34" s="398">
        <v>20</v>
      </c>
      <c r="G34" s="398">
        <v>1</v>
      </c>
      <c r="H34" s="391">
        <f t="shared" si="1"/>
        <v>98.08</v>
      </c>
      <c r="I34" s="169" t="s">
        <v>563</v>
      </c>
    </row>
    <row r="35" spans="1:9" ht="43.2" x14ac:dyDescent="0.3">
      <c r="A35" s="386">
        <v>1</v>
      </c>
      <c r="B35" s="390" t="str">
        <f>VLOOKUP(A35,'LISTA DE OFERENTES'!$A$6:$B$38,2,FALSE)</f>
        <v>CONSORCIO ESTRUCTURAS Y OBRAS</v>
      </c>
      <c r="C35" s="398">
        <v>58.07</v>
      </c>
      <c r="D35" s="398">
        <v>9</v>
      </c>
      <c r="E35" s="398">
        <v>10</v>
      </c>
      <c r="F35" s="398">
        <v>20</v>
      </c>
      <c r="G35" s="398">
        <v>1</v>
      </c>
      <c r="H35" s="391">
        <f t="shared" si="1"/>
        <v>98.07</v>
      </c>
      <c r="I35" s="169" t="s">
        <v>563</v>
      </c>
    </row>
    <row r="36" spans="1:9" ht="43.2" x14ac:dyDescent="0.3">
      <c r="A36" s="386">
        <v>34</v>
      </c>
      <c r="B36" s="390" t="str">
        <f>VLOOKUP(A36,'LISTA DE OFERENTES'!$A$6:$B$43,2,FALSE)</f>
        <v>PANAM INGENIEROS SAS</v>
      </c>
      <c r="C36" s="398">
        <v>57.92</v>
      </c>
      <c r="D36" s="398">
        <v>9</v>
      </c>
      <c r="E36" s="398">
        <v>10</v>
      </c>
      <c r="F36" s="398">
        <v>20</v>
      </c>
      <c r="G36" s="398">
        <v>1</v>
      </c>
      <c r="H36" s="393">
        <f t="shared" si="1"/>
        <v>97.92</v>
      </c>
      <c r="I36" s="388" t="s">
        <v>563</v>
      </c>
    </row>
    <row r="37" spans="1:9" ht="43.2" x14ac:dyDescent="0.3">
      <c r="A37" s="386">
        <v>19</v>
      </c>
      <c r="B37" s="390" t="str">
        <f>VLOOKUP(A37,'LISTA DE OFERENTES'!$A$6:$B$38,2,FALSE)</f>
        <v>MAMUT ACERO Y CONCRETO SAS</v>
      </c>
      <c r="C37" s="398">
        <v>57.56</v>
      </c>
      <c r="D37" s="398">
        <v>9</v>
      </c>
      <c r="E37" s="398">
        <v>10</v>
      </c>
      <c r="F37" s="398">
        <v>20</v>
      </c>
      <c r="G37" s="398">
        <v>1</v>
      </c>
      <c r="H37" s="391">
        <f t="shared" si="1"/>
        <v>97.56</v>
      </c>
      <c r="I37" s="169" t="s">
        <v>563</v>
      </c>
    </row>
    <row r="38" spans="1:9" ht="43.2" x14ac:dyDescent="0.3">
      <c r="A38" s="386">
        <v>38</v>
      </c>
      <c r="B38" s="390" t="str">
        <f>VLOOKUP(A38,'LISTA DE OFERENTES'!$A$6:$B$43,2,FALSE)</f>
        <v>PHVA CONSTRUCTORES SAS</v>
      </c>
      <c r="C38" s="398">
        <v>57.25</v>
      </c>
      <c r="D38" s="192">
        <v>9</v>
      </c>
      <c r="E38" s="192">
        <v>10</v>
      </c>
      <c r="F38" s="192">
        <v>20</v>
      </c>
      <c r="G38" s="192">
        <v>1</v>
      </c>
      <c r="H38" s="393">
        <f t="shared" si="1"/>
        <v>97.25</v>
      </c>
      <c r="I38" s="306" t="s">
        <v>563</v>
      </c>
    </row>
    <row r="39" spans="1:9" ht="43.2" x14ac:dyDescent="0.3">
      <c r="A39" s="386">
        <v>22</v>
      </c>
      <c r="B39" s="390" t="str">
        <f>VLOOKUP(A39,'LISTA DE OFERENTES'!$A$6:$B$38,2,FALSE)</f>
        <v>CJS INGENIERIA SAS</v>
      </c>
      <c r="C39" s="398">
        <v>56.69</v>
      </c>
      <c r="D39" s="398">
        <v>9</v>
      </c>
      <c r="E39" s="398">
        <v>10</v>
      </c>
      <c r="F39" s="398">
        <v>20</v>
      </c>
      <c r="G39" s="398">
        <v>1</v>
      </c>
      <c r="H39" s="393">
        <f t="shared" si="1"/>
        <v>96.69</v>
      </c>
      <c r="I39" s="169" t="s">
        <v>563</v>
      </c>
    </row>
    <row r="40" spans="1:9" ht="43.2" x14ac:dyDescent="0.3">
      <c r="A40" s="386">
        <v>12</v>
      </c>
      <c r="B40" s="390" t="str">
        <f>VLOOKUP(A40,'LISTA DE OFERENTES'!$A$6:$B$38,2,FALSE)</f>
        <v>CONSORCIO UNAL AVL-DHE</v>
      </c>
      <c r="C40" s="694" t="s">
        <v>645</v>
      </c>
      <c r="D40" s="695"/>
      <c r="E40" s="695"/>
      <c r="F40" s="695"/>
      <c r="G40" s="696"/>
      <c r="H40" s="393">
        <v>0</v>
      </c>
      <c r="I40" s="169" t="s">
        <v>563</v>
      </c>
    </row>
    <row r="41" spans="1:9" ht="28.8" x14ac:dyDescent="0.3">
      <c r="A41" s="386">
        <v>20</v>
      </c>
      <c r="B41" s="390" t="str">
        <f>VLOOKUP(A41,'LISTA DE OFERENTES'!$A$6:$B$38,2,FALSE)</f>
        <v>PROYECTOS E INGENIERIA DE VIAS SAS-PROINVIAS SAS</v>
      </c>
      <c r="C41" s="694" t="s">
        <v>565</v>
      </c>
      <c r="D41" s="695"/>
      <c r="E41" s="695"/>
      <c r="F41" s="695"/>
      <c r="G41" s="696"/>
      <c r="H41" s="393">
        <v>0</v>
      </c>
      <c r="I41" s="169" t="s">
        <v>566</v>
      </c>
    </row>
    <row r="42" spans="1:9" x14ac:dyDescent="0.3">
      <c r="A42" s="386">
        <v>26</v>
      </c>
      <c r="B42" s="390" t="str">
        <f>VLOOKUP(A42,'LISTA DE OFERENTES'!$A$6:$B$38,2,FALSE)</f>
        <v xml:space="preserve">UNIOBRAS DEL ORIENTE SAS </v>
      </c>
      <c r="C42" s="694" t="s">
        <v>564</v>
      </c>
      <c r="D42" s="695"/>
      <c r="E42" s="695"/>
      <c r="F42" s="695"/>
      <c r="G42" s="696"/>
      <c r="H42" s="393">
        <v>0</v>
      </c>
      <c r="I42" s="169"/>
    </row>
    <row r="43" spans="1:9" ht="15" x14ac:dyDescent="0.3">
      <c r="A43" s="386">
        <v>28</v>
      </c>
      <c r="B43" s="390" t="str">
        <f>VLOOKUP(A43,'LISTA DE OFERENTES'!$A$6:$B$38,2,FALSE)</f>
        <v xml:space="preserve">MAURICIO RAFAEL PABA PINZON </v>
      </c>
      <c r="C43" s="694" t="s">
        <v>646</v>
      </c>
      <c r="D43" s="695"/>
      <c r="E43" s="695"/>
      <c r="F43" s="695"/>
      <c r="G43" s="696"/>
      <c r="H43" s="393">
        <v>0</v>
      </c>
      <c r="I43" s="387"/>
    </row>
    <row r="44" spans="1:9" ht="43.2" x14ac:dyDescent="0.3">
      <c r="A44" s="386">
        <v>36</v>
      </c>
      <c r="B44" s="390" t="str">
        <f>VLOOKUP(A44,'LISTA DE OFERENTES'!$A$6:$B$43,2,FALSE)</f>
        <v>CONSORCIO PARQUE VECINAL 2022</v>
      </c>
      <c r="C44" s="694" t="s">
        <v>647</v>
      </c>
      <c r="D44" s="695"/>
      <c r="E44" s="695"/>
      <c r="F44" s="695"/>
      <c r="G44" s="696"/>
      <c r="H44" s="393">
        <v>0</v>
      </c>
      <c r="I44" s="311" t="s">
        <v>563</v>
      </c>
    </row>
    <row r="45" spans="1:9" x14ac:dyDescent="0.3">
      <c r="A45" s="386">
        <v>37</v>
      </c>
      <c r="B45" s="390" t="str">
        <f>VLOOKUP(A45,'LISTA DE OFERENTES'!$A$6:$B$43,2,FALSE)</f>
        <v>CONSORCIO PARQUE CAIS2022</v>
      </c>
      <c r="C45" s="694" t="s">
        <v>565</v>
      </c>
      <c r="D45" s="695"/>
      <c r="E45" s="695"/>
      <c r="F45" s="695"/>
      <c r="G45" s="696"/>
      <c r="H45" s="393">
        <v>0</v>
      </c>
      <c r="I45" s="311" t="s">
        <v>566</v>
      </c>
    </row>
    <row r="46" spans="1:9" ht="25.5" customHeight="1" x14ac:dyDescent="0.3">
      <c r="A46" s="395"/>
      <c r="B46" s="395"/>
      <c r="C46" s="395"/>
      <c r="D46" s="399"/>
      <c r="E46" s="399"/>
      <c r="F46" s="399"/>
      <c r="G46" s="399"/>
      <c r="H46" s="395"/>
      <c r="I46" s="395"/>
    </row>
  </sheetData>
  <autoFilter ref="A7:I32" xr:uid="{00000000-0009-0000-0000-000005000000}">
    <filterColumn colId="0" showButton="0"/>
    <sortState xmlns:xlrd2="http://schemas.microsoft.com/office/spreadsheetml/2017/richdata2" ref="A8:I45">
      <sortCondition descending="1" ref="H7:H32"/>
    </sortState>
  </autoFilter>
  <mergeCells count="10">
    <mergeCell ref="C45:G45"/>
    <mergeCell ref="C43:G43"/>
    <mergeCell ref="C44:G44"/>
    <mergeCell ref="A1:C1"/>
    <mergeCell ref="A2:C2"/>
    <mergeCell ref="A3:C5"/>
    <mergeCell ref="A7:B7"/>
    <mergeCell ref="C40:G40"/>
    <mergeCell ref="C41:G41"/>
    <mergeCell ref="C42:G42"/>
  </mergeCells>
  <pageMargins left="0.7" right="0.7" top="0.75" bottom="0.75" header="0.3" footer="0.3"/>
  <pageSetup paperSize="9" scale="47"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tabColor theme="5" tint="-0.249977111117893"/>
  </sheetPr>
  <dimension ref="A1:I43"/>
  <sheetViews>
    <sheetView topLeftCell="A3" zoomScale="70" zoomScaleNormal="85" workbookViewId="0">
      <pane xSplit="6" ySplit="3" topLeftCell="G26" activePane="bottomRight" state="frozen"/>
      <selection pane="topRight"/>
      <selection pane="bottomLeft"/>
      <selection pane="bottomRight" activeCell="G16" sqref="G16"/>
    </sheetView>
  </sheetViews>
  <sheetFormatPr baseColWidth="10" defaultColWidth="9.109375" defaultRowHeight="14.4" x14ac:dyDescent="0.3"/>
  <cols>
    <col min="1" max="1" width="4.109375" style="26" bestFit="1" customWidth="1"/>
    <col min="2" max="2" width="77.33203125" style="53" bestFit="1" customWidth="1"/>
    <col min="3" max="3" width="17.6640625" style="26" customWidth="1"/>
    <col min="4" max="4" width="17.33203125" style="26" customWidth="1"/>
    <col min="5" max="5" width="16.44140625" style="26" customWidth="1"/>
    <col min="6" max="6" width="18.6640625" style="26" bestFit="1" customWidth="1"/>
    <col min="7" max="7" width="19.109375" style="26" bestFit="1" customWidth="1"/>
    <col min="8" max="8" width="127" style="52" customWidth="1"/>
    <col min="9" max="9" width="62.44140625" style="26" customWidth="1"/>
    <col min="10" max="10" width="25.109375" style="26" customWidth="1"/>
    <col min="11" max="11" width="18.44140625" style="26" customWidth="1"/>
    <col min="12" max="16384" width="9.109375" style="26"/>
  </cols>
  <sheetData>
    <row r="1" spans="1:9" ht="31.5" customHeight="1" x14ac:dyDescent="0.3">
      <c r="A1" s="583" t="s">
        <v>19</v>
      </c>
      <c r="B1" s="584"/>
      <c r="C1" s="584"/>
      <c r="D1" s="584"/>
      <c r="E1" s="584"/>
      <c r="F1" s="584"/>
      <c r="G1" s="585"/>
      <c r="H1" s="586"/>
    </row>
    <row r="2" spans="1:9" ht="31.5" customHeight="1" x14ac:dyDescent="0.3">
      <c r="A2" s="587" t="s">
        <v>20</v>
      </c>
      <c r="B2" s="588"/>
      <c r="C2" s="588"/>
      <c r="D2" s="588"/>
      <c r="E2" s="588"/>
      <c r="F2" s="588"/>
      <c r="G2" s="589"/>
      <c r="H2" s="590"/>
    </row>
    <row r="3" spans="1:9" ht="75" customHeight="1" x14ac:dyDescent="0.3">
      <c r="A3" s="591" t="s">
        <v>567</v>
      </c>
      <c r="B3" s="592"/>
      <c r="C3" s="592"/>
      <c r="D3" s="592"/>
      <c r="E3" s="592"/>
      <c r="F3" s="592"/>
      <c r="G3" s="593"/>
      <c r="H3" s="594"/>
    </row>
    <row r="4" spans="1:9" ht="14.1" customHeight="1" x14ac:dyDescent="0.3">
      <c r="A4" s="61"/>
      <c r="B4" s="60"/>
      <c r="C4" s="59"/>
      <c r="D4" s="59"/>
      <c r="E4" s="58"/>
      <c r="F4" s="58"/>
      <c r="G4" s="57"/>
      <c r="H4" s="56"/>
    </row>
    <row r="5" spans="1:9" ht="45.75" customHeight="1" x14ac:dyDescent="0.3">
      <c r="A5" s="55"/>
      <c r="B5" s="75" t="s">
        <v>568</v>
      </c>
      <c r="C5" s="76" t="s">
        <v>569</v>
      </c>
      <c r="D5" s="76" t="s">
        <v>570</v>
      </c>
      <c r="E5" s="76" t="s">
        <v>571</v>
      </c>
      <c r="F5" s="76" t="s">
        <v>572</v>
      </c>
      <c r="G5" s="76" t="s">
        <v>573</v>
      </c>
      <c r="H5" s="77" t="s">
        <v>26</v>
      </c>
      <c r="I5" s="77" t="s">
        <v>574</v>
      </c>
    </row>
    <row r="6" spans="1:9" x14ac:dyDescent="0.3">
      <c r="A6" s="78">
        <v>1</v>
      </c>
      <c r="B6" s="80" t="str">
        <f>VLOOKUP(A6,'LISTA DE OFERENTES'!$A$6:$B$38,2,FALSE)</f>
        <v>CONSORCIO ESTRUCTURAS Y OBRAS</v>
      </c>
      <c r="C6" s="54" t="s">
        <v>575</v>
      </c>
      <c r="D6" s="54" t="s">
        <v>575</v>
      </c>
      <c r="E6" s="54" t="s">
        <v>575</v>
      </c>
      <c r="F6" s="54" t="s">
        <v>575</v>
      </c>
      <c r="G6" s="54"/>
      <c r="H6" s="351" t="s">
        <v>648</v>
      </c>
      <c r="I6" s="342"/>
    </row>
    <row r="7" spans="1:9" x14ac:dyDescent="0.3">
      <c r="A7" s="78">
        <v>2</v>
      </c>
      <c r="B7" s="80" t="str">
        <f>VLOOKUP(A7,'LISTA DE OFERENTES'!$A$6:$B$38,2,FALSE)</f>
        <v>HAPIL INGENIERIA SAS</v>
      </c>
      <c r="C7" s="54" t="s">
        <v>575</v>
      </c>
      <c r="D7" s="54" t="s">
        <v>575</v>
      </c>
      <c r="E7" s="54" t="s">
        <v>575</v>
      </c>
      <c r="F7" s="54" t="s">
        <v>575</v>
      </c>
      <c r="G7" s="54"/>
      <c r="H7" s="344" t="s">
        <v>578</v>
      </c>
      <c r="I7" s="342"/>
    </row>
    <row r="8" spans="1:9" x14ac:dyDescent="0.3">
      <c r="A8" s="78">
        <v>3</v>
      </c>
      <c r="B8" s="80" t="str">
        <f>VLOOKUP(A8,'LISTA DE OFERENTES'!$A$6:$B$38,2,FALSE)</f>
        <v>CONSORCIO SAN FIORANO</v>
      </c>
      <c r="C8" s="54" t="s">
        <v>575</v>
      </c>
      <c r="D8" s="54" t="s">
        <v>575</v>
      </c>
      <c r="E8" s="54" t="s">
        <v>575</v>
      </c>
      <c r="F8" s="54" t="s">
        <v>575</v>
      </c>
      <c r="G8" s="54"/>
      <c r="H8" s="344" t="s">
        <v>578</v>
      </c>
      <c r="I8" s="342"/>
    </row>
    <row r="9" spans="1:9" ht="57.6" x14ac:dyDescent="0.3">
      <c r="A9" s="78">
        <v>4</v>
      </c>
      <c r="B9" s="80" t="str">
        <f>VLOOKUP(A9,'LISTA DE OFERENTES'!$A$6:$B$38,2,FALSE)</f>
        <v>INVERSIONES GUERFOR S.A.S</v>
      </c>
      <c r="C9" s="54" t="s">
        <v>575</v>
      </c>
      <c r="D9" s="54" t="s">
        <v>575</v>
      </c>
      <c r="E9" s="54" t="s">
        <v>575</v>
      </c>
      <c r="F9" s="54" t="s">
        <v>575</v>
      </c>
      <c r="G9" s="54"/>
      <c r="H9" s="352" t="s">
        <v>649</v>
      </c>
      <c r="I9" s="342"/>
    </row>
    <row r="10" spans="1:9" x14ac:dyDescent="0.3">
      <c r="A10" s="78">
        <v>5</v>
      </c>
      <c r="B10" s="80" t="str">
        <f>VLOOKUP(A10,'LISTA DE OFERENTES'!$A$6:$B$38,2,FALSE)</f>
        <v>CONSORCIO PARQUES C&amp;A</v>
      </c>
      <c r="C10" s="54" t="s">
        <v>575</v>
      </c>
      <c r="D10" s="54" t="s">
        <v>575</v>
      </c>
      <c r="E10" s="54" t="s">
        <v>575</v>
      </c>
      <c r="F10" s="54" t="s">
        <v>575</v>
      </c>
      <c r="G10" s="54"/>
      <c r="H10" s="344" t="s">
        <v>578</v>
      </c>
      <c r="I10" s="342"/>
    </row>
    <row r="11" spans="1:9" x14ac:dyDescent="0.3">
      <c r="A11" s="78">
        <v>6</v>
      </c>
      <c r="B11" s="80" t="str">
        <f>VLOOKUP(A11,'LISTA DE OFERENTES'!$A$6:$B$38,2,FALSE)</f>
        <v>UNION TEMPORAL TUNAL 2022</v>
      </c>
      <c r="C11" s="54" t="s">
        <v>575</v>
      </c>
      <c r="D11" s="54" t="s">
        <v>575</v>
      </c>
      <c r="E11" s="54" t="s">
        <v>575</v>
      </c>
      <c r="F11" s="54" t="s">
        <v>575</v>
      </c>
      <c r="G11" s="54"/>
      <c r="H11" s="344" t="s">
        <v>578</v>
      </c>
      <c r="I11" s="342"/>
    </row>
    <row r="12" spans="1:9" x14ac:dyDescent="0.3">
      <c r="A12" s="78">
        <v>7</v>
      </c>
      <c r="B12" s="80" t="str">
        <f>VLOOKUP(A12,'LISTA DE OFERENTES'!$A$6:$B$38,2,FALSE)</f>
        <v>CONSORCIO TUNJUELO 2022</v>
      </c>
      <c r="C12" s="54" t="s">
        <v>575</v>
      </c>
      <c r="D12" s="54" t="s">
        <v>575</v>
      </c>
      <c r="E12" s="54" t="s">
        <v>575</v>
      </c>
      <c r="F12" s="54" t="s">
        <v>575</v>
      </c>
      <c r="G12" s="54"/>
      <c r="H12" s="344" t="s">
        <v>578</v>
      </c>
      <c r="I12" s="342"/>
    </row>
    <row r="13" spans="1:9" x14ac:dyDescent="0.3">
      <c r="A13" s="78">
        <v>8</v>
      </c>
      <c r="B13" s="80" t="str">
        <f>VLOOKUP(A13,'LISTA DE OFERENTES'!$A$6:$B$38,2,FALSE)</f>
        <v>CONSORCIO INGENIERÍA I</v>
      </c>
      <c r="C13" s="54" t="s">
        <v>575</v>
      </c>
      <c r="D13" s="54" t="s">
        <v>575</v>
      </c>
      <c r="E13" s="54" t="s">
        <v>575</v>
      </c>
      <c r="F13" s="54" t="s">
        <v>575</v>
      </c>
      <c r="G13" s="54"/>
      <c r="H13" s="353" t="s">
        <v>650</v>
      </c>
      <c r="I13" s="342"/>
    </row>
    <row r="14" spans="1:9" x14ac:dyDescent="0.3">
      <c r="A14" s="78">
        <v>9</v>
      </c>
      <c r="B14" s="80" t="str">
        <f>VLOOKUP(A14,'LISTA DE OFERENTES'!$A$6:$B$38,2,FALSE)</f>
        <v>UNIÓN TEMPORAL BCC PARQUES BOGOTA 2022</v>
      </c>
      <c r="C14" s="54" t="s">
        <v>575</v>
      </c>
      <c r="D14" s="54" t="s">
        <v>575</v>
      </c>
      <c r="E14" s="54" t="s">
        <v>575</v>
      </c>
      <c r="F14" s="54" t="s">
        <v>575</v>
      </c>
      <c r="G14" s="54"/>
      <c r="H14" s="344" t="s">
        <v>578</v>
      </c>
      <c r="I14" s="342"/>
    </row>
    <row r="15" spans="1:9" ht="57.6" x14ac:dyDescent="0.3">
      <c r="A15" s="78">
        <v>10</v>
      </c>
      <c r="B15" s="80" t="str">
        <f>VLOOKUP(A15,'LISTA DE OFERENTES'!$A$6:$B$38,2,FALSE)</f>
        <v>LAM CONSTRUCCIONES S.A.S</v>
      </c>
      <c r="C15" s="54" t="s">
        <v>575</v>
      </c>
      <c r="D15" s="54" t="s">
        <v>575</v>
      </c>
      <c r="E15" s="54" t="s">
        <v>575</v>
      </c>
      <c r="F15" s="54" t="s">
        <v>575</v>
      </c>
      <c r="G15" s="54"/>
      <c r="H15" s="344" t="s">
        <v>581</v>
      </c>
      <c r="I15" s="342"/>
    </row>
    <row r="16" spans="1:9" ht="28.8" x14ac:dyDescent="0.3">
      <c r="A16" s="78">
        <v>11</v>
      </c>
      <c r="B16" s="80" t="str">
        <f>VLOOKUP(A16,'LISTA DE OFERENTES'!$A$6:$B$38,2,FALSE)</f>
        <v>UNION TEMPORAL PARQUE TUNAL II</v>
      </c>
      <c r="C16" s="54" t="s">
        <v>575</v>
      </c>
      <c r="D16" s="54" t="s">
        <v>575</v>
      </c>
      <c r="E16" s="54" t="s">
        <v>575</v>
      </c>
      <c r="F16" s="54" t="s">
        <v>575</v>
      </c>
      <c r="G16" s="79"/>
      <c r="H16" s="354" t="s">
        <v>582</v>
      </c>
      <c r="I16" s="342"/>
    </row>
    <row r="17" spans="1:9" ht="28.8" x14ac:dyDescent="0.3">
      <c r="A17" s="78">
        <v>12</v>
      </c>
      <c r="B17" s="80" t="str">
        <f>VLOOKUP(A17,'LISTA DE OFERENTES'!$A$6:$B$38,2,FALSE)</f>
        <v>CONSORCIO UNAL AVL-DHE</v>
      </c>
      <c r="C17" s="54" t="s">
        <v>575</v>
      </c>
      <c r="D17" s="54" t="s">
        <v>575</v>
      </c>
      <c r="E17" s="54" t="s">
        <v>575</v>
      </c>
      <c r="F17" s="54" t="s">
        <v>575</v>
      </c>
      <c r="G17" s="79"/>
      <c r="H17" s="344" t="s">
        <v>325</v>
      </c>
      <c r="I17" s="342"/>
    </row>
    <row r="18" spans="1:9" x14ac:dyDescent="0.3">
      <c r="A18" s="78">
        <v>13</v>
      </c>
      <c r="B18" s="80" t="str">
        <f>VLOOKUP(A18,'LISTA DE OFERENTES'!$A$6:$B$38,2,FALSE)</f>
        <v>CONSORCIO VALHER</v>
      </c>
      <c r="C18" s="54" t="s">
        <v>575</v>
      </c>
      <c r="D18" s="54" t="s">
        <v>575</v>
      </c>
      <c r="E18" s="54" t="s">
        <v>575</v>
      </c>
      <c r="F18" s="54" t="s">
        <v>575</v>
      </c>
      <c r="G18" s="54"/>
      <c r="H18" s="344" t="s">
        <v>578</v>
      </c>
      <c r="I18" s="342"/>
    </row>
    <row r="19" spans="1:9" x14ac:dyDescent="0.3">
      <c r="A19" s="78">
        <v>14</v>
      </c>
      <c r="B19" s="80" t="str">
        <f>VLOOKUP(A19,'LISTA DE OFERENTES'!$A$6:$B$38,2,FALSE)</f>
        <v>PAVIMENTOS TECNICOS SAS</v>
      </c>
      <c r="C19" s="54" t="s">
        <v>575</v>
      </c>
      <c r="D19" s="54" t="s">
        <v>575</v>
      </c>
      <c r="E19" s="54" t="s">
        <v>575</v>
      </c>
      <c r="F19" s="54" t="s">
        <v>575</v>
      </c>
      <c r="G19" s="54"/>
      <c r="H19" s="344" t="s">
        <v>578</v>
      </c>
      <c r="I19" s="342"/>
    </row>
    <row r="20" spans="1:9" x14ac:dyDescent="0.3">
      <c r="A20" s="78">
        <v>15</v>
      </c>
      <c r="B20" s="80" t="str">
        <f>VLOOKUP(A20,'LISTA DE OFERENTES'!$A$6:$B$38,2,FALSE)</f>
        <v>GESTION RURAL Y URBANA SAS</v>
      </c>
      <c r="C20" s="54" t="s">
        <v>575</v>
      </c>
      <c r="D20" s="54" t="s">
        <v>575</v>
      </c>
      <c r="E20" s="54" t="s">
        <v>575</v>
      </c>
      <c r="F20" s="54" t="s">
        <v>575</v>
      </c>
      <c r="G20" s="54"/>
      <c r="H20" s="344" t="s">
        <v>578</v>
      </c>
      <c r="I20" s="342"/>
    </row>
    <row r="21" spans="1:9" x14ac:dyDescent="0.3">
      <c r="A21" s="78">
        <v>16</v>
      </c>
      <c r="B21" s="80" t="str">
        <f>VLOOKUP(A21,'LISTA DE OFERENTES'!$A$6:$B$38,2,FALSE)</f>
        <v>ESTUDIOS E INGENIERIA SAS</v>
      </c>
      <c r="C21" s="54" t="s">
        <v>575</v>
      </c>
      <c r="D21" s="54" t="s">
        <v>575</v>
      </c>
      <c r="E21" s="54" t="s">
        <v>575</v>
      </c>
      <c r="F21" s="54" t="s">
        <v>575</v>
      </c>
      <c r="G21" s="54"/>
      <c r="H21" s="344" t="s">
        <v>578</v>
      </c>
      <c r="I21" s="342"/>
    </row>
    <row r="22" spans="1:9" x14ac:dyDescent="0.3">
      <c r="A22" s="78">
        <v>17</v>
      </c>
      <c r="B22" s="80" t="str">
        <f>VLOOKUP(A22,'LISTA DE OFERENTES'!$A$6:$B$38,2,FALSE)</f>
        <v>UNIOBRAS SAS</v>
      </c>
      <c r="C22" s="54" t="s">
        <v>575</v>
      </c>
      <c r="D22" s="54" t="s">
        <v>575</v>
      </c>
      <c r="E22" s="54" t="s">
        <v>575</v>
      </c>
      <c r="F22" s="54" t="s">
        <v>575</v>
      </c>
      <c r="G22" s="54"/>
      <c r="H22" s="344" t="s">
        <v>578</v>
      </c>
      <c r="I22" s="342"/>
    </row>
    <row r="23" spans="1:9" ht="28.8" x14ac:dyDescent="0.3">
      <c r="A23" s="78">
        <v>18</v>
      </c>
      <c r="B23" s="80" t="str">
        <f>VLOOKUP(A23,'LISTA DE OFERENTES'!$A$6:$B$38,2,FALSE)</f>
        <v>CONSORCIO MRTITANIUM</v>
      </c>
      <c r="C23" s="54" t="s">
        <v>575</v>
      </c>
      <c r="D23" s="54" t="s">
        <v>575</v>
      </c>
      <c r="E23" s="54" t="s">
        <v>575</v>
      </c>
      <c r="F23" s="54" t="s">
        <v>575</v>
      </c>
      <c r="G23" s="54"/>
      <c r="H23" s="344" t="s">
        <v>583</v>
      </c>
      <c r="I23" s="342"/>
    </row>
    <row r="24" spans="1:9" x14ac:dyDescent="0.3">
      <c r="A24" s="78">
        <v>19</v>
      </c>
      <c r="B24" s="80" t="str">
        <f>VLOOKUP(A24,'LISTA DE OFERENTES'!$A$6:$B$38,2,FALSE)</f>
        <v>MAMUT ACERO Y CONCRETO SAS</v>
      </c>
      <c r="C24" s="54" t="s">
        <v>575</v>
      </c>
      <c r="D24" s="54" t="s">
        <v>575</v>
      </c>
      <c r="E24" s="54" t="s">
        <v>575</v>
      </c>
      <c r="F24" s="54" t="s">
        <v>575</v>
      </c>
      <c r="G24" s="54"/>
      <c r="H24" s="344" t="s">
        <v>578</v>
      </c>
      <c r="I24" s="342"/>
    </row>
    <row r="25" spans="1:9" x14ac:dyDescent="0.3">
      <c r="A25" s="78">
        <v>20</v>
      </c>
      <c r="B25" s="80" t="str">
        <f>VLOOKUP(A25,'LISTA DE OFERENTES'!$A$6:$B$38,2,FALSE)</f>
        <v>PROYECTOS E INGENIERIA DE VIAS SAS-PROINVIAS SAS</v>
      </c>
      <c r="C25" s="54" t="s">
        <v>575</v>
      </c>
      <c r="D25" s="217" t="s">
        <v>647</v>
      </c>
      <c r="E25" s="54" t="s">
        <v>575</v>
      </c>
      <c r="F25" s="54" t="s">
        <v>575</v>
      </c>
      <c r="G25" s="54"/>
      <c r="H25" s="344" t="s">
        <v>578</v>
      </c>
      <c r="I25" s="342"/>
    </row>
    <row r="26" spans="1:9" ht="43.2" x14ac:dyDescent="0.3">
      <c r="A26" s="78">
        <v>21</v>
      </c>
      <c r="B26" s="80" t="str">
        <f>VLOOKUP(A26,'LISTA DE OFERENTES'!$A$6:$B$38,2,FALSE)</f>
        <v>CARLOS ARTURO VERGARA NEGRETE</v>
      </c>
      <c r="C26" s="54" t="s">
        <v>575</v>
      </c>
      <c r="D26" s="54" t="s">
        <v>575</v>
      </c>
      <c r="E26" s="54" t="s">
        <v>575</v>
      </c>
      <c r="F26" s="262" t="s">
        <v>575</v>
      </c>
      <c r="G26" s="54"/>
      <c r="H26" s="343" t="s">
        <v>651</v>
      </c>
      <c r="I26" s="355"/>
    </row>
    <row r="27" spans="1:9" ht="43.2" x14ac:dyDescent="0.3">
      <c r="A27" s="78">
        <v>22</v>
      </c>
      <c r="B27" s="341" t="str">
        <f>VLOOKUP(A27,'LISTA DE OFERENTES'!$A$6:$B$38,2,FALSE)</f>
        <v>CJS INGENIERIA SAS</v>
      </c>
      <c r="C27" s="54" t="s">
        <v>575</v>
      </c>
      <c r="D27" s="54" t="s">
        <v>575</v>
      </c>
      <c r="E27" s="262" t="s">
        <v>575</v>
      </c>
      <c r="F27" s="54" t="s">
        <v>575</v>
      </c>
      <c r="G27" s="79"/>
      <c r="H27" s="344" t="s">
        <v>585</v>
      </c>
      <c r="I27" s="342"/>
    </row>
    <row r="28" spans="1:9" ht="57.6" hidden="1" x14ac:dyDescent="0.3">
      <c r="A28" s="78">
        <v>23</v>
      </c>
      <c r="B28" s="80" t="str">
        <f>VLOOKUP(A28,'LISTA DE OFERENTES'!$A$6:$B$38,2,FALSE)</f>
        <v>CONSORCIO VECINAL GC</v>
      </c>
      <c r="C28" s="54" t="s">
        <v>575</v>
      </c>
      <c r="D28" s="54" t="s">
        <v>575</v>
      </c>
      <c r="E28" s="54" t="s">
        <v>575</v>
      </c>
      <c r="F28" s="262" t="s">
        <v>586</v>
      </c>
      <c r="G28" s="54"/>
      <c r="H28" s="343" t="s">
        <v>587</v>
      </c>
      <c r="I28" s="342"/>
    </row>
    <row r="29" spans="1:9" ht="43.2" x14ac:dyDescent="0.3">
      <c r="A29" s="78">
        <v>24</v>
      </c>
      <c r="B29" s="341" t="str">
        <f>VLOOKUP(A29,'LISTA DE OFERENTES'!$A$6:$B$38,2,FALSE)</f>
        <v>BYR CONSTRUCCIONES SAS</v>
      </c>
      <c r="C29" s="54" t="s">
        <v>575</v>
      </c>
      <c r="D29" s="54" t="s">
        <v>575</v>
      </c>
      <c r="E29" s="54" t="s">
        <v>575</v>
      </c>
      <c r="F29" s="54" t="s">
        <v>575</v>
      </c>
      <c r="G29" s="79"/>
      <c r="H29" s="343" t="s">
        <v>588</v>
      </c>
      <c r="I29" s="342"/>
    </row>
    <row r="30" spans="1:9" ht="43.2" x14ac:dyDescent="0.3">
      <c r="A30" s="78">
        <v>25</v>
      </c>
      <c r="B30" s="80" t="str">
        <f>VLOOKUP(A30,'LISTA DE OFERENTES'!$A$6:$B$38,2,FALSE)</f>
        <v>CONSORCIO PANORAMA</v>
      </c>
      <c r="C30" s="54" t="s">
        <v>575</v>
      </c>
      <c r="D30" s="54" t="s">
        <v>575</v>
      </c>
      <c r="E30" s="54" t="s">
        <v>575</v>
      </c>
      <c r="F30" s="264" t="s">
        <v>575</v>
      </c>
      <c r="G30" s="54"/>
      <c r="H30" s="344" t="s">
        <v>588</v>
      </c>
      <c r="I30" s="342"/>
    </row>
    <row r="31" spans="1:9" ht="57.6" hidden="1" x14ac:dyDescent="0.3">
      <c r="A31" s="78">
        <v>26</v>
      </c>
      <c r="B31" s="80" t="str">
        <f>VLOOKUP(A31,'LISTA DE OFERENTES'!$A$6:$B$38,2,FALSE)</f>
        <v xml:space="preserve">UNIOBRAS DEL ORIENTE SAS </v>
      </c>
      <c r="C31" s="54" t="s">
        <v>575</v>
      </c>
      <c r="D31" s="54" t="s">
        <v>575</v>
      </c>
      <c r="E31" s="217" t="s">
        <v>576</v>
      </c>
      <c r="F31" s="54" t="s">
        <v>586</v>
      </c>
      <c r="G31" s="54"/>
      <c r="H31" s="344" t="s">
        <v>589</v>
      </c>
      <c r="I31" s="342"/>
    </row>
    <row r="32" spans="1:9" ht="120" customHeight="1" x14ac:dyDescent="0.3">
      <c r="A32" s="78">
        <v>27</v>
      </c>
      <c r="B32" s="341" t="str">
        <f>VLOOKUP(A32,'LISTA DE OFERENTES'!$A$6:$B$38,2,FALSE)</f>
        <v>CONSORCIO TUNAL CL</v>
      </c>
      <c r="C32" s="54" t="s">
        <v>575</v>
      </c>
      <c r="D32" s="54" t="s">
        <v>575</v>
      </c>
      <c r="E32" s="356" t="s">
        <v>575</v>
      </c>
      <c r="F32" s="356" t="s">
        <v>575</v>
      </c>
      <c r="G32" s="79"/>
      <c r="H32" s="345" t="s">
        <v>590</v>
      </c>
      <c r="I32" s="357" t="s">
        <v>591</v>
      </c>
    </row>
    <row r="33" spans="1:9" ht="43.2" x14ac:dyDescent="0.3">
      <c r="A33" s="78">
        <v>28</v>
      </c>
      <c r="B33" s="80" t="str">
        <f>VLOOKUP(A33,'LISTA DE OFERENTES'!$A$6:$B$38,2,FALSE)</f>
        <v xml:space="preserve">MAURICIO RAFAEL PABA PINZON </v>
      </c>
      <c r="C33" s="54" t="s">
        <v>575</v>
      </c>
      <c r="D33" s="54" t="s">
        <v>575</v>
      </c>
      <c r="E33" s="54" t="s">
        <v>575</v>
      </c>
      <c r="F33" s="262" t="s">
        <v>575</v>
      </c>
      <c r="G33" s="267"/>
      <c r="H33" s="346" t="s">
        <v>592</v>
      </c>
      <c r="I33" s="357" t="s">
        <v>652</v>
      </c>
    </row>
    <row r="34" spans="1:9" ht="213.75" customHeight="1" x14ac:dyDescent="0.3">
      <c r="A34" s="78">
        <v>29</v>
      </c>
      <c r="B34" s="80" t="str">
        <f>VLOOKUP(A34,'LISTA DE OFERENTES'!$A$6:$B$38,2,FALSE)</f>
        <v>CONSORCIO CDJ 05</v>
      </c>
      <c r="C34" s="54" t="s">
        <v>575</v>
      </c>
      <c r="D34" s="54" t="s">
        <v>575</v>
      </c>
      <c r="E34" s="370" t="s">
        <v>575</v>
      </c>
      <c r="F34" s="262" t="s">
        <v>575</v>
      </c>
      <c r="G34" s="54"/>
      <c r="H34" s="347" t="s">
        <v>653</v>
      </c>
      <c r="I34" s="369" t="s">
        <v>654</v>
      </c>
    </row>
    <row r="35" spans="1:9" ht="242.25" customHeight="1" x14ac:dyDescent="0.3">
      <c r="A35" s="78">
        <v>30</v>
      </c>
      <c r="B35" s="341" t="str">
        <f>+'LISTA DE OFERENTES'!B35</f>
        <v>CONSORCIO PARQUES INLF</v>
      </c>
      <c r="C35" s="54" t="s">
        <v>575</v>
      </c>
      <c r="D35" s="54" t="s">
        <v>575</v>
      </c>
      <c r="E35" s="356" t="s">
        <v>575</v>
      </c>
      <c r="F35" s="262" t="s">
        <v>575</v>
      </c>
      <c r="G35" s="54"/>
      <c r="H35" s="348" t="s">
        <v>594</v>
      </c>
      <c r="I35" s="369" t="s">
        <v>655</v>
      </c>
    </row>
    <row r="36" spans="1:9" x14ac:dyDescent="0.3">
      <c r="A36" s="78">
        <v>31</v>
      </c>
      <c r="B36" s="80" t="str">
        <f>VLOOKUP(A36,'LISTA DE OFERENTES'!$A$6:$B$38,2,FALSE)</f>
        <v>CONSORCIO CONSTRUC. PARQUE TUNAL II</v>
      </c>
      <c r="C36" s="54" t="s">
        <v>575</v>
      </c>
      <c r="D36" s="54" t="s">
        <v>575</v>
      </c>
      <c r="E36" s="312" t="s">
        <v>575</v>
      </c>
      <c r="F36" s="54" t="s">
        <v>575</v>
      </c>
      <c r="G36" s="54"/>
      <c r="H36" s="349" t="s">
        <v>656</v>
      </c>
      <c r="I36" s="355"/>
    </row>
    <row r="37" spans="1:9" x14ac:dyDescent="0.3">
      <c r="A37" s="78">
        <v>32</v>
      </c>
      <c r="B37" s="80" t="str">
        <f>VLOOKUP(A37,'LISTA DE OFERENTES'!$A$6:$B$38,2,FALSE)</f>
        <v>CONSORCIO TUNALITO</v>
      </c>
      <c r="C37" s="54" t="s">
        <v>575</v>
      </c>
      <c r="D37" s="54" t="s">
        <v>575</v>
      </c>
      <c r="E37" s="312" t="s">
        <v>575</v>
      </c>
      <c r="F37" s="54" t="s">
        <v>575</v>
      </c>
      <c r="G37" s="54"/>
      <c r="H37" s="349" t="s">
        <v>656</v>
      </c>
      <c r="I37" s="342"/>
    </row>
    <row r="38" spans="1:9" x14ac:dyDescent="0.3">
      <c r="A38" s="78">
        <v>33</v>
      </c>
      <c r="B38" s="80" t="str">
        <f>VLOOKUP(A38,'LISTA DE OFERENTES'!$A$6:$B$38,2,FALSE)</f>
        <v>CONSORCIO EL TUNAL V4G</v>
      </c>
      <c r="C38" s="54" t="s">
        <v>575</v>
      </c>
      <c r="D38" s="54" t="s">
        <v>575</v>
      </c>
      <c r="E38" s="326" t="s">
        <v>575</v>
      </c>
      <c r="F38" s="54" t="s">
        <v>575</v>
      </c>
      <c r="G38" s="54"/>
      <c r="H38" s="350"/>
      <c r="I38" s="342"/>
    </row>
    <row r="39" spans="1:9" x14ac:dyDescent="0.3">
      <c r="A39" s="78">
        <v>34</v>
      </c>
      <c r="B39" s="80" t="str">
        <f>VLOOKUP(A39,'LISTA DE OFERENTES'!$A$6:$B$43,2,FALSE)</f>
        <v>PANAM INGENIEROS SAS</v>
      </c>
      <c r="C39" s="54" t="s">
        <v>575</v>
      </c>
      <c r="D39" s="54" t="s">
        <v>575</v>
      </c>
      <c r="E39" s="312" t="s">
        <v>575</v>
      </c>
      <c r="F39" s="54" t="s">
        <v>575</v>
      </c>
      <c r="G39" s="79"/>
      <c r="H39" s="350"/>
      <c r="I39" s="342"/>
    </row>
    <row r="40" spans="1:9" x14ac:dyDescent="0.3">
      <c r="A40" s="78">
        <v>35</v>
      </c>
      <c r="B40" s="80" t="str">
        <f>VLOOKUP(A40,'LISTA DE OFERENTES'!$A$6:$B$43,2,FALSE)</f>
        <v>CONSORCIO TUNJUELITO VHJ</v>
      </c>
      <c r="C40" s="54" t="s">
        <v>575</v>
      </c>
      <c r="D40" s="54" t="s">
        <v>575</v>
      </c>
      <c r="E40" s="312" t="s">
        <v>575</v>
      </c>
      <c r="F40" s="335" t="s">
        <v>575</v>
      </c>
      <c r="G40" s="54"/>
      <c r="H40" s="349"/>
      <c r="I40" s="342"/>
    </row>
    <row r="41" spans="1:9" x14ac:dyDescent="0.3">
      <c r="A41" s="78">
        <v>36</v>
      </c>
      <c r="B41" s="80" t="str">
        <f>VLOOKUP(A41,'LISTA DE OFERENTES'!$A$6:$B$43,2,FALSE)</f>
        <v>CONSORCIO PARQUE VECINAL 2022</v>
      </c>
      <c r="C41" s="54" t="s">
        <v>575</v>
      </c>
      <c r="D41" s="54" t="s">
        <v>575</v>
      </c>
      <c r="E41" s="336" t="s">
        <v>575</v>
      </c>
      <c r="F41" s="335" t="s">
        <v>575</v>
      </c>
      <c r="G41" s="54"/>
      <c r="H41" s="349" t="s">
        <v>656</v>
      </c>
      <c r="I41" s="342"/>
    </row>
    <row r="42" spans="1:9" ht="57.6" x14ac:dyDescent="0.3">
      <c r="A42" s="78">
        <v>37</v>
      </c>
      <c r="B42" s="80" t="str">
        <f>VLOOKUP(A42,'LISTA DE OFERENTES'!$A$6:$B$43,2,FALSE)</f>
        <v>CONSORCIO PARQUE CAIS2022</v>
      </c>
      <c r="C42" s="54" t="s">
        <v>575</v>
      </c>
      <c r="D42" s="217" t="s">
        <v>647</v>
      </c>
      <c r="E42" s="337" t="s">
        <v>647</v>
      </c>
      <c r="F42" s="338" t="s">
        <v>575</v>
      </c>
      <c r="G42" s="54"/>
      <c r="H42" s="349" t="s">
        <v>524</v>
      </c>
      <c r="I42" s="342"/>
    </row>
    <row r="43" spans="1:9" x14ac:dyDescent="0.3">
      <c r="A43" s="78">
        <v>38</v>
      </c>
      <c r="B43" s="80" t="str">
        <f>VLOOKUP(A43,'LISTA DE OFERENTES'!$A$6:$B$43,2,FALSE)</f>
        <v>PHVA CONSTRUCTORES SAS</v>
      </c>
      <c r="C43" s="54" t="s">
        <v>575</v>
      </c>
      <c r="D43" s="54" t="s">
        <v>575</v>
      </c>
      <c r="E43" s="336" t="s">
        <v>575</v>
      </c>
      <c r="F43" s="338" t="s">
        <v>575</v>
      </c>
      <c r="G43" s="54"/>
      <c r="H43" s="349" t="s">
        <v>656</v>
      </c>
      <c r="I43" s="342"/>
    </row>
  </sheetData>
  <autoFilter ref="A5:M43" xr:uid="{00000000-0009-0000-0000-000004000000}">
    <filterColumn colId="5">
      <filters>
        <filter val="HABILITADO"/>
        <filter val="NO HABILITADO"/>
      </filters>
    </filterColumn>
  </autoFilter>
  <dataConsolidate/>
  <mergeCells count="3">
    <mergeCell ref="A1:H1"/>
    <mergeCell ref="A2:H2"/>
    <mergeCell ref="A3:H3"/>
  </mergeCells>
  <conditionalFormatting sqref="G7">
    <cfRule type="containsText" dxfId="81" priority="271" operator="containsText" text="NO HABIL">
      <formula>NOT(ISERROR(SEARCH("NO HABIL",G7)))</formula>
    </cfRule>
    <cfRule type="containsText" dxfId="80" priority="272" operator="containsText" text="NO HABIL ">
      <formula>NOT(ISERROR(SEARCH("NO HABIL ",G7)))</formula>
    </cfRule>
  </conditionalFormatting>
  <conditionalFormatting sqref="G8">
    <cfRule type="containsText" dxfId="79" priority="267" operator="containsText" text="NO HABIL">
      <formula>NOT(ISERROR(SEARCH("NO HABIL",G8)))</formula>
    </cfRule>
    <cfRule type="containsText" dxfId="78" priority="268" operator="containsText" text="NO HABIL ">
      <formula>NOT(ISERROR(SEARCH("NO HABIL ",G8)))</formula>
    </cfRule>
  </conditionalFormatting>
  <conditionalFormatting sqref="G9">
    <cfRule type="containsText" dxfId="77" priority="263" operator="containsText" text="NO HABIL">
      <formula>NOT(ISERROR(SEARCH("NO HABIL",G9)))</formula>
    </cfRule>
    <cfRule type="containsText" dxfId="76" priority="264" operator="containsText" text="NO HABIL ">
      <formula>NOT(ISERROR(SEARCH("NO HABIL ",G9)))</formula>
    </cfRule>
  </conditionalFormatting>
  <conditionalFormatting sqref="G10">
    <cfRule type="containsText" dxfId="75" priority="255" operator="containsText" text="NO HABIL">
      <formula>NOT(ISERROR(SEARCH("NO HABIL",G10)))</formula>
    </cfRule>
    <cfRule type="containsText" dxfId="74" priority="256" operator="containsText" text="NO HABIL ">
      <formula>NOT(ISERROR(SEARCH("NO HABIL ",G10)))</formula>
    </cfRule>
  </conditionalFormatting>
  <conditionalFormatting sqref="G11">
    <cfRule type="containsText" dxfId="73" priority="253" operator="containsText" text="NO HABIL">
      <formula>NOT(ISERROR(SEARCH("NO HABIL",G11)))</formula>
    </cfRule>
    <cfRule type="containsText" dxfId="72" priority="254" operator="containsText" text="NO HABIL ">
      <formula>NOT(ISERROR(SEARCH("NO HABIL ",G11)))</formula>
    </cfRule>
  </conditionalFormatting>
  <conditionalFormatting sqref="G13">
    <cfRule type="containsText" dxfId="71" priority="249" operator="containsText" text="NO HABIL">
      <formula>NOT(ISERROR(SEARCH("NO HABIL",G13)))</formula>
    </cfRule>
    <cfRule type="containsText" dxfId="70" priority="250" operator="containsText" text="NO HABIL ">
      <formula>NOT(ISERROR(SEARCH("NO HABIL ",G13)))</formula>
    </cfRule>
  </conditionalFormatting>
  <conditionalFormatting sqref="G14">
    <cfRule type="containsText" dxfId="69" priority="245" operator="containsText" text="NO HABIL">
      <formula>NOT(ISERROR(SEARCH("NO HABIL",G14)))</formula>
    </cfRule>
    <cfRule type="containsText" dxfId="68" priority="246" operator="containsText" text="NO HABIL ">
      <formula>NOT(ISERROR(SEARCH("NO HABIL ",G14)))</formula>
    </cfRule>
  </conditionalFormatting>
  <conditionalFormatting sqref="G15">
    <cfRule type="containsText" dxfId="67" priority="241" operator="containsText" text="NO HABIL">
      <formula>NOT(ISERROR(SEARCH("NO HABIL",G15)))</formula>
    </cfRule>
    <cfRule type="containsText" dxfId="66" priority="242" operator="containsText" text="NO HABIL ">
      <formula>NOT(ISERROR(SEARCH("NO HABIL ",G15)))</formula>
    </cfRule>
  </conditionalFormatting>
  <conditionalFormatting sqref="G18">
    <cfRule type="containsText" dxfId="65" priority="237" operator="containsText" text="NO HABIL">
      <formula>NOT(ISERROR(SEARCH("NO HABIL",G18)))</formula>
    </cfRule>
    <cfRule type="containsText" dxfId="64" priority="238" operator="containsText" text="NO HABIL ">
      <formula>NOT(ISERROR(SEARCH("NO HABIL ",G18)))</formula>
    </cfRule>
  </conditionalFormatting>
  <conditionalFormatting sqref="G19">
    <cfRule type="containsText" dxfId="63" priority="233" operator="containsText" text="NO HABIL">
      <formula>NOT(ISERROR(SEARCH("NO HABIL",G19)))</formula>
    </cfRule>
    <cfRule type="containsText" dxfId="62" priority="234" operator="containsText" text="NO HABIL ">
      <formula>NOT(ISERROR(SEARCH("NO HABIL ",G19)))</formula>
    </cfRule>
  </conditionalFormatting>
  <conditionalFormatting sqref="G20">
    <cfRule type="containsText" dxfId="61" priority="229" operator="containsText" text="NO HABIL">
      <formula>NOT(ISERROR(SEARCH("NO HABIL",G20)))</formula>
    </cfRule>
    <cfRule type="containsText" dxfId="60" priority="230" operator="containsText" text="NO HABIL ">
      <formula>NOT(ISERROR(SEARCH("NO HABIL ",G20)))</formula>
    </cfRule>
  </conditionalFormatting>
  <conditionalFormatting sqref="G21">
    <cfRule type="containsText" dxfId="59" priority="225" operator="containsText" text="NO HABIL">
      <formula>NOT(ISERROR(SEARCH("NO HABIL",G21)))</formula>
    </cfRule>
    <cfRule type="containsText" dxfId="58" priority="226" operator="containsText" text="NO HABIL ">
      <formula>NOT(ISERROR(SEARCH("NO HABIL ",G21)))</formula>
    </cfRule>
  </conditionalFormatting>
  <conditionalFormatting sqref="G22">
    <cfRule type="containsText" dxfId="57" priority="221" operator="containsText" text="NO HABIL">
      <formula>NOT(ISERROR(SEARCH("NO HABIL",G22)))</formula>
    </cfRule>
    <cfRule type="containsText" dxfId="56" priority="222" operator="containsText" text="NO HABIL ">
      <formula>NOT(ISERROR(SEARCH("NO HABIL ",G22)))</formula>
    </cfRule>
  </conditionalFormatting>
  <conditionalFormatting sqref="G23">
    <cfRule type="containsText" dxfId="55" priority="217" operator="containsText" text="NO HABIL">
      <formula>NOT(ISERROR(SEARCH("NO HABIL",G23)))</formula>
    </cfRule>
    <cfRule type="containsText" dxfId="54" priority="218" operator="containsText" text="NO HABIL ">
      <formula>NOT(ISERROR(SEARCH("NO HABIL ",G23)))</formula>
    </cfRule>
  </conditionalFormatting>
  <conditionalFormatting sqref="G24">
    <cfRule type="containsText" dxfId="53" priority="213" operator="containsText" text="NO HABIL">
      <formula>NOT(ISERROR(SEARCH("NO HABIL",G24)))</formula>
    </cfRule>
    <cfRule type="containsText" dxfId="52" priority="214" operator="containsText" text="NO HABIL ">
      <formula>NOT(ISERROR(SEARCH("NO HABIL ",G24)))</formula>
    </cfRule>
  </conditionalFormatting>
  <conditionalFormatting sqref="G35">
    <cfRule type="containsText" dxfId="51" priority="183" operator="containsText" text="NO HABIL">
      <formula>NOT(ISERROR(SEARCH("NO HABIL",G35)))</formula>
    </cfRule>
    <cfRule type="containsText" dxfId="50" priority="184" operator="containsText" text="NO HABIL ">
      <formula>NOT(ISERROR(SEARCH("NO HABIL ",G35)))</formula>
    </cfRule>
  </conditionalFormatting>
  <conditionalFormatting sqref="G25">
    <cfRule type="containsText" dxfId="49" priority="209" operator="containsText" text="NO HABIL">
      <formula>NOT(ISERROR(SEARCH("NO HABIL",G25)))</formula>
    </cfRule>
    <cfRule type="containsText" dxfId="48" priority="210" operator="containsText" text="NO HABIL ">
      <formula>NOT(ISERROR(SEARCH("NO HABIL ",G25)))</formula>
    </cfRule>
  </conditionalFormatting>
  <conditionalFormatting sqref="G26">
    <cfRule type="containsText" dxfId="47" priority="205" operator="containsText" text="NO HABIL">
      <formula>NOT(ISERROR(SEARCH("NO HABIL",G26)))</formula>
    </cfRule>
    <cfRule type="containsText" dxfId="46" priority="206" operator="containsText" text="NO HABIL ">
      <formula>NOT(ISERROR(SEARCH("NO HABIL ",G26)))</formula>
    </cfRule>
  </conditionalFormatting>
  <conditionalFormatting sqref="G28">
    <cfRule type="containsText" dxfId="45" priority="201" operator="containsText" text="NO HABIL">
      <formula>NOT(ISERROR(SEARCH("NO HABIL",G28)))</formula>
    </cfRule>
    <cfRule type="containsText" dxfId="44" priority="202" operator="containsText" text="NO HABIL ">
      <formula>NOT(ISERROR(SEARCH("NO HABIL ",G28)))</formula>
    </cfRule>
  </conditionalFormatting>
  <conditionalFormatting sqref="G30">
    <cfRule type="containsText" dxfId="43" priority="197" operator="containsText" text="NO HABIL">
      <formula>NOT(ISERROR(SEARCH("NO HABIL",G30)))</formula>
    </cfRule>
    <cfRule type="containsText" dxfId="42" priority="198" operator="containsText" text="NO HABIL ">
      <formula>NOT(ISERROR(SEARCH("NO HABIL ",G30)))</formula>
    </cfRule>
  </conditionalFormatting>
  <conditionalFormatting sqref="G31">
    <cfRule type="containsText" dxfId="41" priority="193" operator="containsText" text="NO HABIL">
      <formula>NOT(ISERROR(SEARCH("NO HABIL",G31)))</formula>
    </cfRule>
    <cfRule type="containsText" dxfId="40" priority="194" operator="containsText" text="NO HABIL ">
      <formula>NOT(ISERROR(SEARCH("NO HABIL ",G31)))</formula>
    </cfRule>
  </conditionalFormatting>
  <conditionalFormatting sqref="G34">
    <cfRule type="containsText" dxfId="39" priority="187" operator="containsText" text="NO HABIL">
      <formula>NOT(ISERROR(SEARCH("NO HABIL",G34)))</formula>
    </cfRule>
    <cfRule type="containsText" dxfId="38" priority="188" operator="containsText" text="NO HABIL ">
      <formula>NOT(ISERROR(SEARCH("NO HABIL ",G34)))</formula>
    </cfRule>
  </conditionalFormatting>
  <conditionalFormatting sqref="G36">
    <cfRule type="containsText" dxfId="37" priority="179" operator="containsText" text="NO HABIL">
      <formula>NOT(ISERROR(SEARCH("NO HABIL",G36)))</formula>
    </cfRule>
    <cfRule type="containsText" dxfId="36" priority="180" operator="containsText" text="NO HABIL ">
      <formula>NOT(ISERROR(SEARCH("NO HABIL ",G36)))</formula>
    </cfRule>
  </conditionalFormatting>
  <conditionalFormatting sqref="G37">
    <cfRule type="containsText" dxfId="35" priority="175" operator="containsText" text="NO HABIL">
      <formula>NOT(ISERROR(SEARCH("NO HABIL",G37)))</formula>
    </cfRule>
    <cfRule type="containsText" dxfId="34" priority="176" operator="containsText" text="NO HABIL ">
      <formula>NOT(ISERROR(SEARCH("NO HABIL ",G37)))</formula>
    </cfRule>
  </conditionalFormatting>
  <conditionalFormatting sqref="G38">
    <cfRule type="containsText" dxfId="33" priority="171" operator="containsText" text="NO HABIL">
      <formula>NOT(ISERROR(SEARCH("NO HABIL",G38)))</formula>
    </cfRule>
    <cfRule type="containsText" dxfId="32" priority="172" operator="containsText" text="NO HABIL ">
      <formula>NOT(ISERROR(SEARCH("NO HABIL ",G38)))</formula>
    </cfRule>
  </conditionalFormatting>
  <conditionalFormatting sqref="E6:F6 F6:F15 F17:F38">
    <cfRule type="containsText" dxfId="31" priority="309" operator="containsText" text="NO HABIL">
      <formula>NOT(ISERROR(SEARCH("NO HABIL",E6)))</formula>
    </cfRule>
    <cfRule type="containsText" dxfId="30" priority="310" operator="containsText" text="NO HABIL ">
      <formula>NOT(ISERROR(SEARCH("NO HABIL ",E6)))</formula>
    </cfRule>
  </conditionalFormatting>
  <conditionalFormatting sqref="G6">
    <cfRule type="containsText" dxfId="29" priority="275" operator="containsText" text="NO HABIL">
      <formula>NOT(ISERROR(SEARCH("NO HABIL",G6)))</formula>
    </cfRule>
    <cfRule type="containsText" dxfId="28" priority="276" operator="containsText" text="NO HABIL ">
      <formula>NOT(ISERROR(SEARCH("NO HABIL ",G6)))</formula>
    </cfRule>
  </conditionalFormatting>
  <conditionalFormatting sqref="G12">
    <cfRule type="containsText" dxfId="27" priority="127" operator="containsText" text="NO HABIL">
      <formula>NOT(ISERROR(SEARCH("NO HABIL",G12)))</formula>
    </cfRule>
    <cfRule type="containsText" dxfId="26" priority="128" operator="containsText" text="NO HABIL ">
      <formula>NOT(ISERROR(SEARCH("NO HABIL ",G12)))</formula>
    </cfRule>
  </conditionalFormatting>
  <conditionalFormatting sqref="E7:E12 E14:E35">
    <cfRule type="containsText" dxfId="25" priority="107" operator="containsText" text="NO HABIL">
      <formula>NOT(ISERROR(SEARCH("NO HABIL",E7)))</formula>
    </cfRule>
    <cfRule type="containsText" dxfId="24" priority="108" operator="containsText" text="NO HABIL ">
      <formula>NOT(ISERROR(SEARCH("NO HABIL ",E7)))</formula>
    </cfRule>
  </conditionalFormatting>
  <conditionalFormatting sqref="G41">
    <cfRule type="containsText" dxfId="23" priority="61" operator="containsText" text="NO HABIL">
      <formula>NOT(ISERROR(SEARCH("NO HABIL",G41)))</formula>
    </cfRule>
    <cfRule type="containsText" dxfId="22" priority="62" operator="containsText" text="NO HABIL ">
      <formula>NOT(ISERROR(SEARCH("NO HABIL ",G41)))</formula>
    </cfRule>
  </conditionalFormatting>
  <conditionalFormatting sqref="G40">
    <cfRule type="containsText" dxfId="21" priority="65" operator="containsText" text="NO HABIL">
      <formula>NOT(ISERROR(SEARCH("NO HABIL",G40)))</formula>
    </cfRule>
    <cfRule type="containsText" dxfId="20" priority="66" operator="containsText" text="NO HABIL ">
      <formula>NOT(ISERROR(SEARCH("NO HABIL ",G40)))</formula>
    </cfRule>
  </conditionalFormatting>
  <conditionalFormatting sqref="G42">
    <cfRule type="containsText" dxfId="19" priority="57" operator="containsText" text="NO HABIL">
      <formula>NOT(ISERROR(SEARCH("NO HABIL",G42)))</formula>
    </cfRule>
    <cfRule type="containsText" dxfId="18" priority="58" operator="containsText" text="NO HABIL ">
      <formula>NOT(ISERROR(SEARCH("NO HABIL ",G42)))</formula>
    </cfRule>
  </conditionalFormatting>
  <conditionalFormatting sqref="G43">
    <cfRule type="containsText" dxfId="17" priority="53" operator="containsText" text="NO HABIL">
      <formula>NOT(ISERROR(SEARCH("NO HABIL",G43)))</formula>
    </cfRule>
    <cfRule type="containsText" dxfId="16" priority="54" operator="containsText" text="NO HABIL ">
      <formula>NOT(ISERROR(SEARCH("NO HABIL ",G43)))</formula>
    </cfRule>
  </conditionalFormatting>
  <conditionalFormatting sqref="F39">
    <cfRule type="containsText" dxfId="15" priority="73" operator="containsText" text="NO HABIL">
      <formula>NOT(ISERROR(SEARCH("NO HABIL",F39)))</formula>
    </cfRule>
    <cfRule type="containsText" dxfId="14" priority="74" operator="containsText" text="NO HABIL ">
      <formula>NOT(ISERROR(SEARCH("NO HABIL ",F39)))</formula>
    </cfRule>
  </conditionalFormatting>
  <conditionalFormatting sqref="C6:C43">
    <cfRule type="containsText" dxfId="13" priority="45" operator="containsText" text="NO HABIL">
      <formula>NOT(ISERROR(SEARCH("NO HABIL",C6)))</formula>
    </cfRule>
    <cfRule type="containsText" dxfId="12" priority="46" operator="containsText" text="NO HABIL ">
      <formula>NOT(ISERROR(SEARCH("NO HABIL ",C6)))</formula>
    </cfRule>
  </conditionalFormatting>
  <conditionalFormatting sqref="D6:D24">
    <cfRule type="containsText" dxfId="11" priority="43" operator="containsText" text="NO HABIL">
      <formula>NOT(ISERROR(SEARCH("NO HABIL",D6)))</formula>
    </cfRule>
    <cfRule type="containsText" dxfId="10" priority="44" operator="containsText" text="NO HABIL ">
      <formula>NOT(ISERROR(SEARCH("NO HABIL ",D6)))</formula>
    </cfRule>
  </conditionalFormatting>
  <conditionalFormatting sqref="D25 D42">
    <cfRule type="containsText" dxfId="9" priority="19" operator="containsText" text="NO HABIL">
      <formula>NOT(ISERROR(SEARCH("NO HABIL",D25)))</formula>
    </cfRule>
    <cfRule type="containsText" dxfId="8" priority="20" operator="containsText" text="NO HABIL ">
      <formula>NOT(ISERROR(SEARCH("NO HABIL ",D25)))</formula>
    </cfRule>
  </conditionalFormatting>
  <conditionalFormatting sqref="D43">
    <cfRule type="containsText" dxfId="7" priority="7" operator="containsText" text="NO HABIL">
      <formula>NOT(ISERROR(SEARCH("NO HABIL",D43)))</formula>
    </cfRule>
    <cfRule type="containsText" dxfId="6" priority="8" operator="containsText" text="NO HABIL ">
      <formula>NOT(ISERROR(SEARCH("NO HABIL ",D43)))</formula>
    </cfRule>
  </conditionalFormatting>
  <conditionalFormatting sqref="E13">
    <cfRule type="containsText" dxfId="5" priority="5" operator="containsText" text="NO HABIL">
      <formula>NOT(ISERROR(SEARCH("NO HABIL",E13)))</formula>
    </cfRule>
    <cfRule type="containsText" dxfId="4" priority="6" operator="containsText" text="NO HABIL ">
      <formula>NOT(ISERROR(SEARCH("NO HABIL ",E13)))</formula>
    </cfRule>
  </conditionalFormatting>
  <conditionalFormatting sqref="D26:D41">
    <cfRule type="containsText" dxfId="3" priority="3" operator="containsText" text="NO HABIL">
      <formula>NOT(ISERROR(SEARCH("NO HABIL",D26)))</formula>
    </cfRule>
    <cfRule type="containsText" dxfId="2" priority="4" operator="containsText" text="NO HABIL ">
      <formula>NOT(ISERROR(SEARCH("NO HABIL ",D26)))</formula>
    </cfRule>
  </conditionalFormatting>
  <conditionalFormatting sqref="F16">
    <cfRule type="containsText" dxfId="1" priority="1" operator="containsText" text="NO HABIL">
      <formula>NOT(ISERROR(SEARCH("NO HABIL",F16)))</formula>
    </cfRule>
    <cfRule type="containsText" dxfId="0" priority="2" operator="containsText" text="NO HABIL ">
      <formula>NOT(ISERROR(SEARCH("NO HABIL ",F16)))</formula>
    </cfRule>
  </conditionalFormatting>
  <pageMargins left="0.70866141732283472" right="0.70866141732283472" top="0.74803149606299213" bottom="0.74803149606299213" header="0.51181102362204722" footer="0.51181102362204722"/>
  <pageSetup scale="50" firstPageNumber="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52F2A9-DFB2-4F34-8F48-ED14F2AF3854}">
  <ds:schemaRefs>
    <ds:schemaRef ds:uri="http://schemas.microsoft.com/sharepoint/v3/contenttype/forms"/>
  </ds:schemaRefs>
</ds:datastoreItem>
</file>

<file path=customXml/itemProps2.xml><?xml version="1.0" encoding="utf-8"?>
<ds:datastoreItem xmlns:ds="http://schemas.openxmlformats.org/officeDocument/2006/customXml" ds:itemID="{C03F0E43-118A-40DD-AFC7-5BA1F0667C7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bb700-c511-4ee3-a312-b224bf564eff"/>
    <ds:schemaRef ds:uri="badd6a06-ad6f-4965-a6f2-eec033803b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2</vt:i4>
      </vt:variant>
    </vt:vector>
  </HeadingPairs>
  <TitlesOfParts>
    <vt:vector size="13" baseType="lpstr">
      <vt:lpstr>CONDICIONES GENERALES</vt:lpstr>
      <vt:lpstr>LISTA DE OFERENTES</vt:lpstr>
      <vt:lpstr>EVALUACION TÉC PRELIMINAR</vt:lpstr>
      <vt:lpstr>F. PONDERABLES PRELIMINAR</vt:lpstr>
      <vt:lpstr>RESUMEN EVALUACIÓN PRELIMINAR</vt:lpstr>
      <vt:lpstr>PRO09</vt:lpstr>
      <vt:lpstr>P2</vt:lpstr>
      <vt:lpstr>EVALUACION TÉC FINAL</vt:lpstr>
      <vt:lpstr>K RESIDUAL</vt:lpstr>
      <vt:lpstr>F. PONDERABLES FINAL</vt:lpstr>
      <vt:lpstr>RESUMEN EVALUACIÓN FINAL</vt:lpstr>
      <vt:lpstr>'F. PONDERABLES FINAL'!Área_de_impresión</vt:lpstr>
      <vt:lpstr>'F. PONDERABLES PRELIMINAR'!Área_de_impresión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Hader Rodríguez</dc:creator>
  <cp:keywords/>
  <dc:description/>
  <cp:lastModifiedBy>zaida rodriguez rodriguez</cp:lastModifiedBy>
  <cp:revision>3</cp:revision>
  <dcterms:created xsi:type="dcterms:W3CDTF">2016-11-29T14:57:14Z</dcterms:created>
  <dcterms:modified xsi:type="dcterms:W3CDTF">2022-11-15T14:06:22Z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